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440" windowHeight="12465" tabRatio="885" firstSheet="13" activeTab="21"/>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 sheetId="15" r:id="rId19"/>
    <sheet name="酒店收入计算" sheetId="58" state="hidden" r:id="rId20"/>
    <sheet name="比较法-办公" sheetId="34" r:id="rId21"/>
    <sheet name="典型户型修正" sheetId="31"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0"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C20" i="9" l="1"/>
  <c r="F4" i="61"/>
  <c r="I1" i="61"/>
  <c r="B30" i="1"/>
  <c r="F11" i="15"/>
  <c r="C10" i="15"/>
  <c r="C5" i="15"/>
  <c r="C32" i="15"/>
  <c r="C33" i="15"/>
  <c r="C31" i="15"/>
  <c r="D5" i="61"/>
  <c r="G1" i="61"/>
  <c r="E27" i="1"/>
  <c r="F24" i="15"/>
  <c r="C23" i="15"/>
  <c r="C24" i="15"/>
  <c r="C29" i="15"/>
  <c r="C36" i="15"/>
  <c r="C13" i="15"/>
  <c r="C37" i="15"/>
  <c r="C38" i="15"/>
  <c r="C30" i="15"/>
  <c r="C39" i="15"/>
  <c r="C40" i="15"/>
  <c r="B3" i="15"/>
  <c r="D20" i="9"/>
  <c r="G20" i="9"/>
  <c r="R27" i="31"/>
  <c r="R28" i="31"/>
  <c r="T27" i="31"/>
  <c r="J34" i="15"/>
  <c r="J38" i="15"/>
  <c r="Z25" i="31"/>
  <c r="Y27" i="31"/>
  <c r="Z27" i="31"/>
  <c r="Z28" i="31"/>
  <c r="W28" i="31"/>
  <c r="V28" i="31"/>
  <c r="R29" i="31"/>
  <c r="Z29" i="31"/>
  <c r="W29" i="31"/>
  <c r="V29" i="31"/>
  <c r="R30" i="31"/>
  <c r="Z30" i="31"/>
  <c r="W30" i="31"/>
  <c r="V30" i="31"/>
  <c r="R31" i="31"/>
  <c r="Z31" i="31"/>
  <c r="W31" i="31"/>
  <c r="V31" i="31"/>
  <c r="R32" i="31"/>
  <c r="Z32" i="31"/>
  <c r="W32" i="31"/>
  <c r="V32" i="31"/>
  <c r="R33" i="31"/>
  <c r="Z33" i="31"/>
  <c r="W33" i="31"/>
  <c r="V33" i="31"/>
  <c r="R34" i="31"/>
  <c r="Z34" i="31"/>
  <c r="W34" i="31"/>
  <c r="V34" i="31"/>
  <c r="R35" i="31"/>
  <c r="Z35" i="31"/>
  <c r="W35" i="31"/>
  <c r="V35" i="31"/>
  <c r="R36" i="31"/>
  <c r="Z36" i="31"/>
  <c r="W36" i="31"/>
  <c r="V36" i="31"/>
  <c r="R37" i="31"/>
  <c r="Z37" i="31"/>
  <c r="W37" i="31"/>
  <c r="V37" i="31"/>
  <c r="W27" i="31"/>
  <c r="V27" i="31"/>
  <c r="T28" i="31"/>
  <c r="Y28" i="31"/>
  <c r="D22" i="63"/>
  <c r="C22" i="63"/>
  <c r="B3" i="34"/>
  <c r="F7" i="15"/>
  <c r="C6" i="15"/>
  <c r="C14" i="15"/>
  <c r="C15" i="15"/>
  <c r="C16" i="15"/>
  <c r="C17" i="15"/>
  <c r="C18" i="15"/>
  <c r="C19" i="15"/>
  <c r="C20" i="15"/>
  <c r="C26" i="15"/>
  <c r="F43" i="15"/>
  <c r="C28" i="31"/>
  <c r="E28" i="31"/>
  <c r="G28" i="31"/>
  <c r="I28" i="31"/>
  <c r="K28" i="31"/>
  <c r="M28" i="31"/>
  <c r="O28" i="31"/>
  <c r="Q28" i="31"/>
  <c r="C29" i="31"/>
  <c r="E29" i="31"/>
  <c r="G29" i="31"/>
  <c r="I29" i="31"/>
  <c r="K29" i="31"/>
  <c r="M29" i="31"/>
  <c r="O29" i="31"/>
  <c r="Q29" i="31"/>
  <c r="C30" i="31"/>
  <c r="E30" i="31"/>
  <c r="G30" i="31"/>
  <c r="I30" i="31"/>
  <c r="K30" i="31"/>
  <c r="M30" i="31"/>
  <c r="O30" i="31"/>
  <c r="Q30" i="31"/>
  <c r="C31" i="31"/>
  <c r="E31" i="31"/>
  <c r="G31" i="31"/>
  <c r="I31" i="31"/>
  <c r="K31" i="31"/>
  <c r="M31" i="31"/>
  <c r="O31" i="31"/>
  <c r="Q31" i="31"/>
  <c r="C32" i="31"/>
  <c r="E32" i="31"/>
  <c r="G32" i="31"/>
  <c r="I32" i="31"/>
  <c r="K32" i="31"/>
  <c r="M32" i="31"/>
  <c r="O32" i="31"/>
  <c r="Q32" i="31"/>
  <c r="C33" i="31"/>
  <c r="E33" i="31"/>
  <c r="G33" i="31"/>
  <c r="I33" i="31"/>
  <c r="K33" i="31"/>
  <c r="M33" i="31"/>
  <c r="O33" i="31"/>
  <c r="Q33" i="31"/>
  <c r="C34" i="31"/>
  <c r="E34" i="31"/>
  <c r="G34" i="31"/>
  <c r="I34" i="31"/>
  <c r="K34" i="31"/>
  <c r="M34" i="31"/>
  <c r="O34" i="31"/>
  <c r="Q34" i="31"/>
  <c r="C35" i="31"/>
  <c r="E35" i="31"/>
  <c r="G35" i="31"/>
  <c r="I35" i="31"/>
  <c r="K35" i="31"/>
  <c r="M35" i="31"/>
  <c r="O35" i="31"/>
  <c r="Q35" i="31"/>
  <c r="C36" i="31"/>
  <c r="E36" i="31"/>
  <c r="G36" i="31"/>
  <c r="I36" i="31"/>
  <c r="K36" i="31"/>
  <c r="M36" i="31"/>
  <c r="O36" i="31"/>
  <c r="Q36" i="31"/>
  <c r="C37" i="31"/>
  <c r="E37" i="31"/>
  <c r="G37" i="31"/>
  <c r="I37" i="31"/>
  <c r="K37" i="31"/>
  <c r="M37" i="31"/>
  <c r="O37" i="31"/>
  <c r="Q37" i="31"/>
  <c r="Y29" i="31"/>
  <c r="Y30" i="31"/>
  <c r="Y31" i="31"/>
  <c r="Y32" i="31"/>
  <c r="Y33" i="31"/>
  <c r="Y34" i="31"/>
  <c r="Y35" i="31"/>
  <c r="Y36" i="31"/>
  <c r="Y37" i="31"/>
  <c r="T29" i="31"/>
  <c r="T30" i="31"/>
  <c r="T31" i="31"/>
  <c r="T32" i="31"/>
  <c r="T33" i="31"/>
  <c r="T34" i="31"/>
  <c r="T35" i="31"/>
  <c r="T36" i="31"/>
  <c r="T37" i="31"/>
  <c r="F7" i="61"/>
  <c r="D7" i="61"/>
  <c r="F6" i="61"/>
  <c r="D6" i="61"/>
  <c r="F5" i="61"/>
  <c r="D4" i="61"/>
  <c r="F3" i="61"/>
  <c r="D3" i="61"/>
  <c r="L1" i="61"/>
  <c r="K1" i="61"/>
  <c r="J1" i="61"/>
  <c r="E1" i="61"/>
  <c r="C1" i="61"/>
  <c r="D76" i="59"/>
  <c r="F75" i="59"/>
  <c r="E75" i="59"/>
  <c r="D75" i="59"/>
  <c r="C75" i="59"/>
  <c r="B75" i="59"/>
  <c r="F74" i="59"/>
  <c r="E74" i="59"/>
  <c r="D74" i="59"/>
  <c r="C74" i="59"/>
  <c r="B74" i="59"/>
  <c r="F73" i="59"/>
  <c r="E73" i="59"/>
  <c r="D73" i="59"/>
  <c r="C73" i="59"/>
  <c r="B73" i="59"/>
  <c r="D72" i="59"/>
  <c r="F71" i="59"/>
  <c r="E71" i="59"/>
  <c r="D71" i="59"/>
  <c r="C71" i="59"/>
  <c r="B71" i="59"/>
  <c r="F70" i="59"/>
  <c r="E70" i="59"/>
  <c r="D70" i="59"/>
  <c r="C70" i="59"/>
  <c r="B70" i="59"/>
  <c r="F69" i="59"/>
  <c r="E69" i="59"/>
  <c r="D69" i="59"/>
  <c r="C69" i="59"/>
  <c r="B69" i="59"/>
  <c r="D68" i="59"/>
  <c r="V67" i="59"/>
  <c r="U67" i="59"/>
  <c r="T67" i="59"/>
  <c r="S67" i="59"/>
  <c r="Q67" i="59"/>
  <c r="P67" i="59"/>
  <c r="O67" i="59"/>
  <c r="N67" i="59"/>
  <c r="F67" i="59"/>
  <c r="E67" i="59"/>
  <c r="D67" i="59"/>
  <c r="C67" i="59"/>
  <c r="B67" i="59"/>
  <c r="Q66" i="59"/>
  <c r="P66" i="59"/>
  <c r="O66" i="59"/>
  <c r="N66" i="59"/>
  <c r="F66" i="59"/>
  <c r="E66" i="59"/>
  <c r="D66" i="59"/>
  <c r="C66" i="59"/>
  <c r="B66" i="59"/>
  <c r="Q65" i="59"/>
  <c r="P65" i="59"/>
  <c r="O65" i="59"/>
  <c r="N65" i="59"/>
  <c r="F65" i="59"/>
  <c r="E65" i="59"/>
  <c r="D65" i="59"/>
  <c r="C65" i="59"/>
  <c r="B65" i="59"/>
  <c r="Q64" i="59"/>
  <c r="P64" i="59"/>
  <c r="O64" i="59"/>
  <c r="N64" i="59"/>
  <c r="D64" i="59"/>
  <c r="V63" i="59"/>
  <c r="U63" i="59"/>
  <c r="T63" i="59"/>
  <c r="S63" i="59"/>
  <c r="Q63" i="59"/>
  <c r="P63" i="59"/>
  <c r="O63" i="59"/>
  <c r="N63" i="59"/>
  <c r="F63" i="59"/>
  <c r="E63" i="59"/>
  <c r="D63" i="59"/>
  <c r="C63" i="59"/>
  <c r="B63" i="59"/>
  <c r="Q62" i="59"/>
  <c r="P62" i="59"/>
  <c r="O62" i="59"/>
  <c r="N62" i="59"/>
  <c r="F62" i="59"/>
  <c r="E62" i="59"/>
  <c r="D62" i="59"/>
  <c r="C62" i="59"/>
  <c r="B62" i="59"/>
  <c r="Q61" i="59"/>
  <c r="P61" i="59"/>
  <c r="O61" i="59"/>
  <c r="N61" i="59"/>
  <c r="F61" i="59"/>
  <c r="E61" i="59"/>
  <c r="D61" i="59"/>
  <c r="C61" i="59"/>
  <c r="B61" i="59"/>
  <c r="Q60" i="59"/>
  <c r="P60" i="59"/>
  <c r="O60" i="59"/>
  <c r="N60" i="59"/>
  <c r="D60" i="59"/>
  <c r="V59" i="59"/>
  <c r="U59" i="59"/>
  <c r="T59" i="59"/>
  <c r="S59" i="59"/>
  <c r="Q59" i="59"/>
  <c r="P59" i="59"/>
  <c r="O59" i="59"/>
  <c r="N59" i="59"/>
  <c r="F59" i="59"/>
  <c r="E59" i="59"/>
  <c r="D59" i="59"/>
  <c r="C59" i="59"/>
  <c r="B59" i="59"/>
  <c r="Q58" i="59"/>
  <c r="P58" i="59"/>
  <c r="O58" i="59"/>
  <c r="N58" i="59"/>
  <c r="F58" i="59"/>
  <c r="E58" i="59"/>
  <c r="D58" i="59"/>
  <c r="C58" i="59"/>
  <c r="B58" i="59"/>
  <c r="Q57" i="59"/>
  <c r="P57" i="59"/>
  <c r="O57" i="59"/>
  <c r="N57" i="59"/>
  <c r="F57" i="59"/>
  <c r="E57" i="59"/>
  <c r="D57" i="59"/>
  <c r="C57" i="59"/>
  <c r="B57" i="59"/>
  <c r="Q56" i="59"/>
  <c r="P56" i="59"/>
  <c r="O56" i="59"/>
  <c r="N56" i="59"/>
  <c r="D56" i="59"/>
  <c r="V55" i="59"/>
  <c r="U55" i="59"/>
  <c r="T55" i="59"/>
  <c r="S55" i="59"/>
  <c r="Q55" i="59"/>
  <c r="P55" i="59"/>
  <c r="O55" i="59"/>
  <c r="N55" i="59"/>
  <c r="F55" i="59"/>
  <c r="E55" i="59"/>
  <c r="D55" i="59"/>
  <c r="C55" i="59"/>
  <c r="B55" i="59"/>
  <c r="Q54" i="59"/>
  <c r="P54" i="59"/>
  <c r="O54" i="59"/>
  <c r="N54" i="59"/>
  <c r="F54" i="59"/>
  <c r="E54" i="59"/>
  <c r="D54" i="59"/>
  <c r="C54" i="59"/>
  <c r="B54" i="59"/>
  <c r="Q53" i="59"/>
  <c r="P53" i="59"/>
  <c r="O53" i="59"/>
  <c r="N53" i="59"/>
  <c r="F53" i="59"/>
  <c r="E53" i="59"/>
  <c r="D53" i="59"/>
  <c r="C53" i="59"/>
  <c r="B53" i="59"/>
  <c r="Q52" i="59"/>
  <c r="P52" i="59"/>
  <c r="O52" i="59"/>
  <c r="N52" i="59"/>
  <c r="D52" i="59"/>
  <c r="V51" i="59"/>
  <c r="U51" i="59"/>
  <c r="T51" i="59"/>
  <c r="S51" i="59"/>
  <c r="Q51" i="59"/>
  <c r="P51" i="59"/>
  <c r="O51" i="59"/>
  <c r="N51" i="59"/>
  <c r="F51" i="59"/>
  <c r="E51" i="59"/>
  <c r="D51" i="59"/>
  <c r="C51" i="59"/>
  <c r="B51" i="59"/>
  <c r="Q50" i="59"/>
  <c r="P50" i="59"/>
  <c r="O50" i="59"/>
  <c r="N50" i="59"/>
  <c r="F50" i="59"/>
  <c r="E50" i="59"/>
  <c r="D50" i="59"/>
  <c r="C50" i="59"/>
  <c r="B50" i="59"/>
  <c r="Q49" i="59"/>
  <c r="P49" i="59"/>
  <c r="O49" i="59"/>
  <c r="N49" i="59"/>
  <c r="F49" i="59"/>
  <c r="E49" i="59"/>
  <c r="D49" i="59"/>
  <c r="C49" i="59"/>
  <c r="B49" i="59"/>
  <c r="Q48" i="59"/>
  <c r="P48" i="59"/>
  <c r="O48" i="59"/>
  <c r="N48" i="59"/>
  <c r="D48" i="59"/>
  <c r="V47" i="59"/>
  <c r="U47" i="59"/>
  <c r="T47" i="59"/>
  <c r="S47" i="59"/>
  <c r="Q47" i="59"/>
  <c r="P47" i="59"/>
  <c r="O47" i="59"/>
  <c r="N47" i="59"/>
  <c r="F47" i="59"/>
  <c r="E47" i="59"/>
  <c r="D47" i="59"/>
  <c r="C47" i="59"/>
  <c r="B47" i="59"/>
  <c r="Q46" i="59"/>
  <c r="P46" i="59"/>
  <c r="O46" i="59"/>
  <c r="N46" i="59"/>
  <c r="F46" i="59"/>
  <c r="E46" i="59"/>
  <c r="D46" i="59"/>
  <c r="C46" i="59"/>
  <c r="B46" i="59"/>
  <c r="Q45" i="59"/>
  <c r="P45" i="59"/>
  <c r="O45" i="59"/>
  <c r="N45" i="59"/>
  <c r="F45" i="59"/>
  <c r="E45" i="59"/>
  <c r="D45" i="59"/>
  <c r="C45" i="59"/>
  <c r="B45" i="59"/>
  <c r="Q44" i="59"/>
  <c r="P44" i="59"/>
  <c r="O44" i="59"/>
  <c r="N44" i="59"/>
  <c r="D44" i="59"/>
  <c r="V43" i="59"/>
  <c r="U43" i="59"/>
  <c r="T43" i="59"/>
  <c r="S43" i="59"/>
  <c r="Q43" i="59"/>
  <c r="P43" i="59"/>
  <c r="O43" i="59"/>
  <c r="N43" i="59"/>
  <c r="F43" i="59"/>
  <c r="E43" i="59"/>
  <c r="D43" i="59"/>
  <c r="C43" i="59"/>
  <c r="B43" i="59"/>
  <c r="Q42" i="59"/>
  <c r="P42" i="59"/>
  <c r="O42" i="59"/>
  <c r="N42" i="59"/>
  <c r="F42" i="59"/>
  <c r="E42" i="59"/>
  <c r="D42" i="59"/>
  <c r="C42" i="59"/>
  <c r="B42" i="59"/>
  <c r="Q41" i="59"/>
  <c r="P41" i="59"/>
  <c r="O41" i="59"/>
  <c r="N41" i="59"/>
  <c r="F41" i="59"/>
  <c r="E41" i="59"/>
  <c r="D41" i="59"/>
  <c r="C41" i="59"/>
  <c r="B41" i="59"/>
  <c r="Q40" i="59"/>
  <c r="P40" i="59"/>
  <c r="O40" i="59"/>
  <c r="N40" i="59"/>
  <c r="D40" i="59"/>
  <c r="V39" i="59"/>
  <c r="U39" i="59"/>
  <c r="T39" i="59"/>
  <c r="S39" i="59"/>
  <c r="Q39" i="59"/>
  <c r="P39" i="59"/>
  <c r="O39" i="59"/>
  <c r="N39" i="59"/>
  <c r="F39" i="59"/>
  <c r="E39" i="59"/>
  <c r="D39" i="59"/>
  <c r="C39" i="59"/>
  <c r="B39" i="59"/>
  <c r="Q38" i="59"/>
  <c r="P38" i="59"/>
  <c r="O38" i="59"/>
  <c r="N38" i="59"/>
  <c r="F38" i="59"/>
  <c r="E38" i="59"/>
  <c r="D38" i="59"/>
  <c r="C38" i="59"/>
  <c r="B38" i="59"/>
  <c r="Q37" i="59"/>
  <c r="P37" i="59"/>
  <c r="O37" i="59"/>
  <c r="N37" i="59"/>
  <c r="F37" i="59"/>
  <c r="E37" i="59"/>
  <c r="D37" i="59"/>
  <c r="C37" i="59"/>
  <c r="B37" i="59"/>
  <c r="Q36" i="59"/>
  <c r="P36" i="59"/>
  <c r="O36" i="59"/>
  <c r="N36" i="59"/>
  <c r="D36" i="59"/>
  <c r="V35" i="59"/>
  <c r="U35" i="59"/>
  <c r="T35" i="59"/>
  <c r="S35" i="59"/>
  <c r="Q35" i="59"/>
  <c r="P35" i="59"/>
  <c r="O35" i="59"/>
  <c r="N35" i="59"/>
  <c r="F35" i="59"/>
  <c r="E35" i="59"/>
  <c r="D35" i="59"/>
  <c r="B35" i="59"/>
  <c r="Q34" i="59"/>
  <c r="P34" i="59"/>
  <c r="O34" i="59"/>
  <c r="N34" i="59"/>
  <c r="F34" i="59"/>
  <c r="E34" i="59"/>
  <c r="D34" i="59"/>
  <c r="C34" i="59"/>
  <c r="B34" i="59"/>
  <c r="Q33" i="59"/>
  <c r="P33" i="59"/>
  <c r="O33" i="59"/>
  <c r="N33" i="59"/>
  <c r="F33" i="59"/>
  <c r="E33" i="59"/>
  <c r="D33" i="59"/>
  <c r="C33" i="59"/>
  <c r="B33" i="59"/>
  <c r="Q32" i="59"/>
  <c r="P32" i="59"/>
  <c r="O32" i="59"/>
  <c r="N32" i="59"/>
  <c r="D32" i="59"/>
  <c r="V31" i="59"/>
  <c r="U31" i="59"/>
  <c r="T31" i="59"/>
  <c r="S31" i="59"/>
  <c r="Q31" i="59"/>
  <c r="P31" i="59"/>
  <c r="O31" i="59"/>
  <c r="N31" i="59"/>
  <c r="F31" i="59"/>
  <c r="E31" i="59"/>
  <c r="D31" i="59"/>
  <c r="C31" i="59"/>
  <c r="B31" i="59"/>
  <c r="Q30" i="59"/>
  <c r="P30" i="59"/>
  <c r="O30" i="59"/>
  <c r="N30" i="59"/>
  <c r="F30" i="59"/>
  <c r="E30" i="59"/>
  <c r="D30" i="59"/>
  <c r="C30" i="59"/>
  <c r="B30" i="59"/>
  <c r="Q29" i="59"/>
  <c r="P29" i="59"/>
  <c r="O29" i="59"/>
  <c r="N29" i="59"/>
  <c r="F29" i="59"/>
  <c r="E29" i="59"/>
  <c r="D29" i="59"/>
  <c r="C29" i="59"/>
  <c r="B29" i="59"/>
  <c r="Q28" i="59"/>
  <c r="P28" i="59"/>
  <c r="O28" i="59"/>
  <c r="N28" i="59"/>
  <c r="D28" i="59"/>
  <c r="AH27" i="59"/>
  <c r="AG27" i="59"/>
  <c r="AF27" i="59"/>
  <c r="AE27" i="59"/>
  <c r="AD27" i="59"/>
  <c r="V27" i="59"/>
  <c r="U27" i="59"/>
  <c r="T27" i="59"/>
  <c r="S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D24" i="59"/>
  <c r="AH23" i="59"/>
  <c r="AG23" i="59"/>
  <c r="AF23" i="59"/>
  <c r="AE23" i="59"/>
  <c r="AD23" i="59"/>
  <c r="AB23" i="59"/>
  <c r="AA23" i="59"/>
  <c r="Z23" i="59"/>
  <c r="Y23" i="59"/>
  <c r="X23" i="59"/>
  <c r="V23" i="59"/>
  <c r="U23" i="59"/>
  <c r="T23" i="59"/>
  <c r="S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D20" i="59"/>
  <c r="AH19" i="59"/>
  <c r="AG19" i="59"/>
  <c r="AF19" i="59"/>
  <c r="AE19" i="59"/>
  <c r="AD19" i="59"/>
  <c r="AB19" i="59"/>
  <c r="AA19" i="59"/>
  <c r="Z19" i="59"/>
  <c r="Y19" i="59"/>
  <c r="X19" i="59"/>
  <c r="V19" i="59"/>
  <c r="U19" i="59"/>
  <c r="T19" i="59"/>
  <c r="S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D16" i="59"/>
  <c r="AH15" i="59"/>
  <c r="AG15" i="59"/>
  <c r="AF15" i="59"/>
  <c r="AE15" i="59"/>
  <c r="AD15" i="59"/>
  <c r="AB15" i="59"/>
  <c r="AA15" i="59"/>
  <c r="Z15" i="59"/>
  <c r="Y15" i="59"/>
  <c r="X15" i="59"/>
  <c r="V15" i="59"/>
  <c r="U15" i="59"/>
  <c r="T15" i="59"/>
  <c r="S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D12" i="59"/>
  <c r="AH11" i="59"/>
  <c r="AG11" i="59"/>
  <c r="AF11" i="59"/>
  <c r="AE11" i="59"/>
  <c r="AD11" i="59"/>
  <c r="AB11" i="59"/>
  <c r="AA11" i="59"/>
  <c r="Z11" i="59"/>
  <c r="Y11" i="59"/>
  <c r="X11" i="59"/>
  <c r="V11" i="59"/>
  <c r="U11" i="59"/>
  <c r="T11" i="59"/>
  <c r="S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V7" i="59"/>
  <c r="U7" i="59"/>
  <c r="T7" i="59"/>
  <c r="S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G20" i="43"/>
  <c r="E41" i="43"/>
  <c r="C41" i="43"/>
  <c r="C39" i="43"/>
  <c r="G39" i="43"/>
  <c r="I39" i="43"/>
  <c r="H39" i="43"/>
  <c r="F39" i="43"/>
  <c r="E39" i="43"/>
  <c r="C38" i="43"/>
  <c r="G38" i="43"/>
  <c r="I38" i="43"/>
  <c r="H38" i="43"/>
  <c r="F38" i="43"/>
  <c r="E38" i="43"/>
  <c r="C20" i="43"/>
  <c r="C37" i="43"/>
  <c r="G37" i="43"/>
  <c r="I37" i="43"/>
  <c r="H37" i="43"/>
  <c r="F37" i="43"/>
  <c r="E37" i="43"/>
  <c r="C36" i="43"/>
  <c r="G36" i="43"/>
  <c r="I36" i="43"/>
  <c r="H36" i="43"/>
  <c r="F36" i="43"/>
  <c r="E36" i="43"/>
  <c r="C35" i="43"/>
  <c r="G35" i="43"/>
  <c r="I35" i="43"/>
  <c r="H35" i="43"/>
  <c r="F35" i="43"/>
  <c r="E35" i="43"/>
  <c r="C34" i="43"/>
  <c r="G34" i="43"/>
  <c r="I34" i="43"/>
  <c r="H34" i="43"/>
  <c r="F34" i="43"/>
  <c r="E34" i="43"/>
  <c r="C33" i="43"/>
  <c r="G33" i="43"/>
  <c r="I33" i="43"/>
  <c r="H33" i="43"/>
  <c r="F33" i="43"/>
  <c r="E33" i="43"/>
  <c r="C29" i="43"/>
  <c r="C30" i="43"/>
  <c r="E30" i="43"/>
  <c r="E29" i="43"/>
  <c r="E20" i="43"/>
  <c r="P28" i="43"/>
  <c r="O28" i="43"/>
  <c r="N28" i="43"/>
  <c r="M28" i="43"/>
  <c r="C27" i="43"/>
  <c r="C26" i="43"/>
  <c r="P25" i="43"/>
  <c r="P24" i="43"/>
  <c r="C24" i="43"/>
  <c r="P23" i="43"/>
  <c r="C23" i="43"/>
  <c r="P22" i="43"/>
  <c r="J22" i="43"/>
  <c r="H22" i="43"/>
  <c r="G22" i="43"/>
  <c r="F22" i="43"/>
  <c r="E22" i="43"/>
  <c r="D22" i="43"/>
  <c r="P21" i="43"/>
  <c r="C21" i="43"/>
  <c r="M20" i="43"/>
  <c r="J20" i="43"/>
  <c r="I20" i="43"/>
  <c r="O19" i="43"/>
  <c r="M19" i="43"/>
  <c r="I19" i="43"/>
  <c r="G19" i="43"/>
  <c r="C19" i="43"/>
  <c r="C18" i="43"/>
  <c r="O17" i="43"/>
  <c r="N17" i="43"/>
  <c r="M17" i="43"/>
  <c r="L17" i="43"/>
  <c r="K17" i="43"/>
  <c r="J17" i="43"/>
  <c r="I17" i="43"/>
  <c r="H17" i="43"/>
  <c r="G17" i="43"/>
  <c r="E17" i="43"/>
  <c r="D17" i="43"/>
  <c r="C17" i="43"/>
  <c r="T16" i="43"/>
  <c r="V16" i="43"/>
  <c r="C16" i="43"/>
  <c r="A16" i="43"/>
  <c r="T15" i="43"/>
  <c r="V15" i="43"/>
  <c r="F15" i="43"/>
  <c r="E15" i="43"/>
  <c r="D15" i="43"/>
  <c r="C15" i="43"/>
  <c r="T14" i="43"/>
  <c r="V14" i="43"/>
  <c r="AJ13" i="43"/>
  <c r="AI13" i="43"/>
  <c r="AH13" i="43"/>
  <c r="AG13" i="43"/>
  <c r="AF13" i="43"/>
  <c r="AE13" i="43"/>
  <c r="AD13" i="43"/>
  <c r="AC13" i="43"/>
  <c r="AB13" i="43"/>
  <c r="AA13" i="43"/>
  <c r="Z13" i="43"/>
  <c r="Y13" i="43"/>
  <c r="T13" i="43"/>
  <c r="V13" i="43"/>
  <c r="AJ12" i="43"/>
  <c r="AI12" i="43"/>
  <c r="AH12" i="43"/>
  <c r="AG12" i="43"/>
  <c r="AF12" i="43"/>
  <c r="AE12" i="43"/>
  <c r="AD12" i="43"/>
  <c r="AC12" i="43"/>
  <c r="AB12" i="43"/>
  <c r="AA12" i="43"/>
  <c r="Z12" i="43"/>
  <c r="Y12" i="43"/>
  <c r="T12" i="43"/>
  <c r="V12" i="43"/>
  <c r="N12" i="43"/>
  <c r="M12" i="43"/>
  <c r="C12" i="43"/>
  <c r="A12" i="43"/>
  <c r="AJ11" i="43"/>
  <c r="AI11" i="43"/>
  <c r="AH11" i="43"/>
  <c r="AG11" i="43"/>
  <c r="AF11" i="43"/>
  <c r="AE11" i="43"/>
  <c r="AD11" i="43"/>
  <c r="AC11" i="43"/>
  <c r="AB11" i="43"/>
  <c r="AA11" i="43"/>
  <c r="Z11" i="43"/>
  <c r="Y11" i="43"/>
  <c r="T11" i="43"/>
  <c r="V11" i="43"/>
  <c r="N11" i="43"/>
  <c r="M11" i="43"/>
  <c r="E11" i="43"/>
  <c r="C11" i="43"/>
  <c r="AJ10" i="43"/>
  <c r="AI10" i="43"/>
  <c r="AH10" i="43"/>
  <c r="AG10" i="43"/>
  <c r="AF10" i="43"/>
  <c r="AE10" i="43"/>
  <c r="AD10" i="43"/>
  <c r="AC10" i="43"/>
  <c r="AB10" i="43"/>
  <c r="AA10" i="43"/>
  <c r="Z10" i="43"/>
  <c r="Y10" i="43"/>
  <c r="T10" i="43"/>
  <c r="V10" i="43"/>
  <c r="N10" i="43"/>
  <c r="M10" i="43"/>
  <c r="E10" i="43"/>
  <c r="C10" i="43"/>
  <c r="AJ9" i="43"/>
  <c r="AI9" i="43"/>
  <c r="AH9" i="43"/>
  <c r="AG9" i="43"/>
  <c r="AF9" i="43"/>
  <c r="AE9" i="43"/>
  <c r="AD9" i="43"/>
  <c r="AC9" i="43"/>
  <c r="AB9" i="43"/>
  <c r="AA9" i="43"/>
  <c r="Z9" i="43"/>
  <c r="T9" i="43"/>
  <c r="V9" i="43"/>
  <c r="N9" i="43"/>
  <c r="M9" i="43"/>
  <c r="E9" i="43"/>
  <c r="C9" i="43"/>
  <c r="T8" i="43"/>
  <c r="V8" i="43"/>
  <c r="N8" i="43"/>
  <c r="M8" i="43"/>
  <c r="E8" i="43"/>
  <c r="Z7" i="43"/>
  <c r="X7" i="43"/>
  <c r="T7" i="43"/>
  <c r="V7" i="43"/>
  <c r="S7" i="43"/>
  <c r="N7" i="43"/>
  <c r="M7" i="43"/>
  <c r="C7" i="43"/>
  <c r="A7" i="43"/>
  <c r="T6" i="43"/>
  <c r="V6" i="43"/>
  <c r="S6" i="43"/>
  <c r="N6" i="43"/>
  <c r="M6" i="43"/>
  <c r="C6" i="43"/>
  <c r="T5" i="43"/>
  <c r="V5" i="43"/>
  <c r="S5" i="43"/>
  <c r="N5" i="43"/>
  <c r="M5" i="43"/>
  <c r="D5" i="43"/>
  <c r="C5" i="43"/>
  <c r="T4" i="43"/>
  <c r="V4" i="43"/>
  <c r="S4" i="43"/>
  <c r="N4" i="43"/>
  <c r="M4" i="43"/>
  <c r="T3" i="43"/>
  <c r="V3" i="43"/>
  <c r="S3" i="43"/>
  <c r="N3" i="43"/>
  <c r="M3" i="43"/>
  <c r="G3" i="43"/>
  <c r="B2" i="43"/>
  <c r="B3" i="43"/>
  <c r="T2" i="43"/>
  <c r="V2"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25" i="31"/>
  <c r="C12" i="4"/>
  <c r="B5" i="1"/>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E2" i="36"/>
  <c r="B2" i="36"/>
  <c r="B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E2" i="35"/>
  <c r="C2"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E2" i="37"/>
  <c r="B2" i="37"/>
  <c r="B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E2" i="33"/>
  <c r="B2" i="33"/>
  <c r="B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E2" i="21"/>
  <c r="B2" i="21"/>
  <c r="B3" i="21"/>
  <c r="F2" i="21"/>
  <c r="C2" i="21"/>
  <c r="Y527" i="31"/>
  <c r="X527" i="31"/>
  <c r="V527" i="31"/>
  <c r="U527" i="31"/>
  <c r="R527" i="31"/>
  <c r="T527" i="31"/>
  <c r="S527" i="31"/>
  <c r="Q527" i="31"/>
  <c r="O527" i="31"/>
  <c r="M527" i="31"/>
  <c r="K527" i="31"/>
  <c r="I527" i="31"/>
  <c r="G527" i="31"/>
  <c r="E527" i="31"/>
  <c r="C527" i="31"/>
  <c r="Y526" i="31"/>
  <c r="X526" i="31"/>
  <c r="V526" i="31"/>
  <c r="U526" i="31"/>
  <c r="R526" i="31"/>
  <c r="T526" i="31"/>
  <c r="S526" i="31"/>
  <c r="Q526" i="31"/>
  <c r="O526" i="31"/>
  <c r="M526" i="31"/>
  <c r="K526" i="31"/>
  <c r="I526" i="31"/>
  <c r="G526" i="31"/>
  <c r="E526" i="31"/>
  <c r="C526" i="31"/>
  <c r="Y525" i="31"/>
  <c r="X525" i="31"/>
  <c r="V525" i="31"/>
  <c r="U525" i="31"/>
  <c r="R525" i="31"/>
  <c r="T525" i="31"/>
  <c r="S525" i="31"/>
  <c r="Q525" i="31"/>
  <c r="O525" i="31"/>
  <c r="M525" i="31"/>
  <c r="K525" i="31"/>
  <c r="I525" i="31"/>
  <c r="G525" i="31"/>
  <c r="E525" i="31"/>
  <c r="C525" i="31"/>
  <c r="Y524" i="31"/>
  <c r="X524" i="31"/>
  <c r="V524" i="31"/>
  <c r="U524" i="31"/>
  <c r="R524" i="31"/>
  <c r="T524" i="31"/>
  <c r="S524" i="31"/>
  <c r="Q524" i="31"/>
  <c r="O524" i="31"/>
  <c r="M524" i="31"/>
  <c r="K524" i="31"/>
  <c r="I524" i="31"/>
  <c r="G524" i="31"/>
  <c r="E524" i="31"/>
  <c r="C524" i="31"/>
  <c r="Y523" i="31"/>
  <c r="X523" i="31"/>
  <c r="V523" i="31"/>
  <c r="U523" i="31"/>
  <c r="R523" i="31"/>
  <c r="T523" i="31"/>
  <c r="S523" i="31"/>
  <c r="Q523" i="31"/>
  <c r="O523" i="31"/>
  <c r="M523" i="31"/>
  <c r="K523" i="31"/>
  <c r="I523" i="31"/>
  <c r="G523" i="31"/>
  <c r="E523" i="31"/>
  <c r="C523" i="31"/>
  <c r="Y522" i="31"/>
  <c r="X522" i="31"/>
  <c r="V522" i="31"/>
  <c r="U522" i="31"/>
  <c r="R522" i="31"/>
  <c r="T522" i="31"/>
  <c r="S522" i="31"/>
  <c r="Q522" i="31"/>
  <c r="O522" i="31"/>
  <c r="M522" i="31"/>
  <c r="K522" i="31"/>
  <c r="I522" i="31"/>
  <c r="G522" i="31"/>
  <c r="E522" i="31"/>
  <c r="C522" i="31"/>
  <c r="Y521" i="31"/>
  <c r="X521" i="31"/>
  <c r="V521" i="31"/>
  <c r="U521" i="31"/>
  <c r="R521" i="31"/>
  <c r="T521" i="31"/>
  <c r="S521" i="31"/>
  <c r="Q521" i="31"/>
  <c r="O521" i="31"/>
  <c r="M521" i="31"/>
  <c r="K521" i="31"/>
  <c r="I521" i="31"/>
  <c r="G521" i="31"/>
  <c r="E521" i="31"/>
  <c r="C521" i="31"/>
  <c r="Y520" i="31"/>
  <c r="X520" i="31"/>
  <c r="V520" i="31"/>
  <c r="U520" i="31"/>
  <c r="R520" i="31"/>
  <c r="T520" i="31"/>
  <c r="S520" i="31"/>
  <c r="Q520" i="31"/>
  <c r="O520" i="31"/>
  <c r="M520" i="31"/>
  <c r="K520" i="31"/>
  <c r="I520" i="31"/>
  <c r="G520" i="31"/>
  <c r="E520" i="31"/>
  <c r="C520" i="31"/>
  <c r="Y519" i="31"/>
  <c r="X519" i="31"/>
  <c r="V519" i="31"/>
  <c r="U519" i="31"/>
  <c r="R519" i="31"/>
  <c r="T519" i="31"/>
  <c r="S519" i="31"/>
  <c r="Q519" i="31"/>
  <c r="O519" i="31"/>
  <c r="M519" i="31"/>
  <c r="K519" i="31"/>
  <c r="I519" i="31"/>
  <c r="G519" i="31"/>
  <c r="E519" i="31"/>
  <c r="C519" i="31"/>
  <c r="Y518" i="31"/>
  <c r="X518" i="31"/>
  <c r="V518" i="31"/>
  <c r="U518" i="31"/>
  <c r="R518" i="31"/>
  <c r="T518" i="31"/>
  <c r="S518" i="31"/>
  <c r="Q518" i="31"/>
  <c r="O518" i="31"/>
  <c r="M518" i="31"/>
  <c r="K518" i="31"/>
  <c r="I518" i="31"/>
  <c r="G518" i="31"/>
  <c r="E518" i="31"/>
  <c r="C518" i="31"/>
  <c r="Y517" i="31"/>
  <c r="X517" i="31"/>
  <c r="V517" i="31"/>
  <c r="U517" i="31"/>
  <c r="R517" i="31"/>
  <c r="T517" i="31"/>
  <c r="S517" i="31"/>
  <c r="Q517" i="31"/>
  <c r="O517" i="31"/>
  <c r="M517" i="31"/>
  <c r="K517" i="31"/>
  <c r="I517" i="31"/>
  <c r="G517" i="31"/>
  <c r="E517" i="31"/>
  <c r="C517" i="31"/>
  <c r="Y516" i="31"/>
  <c r="X516" i="31"/>
  <c r="V516" i="31"/>
  <c r="U516" i="31"/>
  <c r="R516" i="31"/>
  <c r="T516" i="31"/>
  <c r="S516" i="31"/>
  <c r="Q516" i="31"/>
  <c r="O516" i="31"/>
  <c r="M516" i="31"/>
  <c r="K516" i="31"/>
  <c r="I516" i="31"/>
  <c r="G516" i="31"/>
  <c r="E516" i="31"/>
  <c r="C516" i="31"/>
  <c r="Y515" i="31"/>
  <c r="X515" i="31"/>
  <c r="V515" i="31"/>
  <c r="U515" i="31"/>
  <c r="R515" i="31"/>
  <c r="T515" i="31"/>
  <c r="S515" i="31"/>
  <c r="Q515" i="31"/>
  <c r="O515" i="31"/>
  <c r="M515" i="31"/>
  <c r="K515" i="31"/>
  <c r="I515" i="31"/>
  <c r="G515" i="31"/>
  <c r="E515" i="31"/>
  <c r="C515" i="31"/>
  <c r="Y514" i="31"/>
  <c r="X514" i="31"/>
  <c r="V514" i="31"/>
  <c r="U514" i="31"/>
  <c r="R514" i="31"/>
  <c r="T514" i="31"/>
  <c r="S514" i="31"/>
  <c r="Q514" i="31"/>
  <c r="O514" i="31"/>
  <c r="M514" i="31"/>
  <c r="K514" i="31"/>
  <c r="I514" i="31"/>
  <c r="G514" i="31"/>
  <c r="E514" i="31"/>
  <c r="C514" i="31"/>
  <c r="Y513" i="31"/>
  <c r="X513" i="31"/>
  <c r="V513" i="31"/>
  <c r="U513" i="31"/>
  <c r="R513" i="31"/>
  <c r="T513" i="31"/>
  <c r="S513" i="31"/>
  <c r="Q513" i="31"/>
  <c r="O513" i="31"/>
  <c r="M513" i="31"/>
  <c r="K513" i="31"/>
  <c r="I513" i="31"/>
  <c r="G513" i="31"/>
  <c r="E513" i="31"/>
  <c r="C513" i="31"/>
  <c r="Y512" i="31"/>
  <c r="X512" i="31"/>
  <c r="V512" i="31"/>
  <c r="U512" i="31"/>
  <c r="R512" i="31"/>
  <c r="T512" i="31"/>
  <c r="S512" i="31"/>
  <c r="Q512" i="31"/>
  <c r="O512" i="31"/>
  <c r="M512" i="31"/>
  <c r="K512" i="31"/>
  <c r="I512" i="31"/>
  <c r="G512" i="31"/>
  <c r="E512" i="31"/>
  <c r="C512" i="31"/>
  <c r="Y511" i="31"/>
  <c r="X511" i="31"/>
  <c r="V511" i="31"/>
  <c r="U511" i="31"/>
  <c r="R511" i="31"/>
  <c r="T511" i="31"/>
  <c r="S511" i="31"/>
  <c r="Q511" i="31"/>
  <c r="O511" i="31"/>
  <c r="M511" i="31"/>
  <c r="K511" i="31"/>
  <c r="I511" i="31"/>
  <c r="G511" i="31"/>
  <c r="E511" i="31"/>
  <c r="C511" i="31"/>
  <c r="Y510" i="31"/>
  <c r="X510" i="31"/>
  <c r="V510" i="31"/>
  <c r="U510" i="31"/>
  <c r="R510" i="31"/>
  <c r="T510" i="31"/>
  <c r="S510" i="31"/>
  <c r="Q510" i="31"/>
  <c r="O510" i="31"/>
  <c r="M510" i="31"/>
  <c r="K510" i="31"/>
  <c r="I510" i="31"/>
  <c r="G510" i="31"/>
  <c r="E510" i="31"/>
  <c r="C510" i="31"/>
  <c r="Y509" i="31"/>
  <c r="X509" i="31"/>
  <c r="V509" i="31"/>
  <c r="U509" i="31"/>
  <c r="R509" i="31"/>
  <c r="T509" i="31"/>
  <c r="S509" i="31"/>
  <c r="Q509" i="31"/>
  <c r="O509" i="31"/>
  <c r="M509" i="31"/>
  <c r="K509" i="31"/>
  <c r="I509" i="31"/>
  <c r="G509" i="31"/>
  <c r="E509" i="31"/>
  <c r="C509" i="31"/>
  <c r="Y508" i="31"/>
  <c r="X508" i="31"/>
  <c r="V508" i="31"/>
  <c r="U508" i="31"/>
  <c r="R508" i="31"/>
  <c r="T508" i="31"/>
  <c r="S508" i="31"/>
  <c r="Q508" i="31"/>
  <c r="O508" i="31"/>
  <c r="M508" i="31"/>
  <c r="K508" i="31"/>
  <c r="I508" i="31"/>
  <c r="G508" i="31"/>
  <c r="E508" i="31"/>
  <c r="C508" i="31"/>
  <c r="Y507" i="31"/>
  <c r="X507" i="31"/>
  <c r="V507" i="31"/>
  <c r="U507" i="31"/>
  <c r="R507" i="31"/>
  <c r="T507" i="31"/>
  <c r="S507" i="31"/>
  <c r="Q507" i="31"/>
  <c r="O507" i="31"/>
  <c r="M507" i="31"/>
  <c r="K507" i="31"/>
  <c r="I507" i="31"/>
  <c r="G507" i="31"/>
  <c r="E507" i="31"/>
  <c r="C507" i="31"/>
  <c r="Y506" i="31"/>
  <c r="X506" i="31"/>
  <c r="V506" i="31"/>
  <c r="U506" i="31"/>
  <c r="R506" i="31"/>
  <c r="T506" i="31"/>
  <c r="S506" i="31"/>
  <c r="Q506" i="31"/>
  <c r="O506" i="31"/>
  <c r="M506" i="31"/>
  <c r="K506" i="31"/>
  <c r="I506" i="31"/>
  <c r="G506" i="31"/>
  <c r="E506" i="31"/>
  <c r="C506" i="31"/>
  <c r="Y505" i="31"/>
  <c r="X505" i="31"/>
  <c r="V505" i="31"/>
  <c r="U505" i="31"/>
  <c r="R505" i="31"/>
  <c r="T505" i="31"/>
  <c r="S505" i="31"/>
  <c r="Q505" i="31"/>
  <c r="O505" i="31"/>
  <c r="M505" i="31"/>
  <c r="K505" i="31"/>
  <c r="I505" i="31"/>
  <c r="G505" i="31"/>
  <c r="E505" i="31"/>
  <c r="C505" i="31"/>
  <c r="Y504" i="31"/>
  <c r="X504" i="31"/>
  <c r="V504" i="31"/>
  <c r="U504" i="31"/>
  <c r="R504" i="31"/>
  <c r="T504" i="31"/>
  <c r="S504" i="31"/>
  <c r="Q504" i="31"/>
  <c r="O504" i="31"/>
  <c r="M504" i="31"/>
  <c r="K504" i="31"/>
  <c r="I504" i="31"/>
  <c r="G504" i="31"/>
  <c r="E504" i="31"/>
  <c r="C504" i="31"/>
  <c r="Y503" i="31"/>
  <c r="X503" i="31"/>
  <c r="V503" i="31"/>
  <c r="U503" i="31"/>
  <c r="R503" i="31"/>
  <c r="T503" i="31"/>
  <c r="S503" i="31"/>
  <c r="Q503" i="31"/>
  <c r="O503" i="31"/>
  <c r="M503" i="31"/>
  <c r="K503" i="31"/>
  <c r="I503" i="31"/>
  <c r="G503" i="31"/>
  <c r="E503" i="31"/>
  <c r="C503" i="31"/>
  <c r="Y502" i="31"/>
  <c r="X502" i="31"/>
  <c r="V502" i="31"/>
  <c r="U502" i="31"/>
  <c r="R502" i="31"/>
  <c r="T502" i="31"/>
  <c r="S502" i="31"/>
  <c r="Q502" i="31"/>
  <c r="O502" i="31"/>
  <c r="M502" i="31"/>
  <c r="K502" i="31"/>
  <c r="I502" i="31"/>
  <c r="G502" i="31"/>
  <c r="E502" i="31"/>
  <c r="C502" i="31"/>
  <c r="Y501" i="31"/>
  <c r="X501" i="31"/>
  <c r="V501" i="31"/>
  <c r="U501" i="31"/>
  <c r="R501" i="31"/>
  <c r="T501" i="31"/>
  <c r="S501" i="31"/>
  <c r="Q501" i="31"/>
  <c r="O501" i="31"/>
  <c r="M501" i="31"/>
  <c r="K501" i="31"/>
  <c r="I501" i="31"/>
  <c r="G501" i="31"/>
  <c r="E501" i="31"/>
  <c r="C501" i="31"/>
  <c r="Y500" i="31"/>
  <c r="X500" i="31"/>
  <c r="V500" i="31"/>
  <c r="U500" i="31"/>
  <c r="R500" i="31"/>
  <c r="T500" i="31"/>
  <c r="S500" i="31"/>
  <c r="Q500" i="31"/>
  <c r="O500" i="31"/>
  <c r="M500" i="31"/>
  <c r="K500" i="31"/>
  <c r="I500" i="31"/>
  <c r="G500" i="31"/>
  <c r="E500" i="31"/>
  <c r="C500" i="31"/>
  <c r="Y499" i="31"/>
  <c r="X499" i="31"/>
  <c r="V499" i="31"/>
  <c r="U499" i="31"/>
  <c r="R499" i="31"/>
  <c r="T499" i="31"/>
  <c r="S499" i="31"/>
  <c r="Q499" i="31"/>
  <c r="O499" i="31"/>
  <c r="M499" i="31"/>
  <c r="K499" i="31"/>
  <c r="I499" i="31"/>
  <c r="G499" i="31"/>
  <c r="E499" i="31"/>
  <c r="C499" i="31"/>
  <c r="Y498" i="31"/>
  <c r="X498" i="31"/>
  <c r="V498" i="31"/>
  <c r="U498" i="31"/>
  <c r="R498" i="31"/>
  <c r="T498" i="31"/>
  <c r="S498" i="31"/>
  <c r="Q498" i="31"/>
  <c r="O498" i="31"/>
  <c r="M498" i="31"/>
  <c r="K498" i="31"/>
  <c r="I498" i="31"/>
  <c r="G498" i="31"/>
  <c r="E498" i="31"/>
  <c r="C498" i="31"/>
  <c r="Y497" i="31"/>
  <c r="X497" i="31"/>
  <c r="V497" i="31"/>
  <c r="U497" i="31"/>
  <c r="R497" i="31"/>
  <c r="T497" i="31"/>
  <c r="S497" i="31"/>
  <c r="Q497" i="31"/>
  <c r="O497" i="31"/>
  <c r="M497" i="31"/>
  <c r="K497" i="31"/>
  <c r="I497" i="31"/>
  <c r="G497" i="31"/>
  <c r="E497" i="31"/>
  <c r="C497" i="31"/>
  <c r="Y496" i="31"/>
  <c r="X496" i="31"/>
  <c r="V496" i="31"/>
  <c r="U496" i="31"/>
  <c r="R496" i="31"/>
  <c r="T496" i="31"/>
  <c r="S496" i="31"/>
  <c r="Q496" i="31"/>
  <c r="O496" i="31"/>
  <c r="M496" i="31"/>
  <c r="K496" i="31"/>
  <c r="I496" i="31"/>
  <c r="G496" i="31"/>
  <c r="E496" i="31"/>
  <c r="C496" i="31"/>
  <c r="Y495" i="31"/>
  <c r="X495" i="31"/>
  <c r="V495" i="31"/>
  <c r="U495" i="31"/>
  <c r="R495" i="31"/>
  <c r="T495" i="31"/>
  <c r="S495" i="31"/>
  <c r="Q495" i="31"/>
  <c r="O495" i="31"/>
  <c r="M495" i="31"/>
  <c r="K495" i="31"/>
  <c r="I495" i="31"/>
  <c r="G495" i="31"/>
  <c r="E495" i="31"/>
  <c r="C495" i="31"/>
  <c r="Y494" i="31"/>
  <c r="X494" i="31"/>
  <c r="V494" i="31"/>
  <c r="U494" i="31"/>
  <c r="R494" i="31"/>
  <c r="T494" i="31"/>
  <c r="S494" i="31"/>
  <c r="Q494" i="31"/>
  <c r="O494" i="31"/>
  <c r="M494" i="31"/>
  <c r="K494" i="31"/>
  <c r="I494" i="31"/>
  <c r="G494" i="31"/>
  <c r="E494" i="31"/>
  <c r="C494" i="31"/>
  <c r="Y493" i="31"/>
  <c r="X493" i="31"/>
  <c r="V493" i="31"/>
  <c r="U493" i="31"/>
  <c r="R493" i="31"/>
  <c r="T493" i="31"/>
  <c r="S493" i="31"/>
  <c r="Q493" i="31"/>
  <c r="O493" i="31"/>
  <c r="M493" i="31"/>
  <c r="K493" i="31"/>
  <c r="I493" i="31"/>
  <c r="G493" i="31"/>
  <c r="E493" i="31"/>
  <c r="C493" i="31"/>
  <c r="Y492" i="31"/>
  <c r="X492" i="31"/>
  <c r="V492" i="31"/>
  <c r="U492" i="31"/>
  <c r="R492" i="31"/>
  <c r="T492" i="31"/>
  <c r="S492" i="31"/>
  <c r="Q492" i="31"/>
  <c r="O492" i="31"/>
  <c r="M492" i="31"/>
  <c r="K492" i="31"/>
  <c r="I492" i="31"/>
  <c r="G492" i="31"/>
  <c r="E492" i="31"/>
  <c r="C492" i="31"/>
  <c r="Y491" i="31"/>
  <c r="X491" i="31"/>
  <c r="V491" i="31"/>
  <c r="U491" i="31"/>
  <c r="R491" i="31"/>
  <c r="T491" i="31"/>
  <c r="S491" i="31"/>
  <c r="Q491" i="31"/>
  <c r="O491" i="31"/>
  <c r="M491" i="31"/>
  <c r="K491" i="31"/>
  <c r="I491" i="31"/>
  <c r="G491" i="31"/>
  <c r="E491" i="31"/>
  <c r="C491" i="31"/>
  <c r="Y490" i="31"/>
  <c r="X490" i="31"/>
  <c r="V490" i="31"/>
  <c r="U490" i="31"/>
  <c r="R490" i="31"/>
  <c r="T490" i="31"/>
  <c r="S490" i="31"/>
  <c r="Q490" i="31"/>
  <c r="O490" i="31"/>
  <c r="M490" i="31"/>
  <c r="K490" i="31"/>
  <c r="I490" i="31"/>
  <c r="G490" i="31"/>
  <c r="E490" i="31"/>
  <c r="C490" i="31"/>
  <c r="Y489" i="31"/>
  <c r="X489" i="31"/>
  <c r="V489" i="31"/>
  <c r="U489" i="31"/>
  <c r="R489" i="31"/>
  <c r="T489" i="31"/>
  <c r="S489" i="31"/>
  <c r="Q489" i="31"/>
  <c r="O489" i="31"/>
  <c r="M489" i="31"/>
  <c r="K489" i="31"/>
  <c r="I489" i="31"/>
  <c r="G489" i="31"/>
  <c r="E489" i="31"/>
  <c r="C489" i="31"/>
  <c r="Y488" i="31"/>
  <c r="X488" i="31"/>
  <c r="V488" i="31"/>
  <c r="U488" i="31"/>
  <c r="R488" i="31"/>
  <c r="T488" i="31"/>
  <c r="S488" i="31"/>
  <c r="Q488" i="31"/>
  <c r="O488" i="31"/>
  <c r="M488" i="31"/>
  <c r="K488" i="31"/>
  <c r="I488" i="31"/>
  <c r="G488" i="31"/>
  <c r="E488" i="31"/>
  <c r="C488" i="31"/>
  <c r="Y487" i="31"/>
  <c r="X487" i="31"/>
  <c r="V487" i="31"/>
  <c r="U487" i="31"/>
  <c r="R487" i="31"/>
  <c r="T487" i="31"/>
  <c r="S487" i="31"/>
  <c r="Q487" i="31"/>
  <c r="O487" i="31"/>
  <c r="M487" i="31"/>
  <c r="K487" i="31"/>
  <c r="I487" i="31"/>
  <c r="G487" i="31"/>
  <c r="E487" i="31"/>
  <c r="C487" i="31"/>
  <c r="Y486" i="31"/>
  <c r="X486" i="31"/>
  <c r="V486" i="31"/>
  <c r="U486" i="31"/>
  <c r="R486" i="31"/>
  <c r="T486" i="31"/>
  <c r="S486" i="31"/>
  <c r="Q486" i="31"/>
  <c r="O486" i="31"/>
  <c r="M486" i="31"/>
  <c r="K486" i="31"/>
  <c r="I486" i="31"/>
  <c r="G486" i="31"/>
  <c r="E486" i="31"/>
  <c r="C486" i="31"/>
  <c r="Y485" i="31"/>
  <c r="X485" i="31"/>
  <c r="V485" i="31"/>
  <c r="U485" i="31"/>
  <c r="R485" i="31"/>
  <c r="T485" i="31"/>
  <c r="S485" i="31"/>
  <c r="Q485" i="31"/>
  <c r="O485" i="31"/>
  <c r="M485" i="31"/>
  <c r="K485" i="31"/>
  <c r="I485" i="31"/>
  <c r="G485" i="31"/>
  <c r="E485" i="31"/>
  <c r="C485" i="31"/>
  <c r="Y484" i="31"/>
  <c r="X484" i="31"/>
  <c r="V484" i="31"/>
  <c r="U484" i="31"/>
  <c r="R484" i="31"/>
  <c r="T484" i="31"/>
  <c r="S484" i="31"/>
  <c r="Q484" i="31"/>
  <c r="O484" i="31"/>
  <c r="M484" i="31"/>
  <c r="K484" i="31"/>
  <c r="I484" i="31"/>
  <c r="G484" i="31"/>
  <c r="E484" i="31"/>
  <c r="C484" i="31"/>
  <c r="Y483" i="31"/>
  <c r="X483" i="31"/>
  <c r="V483" i="31"/>
  <c r="U483" i="31"/>
  <c r="R483" i="31"/>
  <c r="T483" i="31"/>
  <c r="S483" i="31"/>
  <c r="Q483" i="31"/>
  <c r="O483" i="31"/>
  <c r="M483" i="31"/>
  <c r="K483" i="31"/>
  <c r="I483" i="31"/>
  <c r="G483" i="31"/>
  <c r="E483" i="31"/>
  <c r="C483" i="31"/>
  <c r="Y482" i="31"/>
  <c r="X482" i="31"/>
  <c r="V482" i="31"/>
  <c r="U482" i="31"/>
  <c r="R482" i="31"/>
  <c r="T482" i="31"/>
  <c r="S482" i="31"/>
  <c r="Q482" i="31"/>
  <c r="O482" i="31"/>
  <c r="M482" i="31"/>
  <c r="K482" i="31"/>
  <c r="I482" i="31"/>
  <c r="G482" i="31"/>
  <c r="E482" i="31"/>
  <c r="C482" i="31"/>
  <c r="Y481" i="31"/>
  <c r="X481" i="31"/>
  <c r="V481" i="31"/>
  <c r="U481" i="31"/>
  <c r="R481" i="31"/>
  <c r="T481" i="31"/>
  <c r="S481" i="31"/>
  <c r="Q481" i="31"/>
  <c r="O481" i="31"/>
  <c r="M481" i="31"/>
  <c r="K481" i="31"/>
  <c r="I481" i="31"/>
  <c r="G481" i="31"/>
  <c r="E481" i="31"/>
  <c r="C481" i="31"/>
  <c r="Y480" i="31"/>
  <c r="X480" i="31"/>
  <c r="V480" i="31"/>
  <c r="U480" i="31"/>
  <c r="R480" i="31"/>
  <c r="T480" i="31"/>
  <c r="S480" i="31"/>
  <c r="Q480" i="31"/>
  <c r="O480" i="31"/>
  <c r="M480" i="31"/>
  <c r="K480" i="31"/>
  <c r="I480" i="31"/>
  <c r="G480" i="31"/>
  <c r="E480" i="31"/>
  <c r="C480" i="31"/>
  <c r="Y479" i="31"/>
  <c r="X479" i="31"/>
  <c r="V479" i="31"/>
  <c r="U479" i="31"/>
  <c r="R479" i="31"/>
  <c r="T479" i="31"/>
  <c r="S479" i="31"/>
  <c r="Q479" i="31"/>
  <c r="O479" i="31"/>
  <c r="M479" i="31"/>
  <c r="K479" i="31"/>
  <c r="I479" i="31"/>
  <c r="G479" i="31"/>
  <c r="E479" i="31"/>
  <c r="C479" i="31"/>
  <c r="Y478" i="31"/>
  <c r="X478" i="31"/>
  <c r="V478" i="31"/>
  <c r="U478" i="31"/>
  <c r="R478" i="31"/>
  <c r="T478" i="31"/>
  <c r="S478" i="31"/>
  <c r="Q478" i="31"/>
  <c r="O478" i="31"/>
  <c r="M478" i="31"/>
  <c r="K478" i="31"/>
  <c r="I478" i="31"/>
  <c r="G478" i="31"/>
  <c r="E478" i="31"/>
  <c r="C478" i="31"/>
  <c r="Y477" i="31"/>
  <c r="X477" i="31"/>
  <c r="V477" i="31"/>
  <c r="U477" i="31"/>
  <c r="R477" i="31"/>
  <c r="T477" i="31"/>
  <c r="S477" i="31"/>
  <c r="Q477" i="31"/>
  <c r="O477" i="31"/>
  <c r="M477" i="31"/>
  <c r="K477" i="31"/>
  <c r="I477" i="31"/>
  <c r="G477" i="31"/>
  <c r="E477" i="31"/>
  <c r="C477" i="31"/>
  <c r="Y476" i="31"/>
  <c r="X476" i="31"/>
  <c r="V476" i="31"/>
  <c r="U476" i="31"/>
  <c r="R476" i="31"/>
  <c r="T476" i="31"/>
  <c r="S476" i="31"/>
  <c r="Q476" i="31"/>
  <c r="O476" i="31"/>
  <c r="M476" i="31"/>
  <c r="K476" i="31"/>
  <c r="I476" i="31"/>
  <c r="G476" i="31"/>
  <c r="E476" i="31"/>
  <c r="C476" i="31"/>
  <c r="Y475" i="31"/>
  <c r="X475" i="31"/>
  <c r="V475" i="31"/>
  <c r="U475" i="31"/>
  <c r="R475" i="31"/>
  <c r="T475" i="31"/>
  <c r="S475" i="31"/>
  <c r="Q475" i="31"/>
  <c r="O475" i="31"/>
  <c r="M475" i="31"/>
  <c r="K475" i="31"/>
  <c r="I475" i="31"/>
  <c r="G475" i="31"/>
  <c r="E475" i="31"/>
  <c r="C475" i="31"/>
  <c r="Y474" i="31"/>
  <c r="X474" i="31"/>
  <c r="V474" i="31"/>
  <c r="U474" i="31"/>
  <c r="R474" i="31"/>
  <c r="T474" i="31"/>
  <c r="S474" i="31"/>
  <c r="Q474" i="31"/>
  <c r="O474" i="31"/>
  <c r="M474" i="31"/>
  <c r="K474" i="31"/>
  <c r="I474" i="31"/>
  <c r="G474" i="31"/>
  <c r="E474" i="31"/>
  <c r="C474" i="31"/>
  <c r="Y473" i="31"/>
  <c r="X473" i="31"/>
  <c r="V473" i="31"/>
  <c r="U473" i="31"/>
  <c r="R473" i="31"/>
  <c r="T473" i="31"/>
  <c r="S473" i="31"/>
  <c r="Q473" i="31"/>
  <c r="O473" i="31"/>
  <c r="M473" i="31"/>
  <c r="K473" i="31"/>
  <c r="I473" i="31"/>
  <c r="G473" i="31"/>
  <c r="E473" i="31"/>
  <c r="C473" i="31"/>
  <c r="Y472" i="31"/>
  <c r="X472" i="31"/>
  <c r="V472" i="31"/>
  <c r="U472" i="31"/>
  <c r="R472" i="31"/>
  <c r="T472" i="31"/>
  <c r="S472" i="31"/>
  <c r="Q472" i="31"/>
  <c r="O472" i="31"/>
  <c r="M472" i="31"/>
  <c r="K472" i="31"/>
  <c r="I472" i="31"/>
  <c r="G472" i="31"/>
  <c r="E472" i="31"/>
  <c r="C472" i="31"/>
  <c r="Y471" i="31"/>
  <c r="X471" i="31"/>
  <c r="V471" i="31"/>
  <c r="U471" i="31"/>
  <c r="R471" i="31"/>
  <c r="T471" i="31"/>
  <c r="S471" i="31"/>
  <c r="Q471" i="31"/>
  <c r="O471" i="31"/>
  <c r="M471" i="31"/>
  <c r="K471" i="31"/>
  <c r="I471" i="31"/>
  <c r="G471" i="31"/>
  <c r="E471" i="31"/>
  <c r="C471" i="31"/>
  <c r="Y470" i="31"/>
  <c r="X470" i="31"/>
  <c r="V470" i="31"/>
  <c r="U470" i="31"/>
  <c r="R470" i="31"/>
  <c r="T470" i="31"/>
  <c r="S470" i="31"/>
  <c r="Q470" i="31"/>
  <c r="O470" i="31"/>
  <c r="M470" i="31"/>
  <c r="K470" i="31"/>
  <c r="I470" i="31"/>
  <c r="G470" i="31"/>
  <c r="E470" i="31"/>
  <c r="C470" i="31"/>
  <c r="Y469" i="31"/>
  <c r="X469" i="31"/>
  <c r="V469" i="31"/>
  <c r="U469" i="31"/>
  <c r="R469" i="31"/>
  <c r="T469" i="31"/>
  <c r="S469" i="31"/>
  <c r="Q469" i="31"/>
  <c r="O469" i="31"/>
  <c r="M469" i="31"/>
  <c r="K469" i="31"/>
  <c r="I469" i="31"/>
  <c r="G469" i="31"/>
  <c r="E469" i="31"/>
  <c r="C469" i="31"/>
  <c r="Y468" i="31"/>
  <c r="X468" i="31"/>
  <c r="V468" i="31"/>
  <c r="U468" i="31"/>
  <c r="R468" i="31"/>
  <c r="T468" i="31"/>
  <c r="S468" i="31"/>
  <c r="Q468" i="31"/>
  <c r="O468" i="31"/>
  <c r="M468" i="31"/>
  <c r="K468" i="31"/>
  <c r="I468" i="31"/>
  <c r="G468" i="31"/>
  <c r="E468" i="31"/>
  <c r="C468" i="31"/>
  <c r="Y467" i="31"/>
  <c r="X467" i="31"/>
  <c r="V467" i="31"/>
  <c r="U467" i="31"/>
  <c r="R467" i="31"/>
  <c r="T467" i="31"/>
  <c r="S467" i="31"/>
  <c r="Q467" i="31"/>
  <c r="O467" i="31"/>
  <c r="M467" i="31"/>
  <c r="K467" i="31"/>
  <c r="I467" i="31"/>
  <c r="G467" i="31"/>
  <c r="E467" i="31"/>
  <c r="C467" i="31"/>
  <c r="Y466" i="31"/>
  <c r="X466" i="31"/>
  <c r="V466" i="31"/>
  <c r="U466" i="31"/>
  <c r="R466" i="31"/>
  <c r="T466" i="31"/>
  <c r="S466" i="31"/>
  <c r="Q466" i="31"/>
  <c r="O466" i="31"/>
  <c r="M466" i="31"/>
  <c r="K466" i="31"/>
  <c r="I466" i="31"/>
  <c r="G466" i="31"/>
  <c r="E466" i="31"/>
  <c r="C466" i="31"/>
  <c r="Y465" i="31"/>
  <c r="X465" i="31"/>
  <c r="V465" i="31"/>
  <c r="U465" i="31"/>
  <c r="R465" i="31"/>
  <c r="T465" i="31"/>
  <c r="S465" i="31"/>
  <c r="Q465" i="31"/>
  <c r="O465" i="31"/>
  <c r="M465" i="31"/>
  <c r="K465" i="31"/>
  <c r="I465" i="31"/>
  <c r="G465" i="31"/>
  <c r="E465" i="31"/>
  <c r="C465" i="31"/>
  <c r="Y464" i="31"/>
  <c r="X464" i="31"/>
  <c r="V464" i="31"/>
  <c r="U464" i="31"/>
  <c r="R464" i="31"/>
  <c r="T464" i="31"/>
  <c r="S464" i="31"/>
  <c r="Q464" i="31"/>
  <c r="O464" i="31"/>
  <c r="M464" i="31"/>
  <c r="K464" i="31"/>
  <c r="I464" i="31"/>
  <c r="G464" i="31"/>
  <c r="E464" i="31"/>
  <c r="C464" i="31"/>
  <c r="Y463" i="31"/>
  <c r="X463" i="31"/>
  <c r="V463" i="31"/>
  <c r="U463" i="31"/>
  <c r="R463" i="31"/>
  <c r="T463" i="31"/>
  <c r="S463" i="31"/>
  <c r="Q463" i="31"/>
  <c r="O463" i="31"/>
  <c r="M463" i="31"/>
  <c r="K463" i="31"/>
  <c r="I463" i="31"/>
  <c r="G463" i="31"/>
  <c r="E463" i="31"/>
  <c r="C463" i="31"/>
  <c r="Y462" i="31"/>
  <c r="X462" i="31"/>
  <c r="V462" i="31"/>
  <c r="U462" i="31"/>
  <c r="R462" i="31"/>
  <c r="T462" i="31"/>
  <c r="S462" i="31"/>
  <c r="Q462" i="31"/>
  <c r="O462" i="31"/>
  <c r="M462" i="31"/>
  <c r="K462" i="31"/>
  <c r="I462" i="31"/>
  <c r="G462" i="31"/>
  <c r="E462" i="31"/>
  <c r="C462" i="31"/>
  <c r="Y461" i="31"/>
  <c r="X461" i="31"/>
  <c r="V461" i="31"/>
  <c r="U461" i="31"/>
  <c r="R461" i="31"/>
  <c r="T461" i="31"/>
  <c r="S461" i="31"/>
  <c r="Q461" i="31"/>
  <c r="O461" i="31"/>
  <c r="M461" i="31"/>
  <c r="K461" i="31"/>
  <c r="I461" i="31"/>
  <c r="G461" i="31"/>
  <c r="E461" i="31"/>
  <c r="C461" i="31"/>
  <c r="Y460" i="31"/>
  <c r="X460" i="31"/>
  <c r="V460" i="31"/>
  <c r="U460" i="31"/>
  <c r="R460" i="31"/>
  <c r="T460" i="31"/>
  <c r="S460" i="31"/>
  <c r="Q460" i="31"/>
  <c r="O460" i="31"/>
  <c r="M460" i="31"/>
  <c r="K460" i="31"/>
  <c r="I460" i="31"/>
  <c r="G460" i="31"/>
  <c r="E460" i="31"/>
  <c r="C460" i="31"/>
  <c r="Y459" i="31"/>
  <c r="X459" i="31"/>
  <c r="V459" i="31"/>
  <c r="U459" i="31"/>
  <c r="R459" i="31"/>
  <c r="T459" i="31"/>
  <c r="S459" i="31"/>
  <c r="Q459" i="31"/>
  <c r="O459" i="31"/>
  <c r="M459" i="31"/>
  <c r="K459" i="31"/>
  <c r="I459" i="31"/>
  <c r="G459" i="31"/>
  <c r="E459" i="31"/>
  <c r="C459" i="31"/>
  <c r="Y458" i="31"/>
  <c r="X458" i="31"/>
  <c r="V458" i="31"/>
  <c r="U458" i="31"/>
  <c r="R458" i="31"/>
  <c r="T458" i="31"/>
  <c r="S458" i="31"/>
  <c r="Q458" i="31"/>
  <c r="O458" i="31"/>
  <c r="M458" i="31"/>
  <c r="K458" i="31"/>
  <c r="I458" i="31"/>
  <c r="G458" i="31"/>
  <c r="E458" i="31"/>
  <c r="C458" i="31"/>
  <c r="Y457" i="31"/>
  <c r="X457" i="31"/>
  <c r="V457" i="31"/>
  <c r="U457" i="31"/>
  <c r="R457" i="31"/>
  <c r="T457" i="31"/>
  <c r="S457" i="31"/>
  <c r="Q457" i="31"/>
  <c r="O457" i="31"/>
  <c r="M457" i="31"/>
  <c r="K457" i="31"/>
  <c r="I457" i="31"/>
  <c r="G457" i="31"/>
  <c r="E457" i="31"/>
  <c r="C457" i="31"/>
  <c r="Y456" i="31"/>
  <c r="X456" i="31"/>
  <c r="V456" i="31"/>
  <c r="U456" i="31"/>
  <c r="R456" i="31"/>
  <c r="T456" i="31"/>
  <c r="S456" i="31"/>
  <c r="Q456" i="31"/>
  <c r="O456" i="31"/>
  <c r="M456" i="31"/>
  <c r="K456" i="31"/>
  <c r="I456" i="31"/>
  <c r="G456" i="31"/>
  <c r="E456" i="31"/>
  <c r="C456" i="31"/>
  <c r="Y455" i="31"/>
  <c r="X455" i="31"/>
  <c r="V455" i="31"/>
  <c r="U455" i="31"/>
  <c r="R455" i="31"/>
  <c r="T455" i="31"/>
  <c r="S455" i="31"/>
  <c r="Q455" i="31"/>
  <c r="O455" i="31"/>
  <c r="M455" i="31"/>
  <c r="K455" i="31"/>
  <c r="I455" i="31"/>
  <c r="G455" i="31"/>
  <c r="E455" i="31"/>
  <c r="C455" i="31"/>
  <c r="Y454" i="31"/>
  <c r="X454" i="31"/>
  <c r="V454" i="31"/>
  <c r="U454" i="31"/>
  <c r="R454" i="31"/>
  <c r="T454" i="31"/>
  <c r="S454" i="31"/>
  <c r="Q454" i="31"/>
  <c r="O454" i="31"/>
  <c r="M454" i="31"/>
  <c r="K454" i="31"/>
  <c r="I454" i="31"/>
  <c r="G454" i="31"/>
  <c r="E454" i="31"/>
  <c r="C454" i="31"/>
  <c r="Y453" i="31"/>
  <c r="X453" i="31"/>
  <c r="V453" i="31"/>
  <c r="U453" i="31"/>
  <c r="R453" i="31"/>
  <c r="T453" i="31"/>
  <c r="S453" i="31"/>
  <c r="Q453" i="31"/>
  <c r="O453" i="31"/>
  <c r="M453" i="31"/>
  <c r="K453" i="31"/>
  <c r="I453" i="31"/>
  <c r="G453" i="31"/>
  <c r="E453" i="31"/>
  <c r="C453" i="31"/>
  <c r="Y452" i="31"/>
  <c r="X452" i="31"/>
  <c r="V452" i="31"/>
  <c r="U452" i="31"/>
  <c r="R452" i="31"/>
  <c r="T452" i="31"/>
  <c r="S452" i="31"/>
  <c r="Q452" i="31"/>
  <c r="O452" i="31"/>
  <c r="M452" i="31"/>
  <c r="K452" i="31"/>
  <c r="I452" i="31"/>
  <c r="G452" i="31"/>
  <c r="E452" i="31"/>
  <c r="C452" i="31"/>
  <c r="Y451" i="31"/>
  <c r="X451" i="31"/>
  <c r="V451" i="31"/>
  <c r="U451" i="31"/>
  <c r="R451" i="31"/>
  <c r="T451" i="31"/>
  <c r="S451" i="31"/>
  <c r="Q451" i="31"/>
  <c r="O451" i="31"/>
  <c r="M451" i="31"/>
  <c r="K451" i="31"/>
  <c r="I451" i="31"/>
  <c r="G451" i="31"/>
  <c r="E451" i="31"/>
  <c r="C451" i="31"/>
  <c r="Y450" i="31"/>
  <c r="X450" i="31"/>
  <c r="V450" i="31"/>
  <c r="U450" i="31"/>
  <c r="R450" i="31"/>
  <c r="T450" i="31"/>
  <c r="S450" i="31"/>
  <c r="Q450" i="31"/>
  <c r="O450" i="31"/>
  <c r="M450" i="31"/>
  <c r="K450" i="31"/>
  <c r="I450" i="31"/>
  <c r="G450" i="31"/>
  <c r="E450" i="31"/>
  <c r="C450" i="31"/>
  <c r="Y449" i="31"/>
  <c r="X449" i="31"/>
  <c r="V449" i="31"/>
  <c r="U449" i="31"/>
  <c r="R449" i="31"/>
  <c r="T449" i="31"/>
  <c r="S449" i="31"/>
  <c r="Q449" i="31"/>
  <c r="O449" i="31"/>
  <c r="M449" i="31"/>
  <c r="K449" i="31"/>
  <c r="I449" i="31"/>
  <c r="G449" i="31"/>
  <c r="E449" i="31"/>
  <c r="C449" i="31"/>
  <c r="Y448" i="31"/>
  <c r="X448" i="31"/>
  <c r="V448" i="31"/>
  <c r="U448" i="31"/>
  <c r="R448" i="31"/>
  <c r="T448" i="31"/>
  <c r="S448" i="31"/>
  <c r="Q448" i="31"/>
  <c r="O448" i="31"/>
  <c r="M448" i="31"/>
  <c r="K448" i="31"/>
  <c r="I448" i="31"/>
  <c r="G448" i="31"/>
  <c r="E448" i="31"/>
  <c r="C448" i="31"/>
  <c r="Y447" i="31"/>
  <c r="X447" i="31"/>
  <c r="V447" i="31"/>
  <c r="U447" i="31"/>
  <c r="R447" i="31"/>
  <c r="T447" i="31"/>
  <c r="S447" i="31"/>
  <c r="Q447" i="31"/>
  <c r="O447" i="31"/>
  <c r="M447" i="31"/>
  <c r="K447" i="31"/>
  <c r="I447" i="31"/>
  <c r="G447" i="31"/>
  <c r="E447" i="31"/>
  <c r="C447" i="31"/>
  <c r="Y446" i="31"/>
  <c r="X446" i="31"/>
  <c r="V446" i="31"/>
  <c r="U446" i="31"/>
  <c r="R446" i="31"/>
  <c r="T446" i="31"/>
  <c r="S446" i="31"/>
  <c r="Q446" i="31"/>
  <c r="O446" i="31"/>
  <c r="M446" i="31"/>
  <c r="K446" i="31"/>
  <c r="I446" i="31"/>
  <c r="G446" i="31"/>
  <c r="E446" i="31"/>
  <c r="C446" i="31"/>
  <c r="Y445" i="31"/>
  <c r="X445" i="31"/>
  <c r="V445" i="31"/>
  <c r="U445" i="31"/>
  <c r="R445" i="31"/>
  <c r="T445" i="31"/>
  <c r="S445" i="31"/>
  <c r="Q445" i="31"/>
  <c r="O445" i="31"/>
  <c r="M445" i="31"/>
  <c r="K445" i="31"/>
  <c r="I445" i="31"/>
  <c r="G445" i="31"/>
  <c r="E445" i="31"/>
  <c r="C445" i="31"/>
  <c r="Y444" i="31"/>
  <c r="X444" i="31"/>
  <c r="V444" i="31"/>
  <c r="U444" i="31"/>
  <c r="R444" i="31"/>
  <c r="T444" i="31"/>
  <c r="S444" i="31"/>
  <c r="Q444" i="31"/>
  <c r="O444" i="31"/>
  <c r="M444" i="31"/>
  <c r="K444" i="31"/>
  <c r="I444" i="31"/>
  <c r="G444" i="31"/>
  <c r="E444" i="31"/>
  <c r="C444" i="31"/>
  <c r="Y443" i="31"/>
  <c r="X443" i="31"/>
  <c r="V443" i="31"/>
  <c r="U443" i="31"/>
  <c r="R443" i="31"/>
  <c r="T443" i="31"/>
  <c r="S443" i="31"/>
  <c r="Q443" i="31"/>
  <c r="O443" i="31"/>
  <c r="M443" i="31"/>
  <c r="K443" i="31"/>
  <c r="I443" i="31"/>
  <c r="G443" i="31"/>
  <c r="E443" i="31"/>
  <c r="C443" i="31"/>
  <c r="Y442" i="31"/>
  <c r="X442" i="31"/>
  <c r="V442" i="31"/>
  <c r="U442" i="31"/>
  <c r="R442" i="31"/>
  <c r="T442" i="31"/>
  <c r="S442" i="31"/>
  <c r="Q442" i="31"/>
  <c r="O442" i="31"/>
  <c r="M442" i="31"/>
  <c r="K442" i="31"/>
  <c r="I442" i="31"/>
  <c r="G442" i="31"/>
  <c r="E442" i="31"/>
  <c r="C442" i="31"/>
  <c r="Y441" i="31"/>
  <c r="X441" i="31"/>
  <c r="V441" i="31"/>
  <c r="U441" i="31"/>
  <c r="R441" i="31"/>
  <c r="T441" i="31"/>
  <c r="S441" i="31"/>
  <c r="Q441" i="31"/>
  <c r="O441" i="31"/>
  <c r="M441" i="31"/>
  <c r="K441" i="31"/>
  <c r="I441" i="31"/>
  <c r="G441" i="31"/>
  <c r="E441" i="31"/>
  <c r="C441" i="31"/>
  <c r="Y440" i="31"/>
  <c r="X440" i="31"/>
  <c r="V440" i="31"/>
  <c r="U440" i="31"/>
  <c r="R440" i="31"/>
  <c r="T440" i="31"/>
  <c r="S440" i="31"/>
  <c r="Q440" i="31"/>
  <c r="O440" i="31"/>
  <c r="M440" i="31"/>
  <c r="K440" i="31"/>
  <c r="I440" i="31"/>
  <c r="G440" i="31"/>
  <c r="E440" i="31"/>
  <c r="C440" i="31"/>
  <c r="Y439" i="31"/>
  <c r="X439" i="31"/>
  <c r="V439" i="31"/>
  <c r="U439" i="31"/>
  <c r="R439" i="31"/>
  <c r="T439" i="31"/>
  <c r="S439" i="31"/>
  <c r="Q439" i="31"/>
  <c r="O439" i="31"/>
  <c r="M439" i="31"/>
  <c r="K439" i="31"/>
  <c r="I439" i="31"/>
  <c r="G439" i="31"/>
  <c r="E439" i="31"/>
  <c r="C439" i="31"/>
  <c r="Y438" i="31"/>
  <c r="X438" i="31"/>
  <c r="V438" i="31"/>
  <c r="U438" i="31"/>
  <c r="R438" i="31"/>
  <c r="T438" i="31"/>
  <c r="S438" i="31"/>
  <c r="Q438" i="31"/>
  <c r="O438" i="31"/>
  <c r="M438" i="31"/>
  <c r="K438" i="31"/>
  <c r="I438" i="31"/>
  <c r="G438" i="31"/>
  <c r="E438" i="31"/>
  <c r="C438" i="31"/>
  <c r="Y437" i="31"/>
  <c r="X437" i="31"/>
  <c r="V437" i="31"/>
  <c r="U437" i="31"/>
  <c r="R437" i="31"/>
  <c r="T437" i="31"/>
  <c r="S437" i="31"/>
  <c r="Q437" i="31"/>
  <c r="O437" i="31"/>
  <c r="M437" i="31"/>
  <c r="K437" i="31"/>
  <c r="I437" i="31"/>
  <c r="G437" i="31"/>
  <c r="E437" i="31"/>
  <c r="C437" i="31"/>
  <c r="Y436" i="31"/>
  <c r="X436" i="31"/>
  <c r="V436" i="31"/>
  <c r="U436" i="31"/>
  <c r="R436" i="31"/>
  <c r="T436" i="31"/>
  <c r="S436" i="31"/>
  <c r="Q436" i="31"/>
  <c r="O436" i="31"/>
  <c r="M436" i="31"/>
  <c r="K436" i="31"/>
  <c r="I436" i="31"/>
  <c r="G436" i="31"/>
  <c r="E436" i="31"/>
  <c r="C436" i="31"/>
  <c r="Y435" i="31"/>
  <c r="X435" i="31"/>
  <c r="V435" i="31"/>
  <c r="U435" i="31"/>
  <c r="R435" i="31"/>
  <c r="T435" i="31"/>
  <c r="S435" i="31"/>
  <c r="Q435" i="31"/>
  <c r="O435" i="31"/>
  <c r="M435" i="31"/>
  <c r="K435" i="31"/>
  <c r="I435" i="31"/>
  <c r="G435" i="31"/>
  <c r="E435" i="31"/>
  <c r="C435" i="31"/>
  <c r="Y434" i="31"/>
  <c r="X434" i="31"/>
  <c r="V434" i="31"/>
  <c r="U434" i="31"/>
  <c r="R434" i="31"/>
  <c r="T434" i="31"/>
  <c r="S434" i="31"/>
  <c r="Q434" i="31"/>
  <c r="O434" i="31"/>
  <c r="M434" i="31"/>
  <c r="K434" i="31"/>
  <c r="I434" i="31"/>
  <c r="G434" i="31"/>
  <c r="E434" i="31"/>
  <c r="C434" i="31"/>
  <c r="Y433" i="31"/>
  <c r="X433" i="31"/>
  <c r="V433" i="31"/>
  <c r="U433" i="31"/>
  <c r="R433" i="31"/>
  <c r="T433" i="31"/>
  <c r="S433" i="31"/>
  <c r="Q433" i="31"/>
  <c r="O433" i="31"/>
  <c r="M433" i="31"/>
  <c r="K433" i="31"/>
  <c r="I433" i="31"/>
  <c r="G433" i="31"/>
  <c r="E433" i="31"/>
  <c r="C433" i="31"/>
  <c r="Y432" i="31"/>
  <c r="X432" i="31"/>
  <c r="V432" i="31"/>
  <c r="U432" i="31"/>
  <c r="R432" i="31"/>
  <c r="T432" i="31"/>
  <c r="S432" i="31"/>
  <c r="Q432" i="31"/>
  <c r="O432" i="31"/>
  <c r="M432" i="31"/>
  <c r="K432" i="31"/>
  <c r="I432" i="31"/>
  <c r="G432" i="31"/>
  <c r="E432" i="31"/>
  <c r="C432" i="31"/>
  <c r="Y431" i="31"/>
  <c r="X431" i="31"/>
  <c r="V431" i="31"/>
  <c r="U431" i="31"/>
  <c r="R431" i="31"/>
  <c r="T431" i="31"/>
  <c r="S431" i="31"/>
  <c r="Q431" i="31"/>
  <c r="O431" i="31"/>
  <c r="M431" i="31"/>
  <c r="K431" i="31"/>
  <c r="I431" i="31"/>
  <c r="G431" i="31"/>
  <c r="E431" i="31"/>
  <c r="C431" i="31"/>
  <c r="Y430" i="31"/>
  <c r="X430" i="31"/>
  <c r="V430" i="31"/>
  <c r="U430" i="31"/>
  <c r="R430" i="31"/>
  <c r="T430" i="31"/>
  <c r="S430" i="31"/>
  <c r="Q430" i="31"/>
  <c r="O430" i="31"/>
  <c r="M430" i="31"/>
  <c r="K430" i="31"/>
  <c r="I430" i="31"/>
  <c r="G430" i="31"/>
  <c r="E430" i="31"/>
  <c r="C430" i="31"/>
  <c r="Y429" i="31"/>
  <c r="X429" i="31"/>
  <c r="V429" i="31"/>
  <c r="U429" i="31"/>
  <c r="R429" i="31"/>
  <c r="T429" i="31"/>
  <c r="S429" i="31"/>
  <c r="Q429" i="31"/>
  <c r="O429" i="31"/>
  <c r="M429" i="31"/>
  <c r="K429" i="31"/>
  <c r="I429" i="31"/>
  <c r="G429" i="31"/>
  <c r="E429" i="31"/>
  <c r="C429" i="31"/>
  <c r="Y428" i="31"/>
  <c r="X428" i="31"/>
  <c r="V428" i="31"/>
  <c r="U428" i="31"/>
  <c r="R428" i="31"/>
  <c r="T428" i="31"/>
  <c r="S428" i="31"/>
  <c r="Q428" i="31"/>
  <c r="O428" i="31"/>
  <c r="M428" i="31"/>
  <c r="K428" i="31"/>
  <c r="I428" i="31"/>
  <c r="G428" i="31"/>
  <c r="E428" i="31"/>
  <c r="C428" i="31"/>
  <c r="Y427" i="31"/>
  <c r="X427" i="31"/>
  <c r="V427" i="31"/>
  <c r="U427" i="31"/>
  <c r="R427" i="31"/>
  <c r="T427" i="31"/>
  <c r="S427" i="31"/>
  <c r="Q427" i="31"/>
  <c r="O427" i="31"/>
  <c r="M427" i="31"/>
  <c r="K427" i="31"/>
  <c r="I427" i="31"/>
  <c r="G427" i="31"/>
  <c r="E427" i="31"/>
  <c r="C427" i="31"/>
  <c r="Y426" i="31"/>
  <c r="X426" i="31"/>
  <c r="V426" i="31"/>
  <c r="U426" i="31"/>
  <c r="R426" i="31"/>
  <c r="T426" i="31"/>
  <c r="S426" i="31"/>
  <c r="Q426" i="31"/>
  <c r="O426" i="31"/>
  <c r="M426" i="31"/>
  <c r="K426" i="31"/>
  <c r="I426" i="31"/>
  <c r="G426" i="31"/>
  <c r="E426" i="31"/>
  <c r="C426" i="31"/>
  <c r="Y425" i="31"/>
  <c r="X425" i="31"/>
  <c r="V425" i="31"/>
  <c r="U425" i="31"/>
  <c r="R425" i="31"/>
  <c r="T425" i="31"/>
  <c r="S425" i="31"/>
  <c r="Q425" i="31"/>
  <c r="O425" i="31"/>
  <c r="M425" i="31"/>
  <c r="K425" i="31"/>
  <c r="I425" i="31"/>
  <c r="G425" i="31"/>
  <c r="E425" i="31"/>
  <c r="C425" i="31"/>
  <c r="Y424" i="31"/>
  <c r="X424" i="31"/>
  <c r="V424" i="31"/>
  <c r="U424" i="31"/>
  <c r="R424" i="31"/>
  <c r="T424" i="31"/>
  <c r="S424" i="31"/>
  <c r="Q424" i="31"/>
  <c r="O424" i="31"/>
  <c r="M424" i="31"/>
  <c r="K424" i="31"/>
  <c r="I424" i="31"/>
  <c r="G424" i="31"/>
  <c r="E424" i="31"/>
  <c r="C424" i="31"/>
  <c r="Y423" i="31"/>
  <c r="X423" i="31"/>
  <c r="V423" i="31"/>
  <c r="U423" i="31"/>
  <c r="R423" i="31"/>
  <c r="T423" i="31"/>
  <c r="S423" i="31"/>
  <c r="Q423" i="31"/>
  <c r="O423" i="31"/>
  <c r="M423" i="31"/>
  <c r="K423" i="31"/>
  <c r="I423" i="31"/>
  <c r="G423" i="31"/>
  <c r="E423" i="31"/>
  <c r="C423" i="31"/>
  <c r="Y422" i="31"/>
  <c r="X422" i="31"/>
  <c r="V422" i="31"/>
  <c r="U422" i="31"/>
  <c r="R422" i="31"/>
  <c r="T422" i="31"/>
  <c r="S422" i="31"/>
  <c r="Q422" i="31"/>
  <c r="O422" i="31"/>
  <c r="M422" i="31"/>
  <c r="K422" i="31"/>
  <c r="I422" i="31"/>
  <c r="G422" i="31"/>
  <c r="E422" i="31"/>
  <c r="C422" i="31"/>
  <c r="Y421" i="31"/>
  <c r="X421" i="31"/>
  <c r="V421" i="31"/>
  <c r="U421" i="31"/>
  <c r="R421" i="31"/>
  <c r="T421" i="31"/>
  <c r="S421" i="31"/>
  <c r="Q421" i="31"/>
  <c r="O421" i="31"/>
  <c r="M421" i="31"/>
  <c r="K421" i="31"/>
  <c r="I421" i="31"/>
  <c r="G421" i="31"/>
  <c r="E421" i="31"/>
  <c r="C421" i="31"/>
  <c r="Y420" i="31"/>
  <c r="X420" i="31"/>
  <c r="V420" i="31"/>
  <c r="U420" i="31"/>
  <c r="R420" i="31"/>
  <c r="T420" i="31"/>
  <c r="S420" i="31"/>
  <c r="Q420" i="31"/>
  <c r="O420" i="31"/>
  <c r="M420" i="31"/>
  <c r="K420" i="31"/>
  <c r="I420" i="31"/>
  <c r="G420" i="31"/>
  <c r="E420" i="31"/>
  <c r="C420" i="31"/>
  <c r="Y419" i="31"/>
  <c r="X419" i="31"/>
  <c r="V419" i="31"/>
  <c r="U419" i="31"/>
  <c r="R419" i="31"/>
  <c r="T419" i="31"/>
  <c r="S419" i="31"/>
  <c r="Q419" i="31"/>
  <c r="O419" i="31"/>
  <c r="M419" i="31"/>
  <c r="K419" i="31"/>
  <c r="I419" i="31"/>
  <c r="G419" i="31"/>
  <c r="E419" i="31"/>
  <c r="C419" i="31"/>
  <c r="Y418" i="31"/>
  <c r="X418" i="31"/>
  <c r="V418" i="31"/>
  <c r="U418" i="31"/>
  <c r="R418" i="31"/>
  <c r="T418" i="31"/>
  <c r="S418" i="31"/>
  <c r="Q418" i="31"/>
  <c r="O418" i="31"/>
  <c r="M418" i="31"/>
  <c r="K418" i="31"/>
  <c r="I418" i="31"/>
  <c r="G418" i="31"/>
  <c r="E418" i="31"/>
  <c r="C418" i="31"/>
  <c r="Y417" i="31"/>
  <c r="X417" i="31"/>
  <c r="V417" i="31"/>
  <c r="U417" i="31"/>
  <c r="R417" i="31"/>
  <c r="T417" i="31"/>
  <c r="S417" i="31"/>
  <c r="Q417" i="31"/>
  <c r="O417" i="31"/>
  <c r="M417" i="31"/>
  <c r="K417" i="31"/>
  <c r="I417" i="31"/>
  <c r="G417" i="31"/>
  <c r="E417" i="31"/>
  <c r="C417" i="31"/>
  <c r="Y416" i="31"/>
  <c r="X416" i="31"/>
  <c r="V416" i="31"/>
  <c r="U416" i="31"/>
  <c r="R416" i="31"/>
  <c r="T416" i="31"/>
  <c r="S416" i="31"/>
  <c r="Q416" i="31"/>
  <c r="O416" i="31"/>
  <c r="M416" i="31"/>
  <c r="K416" i="31"/>
  <c r="I416" i="31"/>
  <c r="G416" i="31"/>
  <c r="E416" i="31"/>
  <c r="C416" i="31"/>
  <c r="Y415" i="31"/>
  <c r="X415" i="31"/>
  <c r="V415" i="31"/>
  <c r="U415" i="31"/>
  <c r="R415" i="31"/>
  <c r="T415" i="31"/>
  <c r="S415" i="31"/>
  <c r="Q415" i="31"/>
  <c r="O415" i="31"/>
  <c r="M415" i="31"/>
  <c r="K415" i="31"/>
  <c r="I415" i="31"/>
  <c r="G415" i="31"/>
  <c r="E415" i="31"/>
  <c r="C415" i="31"/>
  <c r="Y414" i="31"/>
  <c r="X414" i="31"/>
  <c r="V414" i="31"/>
  <c r="U414" i="31"/>
  <c r="R414" i="31"/>
  <c r="T414" i="31"/>
  <c r="S414" i="31"/>
  <c r="Q414" i="31"/>
  <c r="O414" i="31"/>
  <c r="M414" i="31"/>
  <c r="K414" i="31"/>
  <c r="I414" i="31"/>
  <c r="G414" i="31"/>
  <c r="E414" i="31"/>
  <c r="C414" i="31"/>
  <c r="Y413" i="31"/>
  <c r="X413" i="31"/>
  <c r="V413" i="31"/>
  <c r="U413" i="31"/>
  <c r="R413" i="31"/>
  <c r="T413" i="31"/>
  <c r="S413" i="31"/>
  <c r="Q413" i="31"/>
  <c r="O413" i="31"/>
  <c r="M413" i="31"/>
  <c r="K413" i="31"/>
  <c r="I413" i="31"/>
  <c r="G413" i="31"/>
  <c r="E413" i="31"/>
  <c r="C413" i="31"/>
  <c r="Y412" i="31"/>
  <c r="X412" i="31"/>
  <c r="V412" i="31"/>
  <c r="U412" i="31"/>
  <c r="R412" i="31"/>
  <c r="T412" i="31"/>
  <c r="S412" i="31"/>
  <c r="Q412" i="31"/>
  <c r="O412" i="31"/>
  <c r="M412" i="31"/>
  <c r="K412" i="31"/>
  <c r="I412" i="31"/>
  <c r="G412" i="31"/>
  <c r="E412" i="31"/>
  <c r="C412" i="31"/>
  <c r="Y411" i="31"/>
  <c r="X411" i="31"/>
  <c r="V411" i="31"/>
  <c r="U411" i="31"/>
  <c r="R411" i="31"/>
  <c r="T411" i="31"/>
  <c r="S411" i="31"/>
  <c r="Q411" i="31"/>
  <c r="O411" i="31"/>
  <c r="M411" i="31"/>
  <c r="K411" i="31"/>
  <c r="I411" i="31"/>
  <c r="G411" i="31"/>
  <c r="E411" i="31"/>
  <c r="C411" i="31"/>
  <c r="Y410" i="31"/>
  <c r="X410" i="31"/>
  <c r="V410" i="31"/>
  <c r="U410" i="31"/>
  <c r="R410" i="31"/>
  <c r="T410" i="31"/>
  <c r="S410" i="31"/>
  <c r="Q410" i="31"/>
  <c r="O410" i="31"/>
  <c r="M410" i="31"/>
  <c r="K410" i="31"/>
  <c r="I410" i="31"/>
  <c r="G410" i="31"/>
  <c r="E410" i="31"/>
  <c r="C410" i="31"/>
  <c r="Y409" i="31"/>
  <c r="X409" i="31"/>
  <c r="V409" i="31"/>
  <c r="U409" i="31"/>
  <c r="R409" i="31"/>
  <c r="T409" i="31"/>
  <c r="S409" i="31"/>
  <c r="Q409" i="31"/>
  <c r="O409" i="31"/>
  <c r="M409" i="31"/>
  <c r="K409" i="31"/>
  <c r="I409" i="31"/>
  <c r="G409" i="31"/>
  <c r="E409" i="31"/>
  <c r="C409" i="31"/>
  <c r="Y408" i="31"/>
  <c r="X408" i="31"/>
  <c r="V408" i="31"/>
  <c r="U408" i="31"/>
  <c r="R408" i="31"/>
  <c r="T408" i="31"/>
  <c r="S408" i="31"/>
  <c r="Q408" i="31"/>
  <c r="O408" i="31"/>
  <c r="M408" i="31"/>
  <c r="K408" i="31"/>
  <c r="I408" i="31"/>
  <c r="G408" i="31"/>
  <c r="E408" i="31"/>
  <c r="C408" i="31"/>
  <c r="Y407" i="31"/>
  <c r="X407" i="31"/>
  <c r="V407" i="31"/>
  <c r="U407" i="31"/>
  <c r="R407" i="31"/>
  <c r="T407" i="31"/>
  <c r="S407" i="31"/>
  <c r="Q407" i="31"/>
  <c r="O407" i="31"/>
  <c r="M407" i="31"/>
  <c r="K407" i="31"/>
  <c r="I407" i="31"/>
  <c r="G407" i="31"/>
  <c r="E407" i="31"/>
  <c r="C407" i="31"/>
  <c r="Y406" i="31"/>
  <c r="X406" i="31"/>
  <c r="V406" i="31"/>
  <c r="U406" i="31"/>
  <c r="R406" i="31"/>
  <c r="T406" i="31"/>
  <c r="S406" i="31"/>
  <c r="Q406" i="31"/>
  <c r="O406" i="31"/>
  <c r="M406" i="31"/>
  <c r="K406" i="31"/>
  <c r="I406" i="31"/>
  <c r="G406" i="31"/>
  <c r="E406" i="31"/>
  <c r="C406" i="31"/>
  <c r="Y405" i="31"/>
  <c r="X405" i="31"/>
  <c r="V405" i="31"/>
  <c r="U405" i="31"/>
  <c r="R405" i="31"/>
  <c r="T405" i="31"/>
  <c r="S405" i="31"/>
  <c r="Q405" i="31"/>
  <c r="O405" i="31"/>
  <c r="M405" i="31"/>
  <c r="K405" i="31"/>
  <c r="I405" i="31"/>
  <c r="G405" i="31"/>
  <c r="E405" i="31"/>
  <c r="C405" i="31"/>
  <c r="Y404" i="31"/>
  <c r="X404" i="31"/>
  <c r="V404" i="31"/>
  <c r="U404" i="31"/>
  <c r="R404" i="31"/>
  <c r="T404" i="31"/>
  <c r="S404" i="31"/>
  <c r="Q404" i="31"/>
  <c r="O404" i="31"/>
  <c r="M404" i="31"/>
  <c r="K404" i="31"/>
  <c r="I404" i="31"/>
  <c r="G404" i="31"/>
  <c r="E404" i="31"/>
  <c r="C404" i="31"/>
  <c r="Y403" i="31"/>
  <c r="X403" i="31"/>
  <c r="V403" i="31"/>
  <c r="U403" i="31"/>
  <c r="R403" i="31"/>
  <c r="T403" i="31"/>
  <c r="S403" i="31"/>
  <c r="Q403" i="31"/>
  <c r="O403" i="31"/>
  <c r="M403" i="31"/>
  <c r="K403" i="31"/>
  <c r="I403" i="31"/>
  <c r="G403" i="31"/>
  <c r="E403" i="31"/>
  <c r="C403" i="31"/>
  <c r="Y402" i="31"/>
  <c r="X402" i="31"/>
  <c r="V402" i="31"/>
  <c r="U402" i="31"/>
  <c r="R402" i="31"/>
  <c r="T402" i="31"/>
  <c r="S402" i="31"/>
  <c r="Q402" i="31"/>
  <c r="O402" i="31"/>
  <c r="M402" i="31"/>
  <c r="K402" i="31"/>
  <c r="I402" i="31"/>
  <c r="G402" i="31"/>
  <c r="E402" i="31"/>
  <c r="C402" i="31"/>
  <c r="Y401" i="31"/>
  <c r="X401" i="31"/>
  <c r="V401" i="31"/>
  <c r="U401" i="31"/>
  <c r="R401" i="31"/>
  <c r="T401" i="31"/>
  <c r="S401" i="31"/>
  <c r="Q401" i="31"/>
  <c r="O401" i="31"/>
  <c r="M401" i="31"/>
  <c r="K401" i="31"/>
  <c r="I401" i="31"/>
  <c r="G401" i="31"/>
  <c r="E401" i="31"/>
  <c r="C401" i="31"/>
  <c r="Y400" i="31"/>
  <c r="X400" i="31"/>
  <c r="V400" i="31"/>
  <c r="U400" i="31"/>
  <c r="R400" i="31"/>
  <c r="T400" i="31"/>
  <c r="S400" i="31"/>
  <c r="Q400" i="31"/>
  <c r="O400" i="31"/>
  <c r="M400" i="31"/>
  <c r="K400" i="31"/>
  <c r="I400" i="31"/>
  <c r="G400" i="31"/>
  <c r="E400" i="31"/>
  <c r="C400" i="31"/>
  <c r="Y399" i="31"/>
  <c r="X399" i="31"/>
  <c r="V399" i="31"/>
  <c r="U399" i="31"/>
  <c r="R399" i="31"/>
  <c r="T399" i="31"/>
  <c r="S399" i="31"/>
  <c r="Q399" i="31"/>
  <c r="O399" i="31"/>
  <c r="M399" i="31"/>
  <c r="K399" i="31"/>
  <c r="I399" i="31"/>
  <c r="G399" i="31"/>
  <c r="E399" i="31"/>
  <c r="C399" i="31"/>
  <c r="Y398" i="31"/>
  <c r="X398" i="31"/>
  <c r="V398" i="31"/>
  <c r="U398" i="31"/>
  <c r="R398" i="31"/>
  <c r="T398" i="31"/>
  <c r="S398" i="31"/>
  <c r="Q398" i="31"/>
  <c r="O398" i="31"/>
  <c r="M398" i="31"/>
  <c r="K398" i="31"/>
  <c r="I398" i="31"/>
  <c r="G398" i="31"/>
  <c r="E398" i="31"/>
  <c r="C398" i="31"/>
  <c r="Y397" i="31"/>
  <c r="X397" i="31"/>
  <c r="V397" i="31"/>
  <c r="U397" i="31"/>
  <c r="R397" i="31"/>
  <c r="T397" i="31"/>
  <c r="S397" i="31"/>
  <c r="Q397" i="31"/>
  <c r="O397" i="31"/>
  <c r="M397" i="31"/>
  <c r="K397" i="31"/>
  <c r="I397" i="31"/>
  <c r="G397" i="31"/>
  <c r="E397" i="31"/>
  <c r="C397" i="31"/>
  <c r="Y396" i="31"/>
  <c r="X396" i="31"/>
  <c r="V396" i="31"/>
  <c r="U396" i="31"/>
  <c r="R396" i="31"/>
  <c r="T396" i="31"/>
  <c r="S396" i="31"/>
  <c r="Q396" i="31"/>
  <c r="O396" i="31"/>
  <c r="M396" i="31"/>
  <c r="K396" i="31"/>
  <c r="I396" i="31"/>
  <c r="G396" i="31"/>
  <c r="E396" i="31"/>
  <c r="C396" i="31"/>
  <c r="Y395" i="31"/>
  <c r="X395" i="31"/>
  <c r="V395" i="31"/>
  <c r="U395" i="31"/>
  <c r="R395" i="31"/>
  <c r="T395" i="31"/>
  <c r="S395" i="31"/>
  <c r="Q395" i="31"/>
  <c r="O395" i="31"/>
  <c r="M395" i="31"/>
  <c r="K395" i="31"/>
  <c r="I395" i="31"/>
  <c r="G395" i="31"/>
  <c r="E395" i="31"/>
  <c r="C395" i="31"/>
  <c r="Y394" i="31"/>
  <c r="X394" i="31"/>
  <c r="V394" i="31"/>
  <c r="U394" i="31"/>
  <c r="R394" i="31"/>
  <c r="T394" i="31"/>
  <c r="S394" i="31"/>
  <c r="Q394" i="31"/>
  <c r="O394" i="31"/>
  <c r="M394" i="31"/>
  <c r="K394" i="31"/>
  <c r="I394" i="31"/>
  <c r="G394" i="31"/>
  <c r="E394" i="31"/>
  <c r="C394" i="31"/>
  <c r="Y393" i="31"/>
  <c r="X393" i="31"/>
  <c r="V393" i="31"/>
  <c r="U393" i="31"/>
  <c r="R393" i="31"/>
  <c r="T393" i="31"/>
  <c r="S393" i="31"/>
  <c r="Q393" i="31"/>
  <c r="O393" i="31"/>
  <c r="M393" i="31"/>
  <c r="K393" i="31"/>
  <c r="I393" i="31"/>
  <c r="G393" i="31"/>
  <c r="E393" i="31"/>
  <c r="C393" i="31"/>
  <c r="Y392" i="31"/>
  <c r="X392" i="31"/>
  <c r="V392" i="31"/>
  <c r="U392" i="31"/>
  <c r="R392" i="31"/>
  <c r="T392" i="31"/>
  <c r="S392" i="31"/>
  <c r="Q392" i="31"/>
  <c r="O392" i="31"/>
  <c r="M392" i="31"/>
  <c r="K392" i="31"/>
  <c r="I392" i="31"/>
  <c r="G392" i="31"/>
  <c r="E392" i="31"/>
  <c r="C392" i="31"/>
  <c r="Y391" i="31"/>
  <c r="X391" i="31"/>
  <c r="V391" i="31"/>
  <c r="U391" i="31"/>
  <c r="R391" i="31"/>
  <c r="T391" i="31"/>
  <c r="S391" i="31"/>
  <c r="Q391" i="31"/>
  <c r="O391" i="31"/>
  <c r="M391" i="31"/>
  <c r="K391" i="31"/>
  <c r="I391" i="31"/>
  <c r="G391" i="31"/>
  <c r="E391" i="31"/>
  <c r="C391" i="31"/>
  <c r="Y390" i="31"/>
  <c r="X390" i="31"/>
  <c r="V390" i="31"/>
  <c r="U390" i="31"/>
  <c r="R390" i="31"/>
  <c r="T390" i="31"/>
  <c r="S390" i="31"/>
  <c r="Q390" i="31"/>
  <c r="O390" i="31"/>
  <c r="M390" i="31"/>
  <c r="K390" i="31"/>
  <c r="I390" i="31"/>
  <c r="G390" i="31"/>
  <c r="E390" i="31"/>
  <c r="C390" i="31"/>
  <c r="Y389" i="31"/>
  <c r="X389" i="31"/>
  <c r="V389" i="31"/>
  <c r="U389" i="31"/>
  <c r="R389" i="31"/>
  <c r="T389" i="31"/>
  <c r="S389" i="31"/>
  <c r="Q389" i="31"/>
  <c r="O389" i="31"/>
  <c r="M389" i="31"/>
  <c r="K389" i="31"/>
  <c r="I389" i="31"/>
  <c r="G389" i="31"/>
  <c r="E389" i="31"/>
  <c r="C389" i="31"/>
  <c r="Y388" i="31"/>
  <c r="X388" i="31"/>
  <c r="V388" i="31"/>
  <c r="U388" i="31"/>
  <c r="R388" i="31"/>
  <c r="T388" i="31"/>
  <c r="S388" i="31"/>
  <c r="Q388" i="31"/>
  <c r="O388" i="31"/>
  <c r="M388" i="31"/>
  <c r="K388" i="31"/>
  <c r="I388" i="31"/>
  <c r="G388" i="31"/>
  <c r="E388" i="31"/>
  <c r="C388" i="31"/>
  <c r="Y387" i="31"/>
  <c r="X387" i="31"/>
  <c r="V387" i="31"/>
  <c r="U387" i="31"/>
  <c r="R387" i="31"/>
  <c r="T387" i="31"/>
  <c r="S387" i="31"/>
  <c r="Q387" i="31"/>
  <c r="O387" i="31"/>
  <c r="M387" i="31"/>
  <c r="K387" i="31"/>
  <c r="I387" i="31"/>
  <c r="G387" i="31"/>
  <c r="E387" i="31"/>
  <c r="C387" i="31"/>
  <c r="Y386" i="31"/>
  <c r="X386" i="31"/>
  <c r="V386" i="31"/>
  <c r="U386" i="31"/>
  <c r="R386" i="31"/>
  <c r="T386" i="31"/>
  <c r="S386" i="31"/>
  <c r="Q386" i="31"/>
  <c r="O386" i="31"/>
  <c r="M386" i="31"/>
  <c r="K386" i="31"/>
  <c r="I386" i="31"/>
  <c r="G386" i="31"/>
  <c r="E386" i="31"/>
  <c r="C386" i="31"/>
  <c r="Y385" i="31"/>
  <c r="X385" i="31"/>
  <c r="V385" i="31"/>
  <c r="U385" i="31"/>
  <c r="R385" i="31"/>
  <c r="T385" i="31"/>
  <c r="S385" i="31"/>
  <c r="Q385" i="31"/>
  <c r="O385" i="31"/>
  <c r="M385" i="31"/>
  <c r="K385" i="31"/>
  <c r="I385" i="31"/>
  <c r="G385" i="31"/>
  <c r="E385" i="31"/>
  <c r="C385" i="31"/>
  <c r="Y384" i="31"/>
  <c r="X384" i="31"/>
  <c r="V384" i="31"/>
  <c r="U384" i="31"/>
  <c r="R384" i="31"/>
  <c r="T384" i="31"/>
  <c r="S384" i="31"/>
  <c r="Q384" i="31"/>
  <c r="O384" i="31"/>
  <c r="M384" i="31"/>
  <c r="K384" i="31"/>
  <c r="I384" i="31"/>
  <c r="G384" i="31"/>
  <c r="E384" i="31"/>
  <c r="C384" i="31"/>
  <c r="Y383" i="31"/>
  <c r="X383" i="31"/>
  <c r="V383" i="31"/>
  <c r="U383" i="31"/>
  <c r="R383" i="31"/>
  <c r="T383" i="31"/>
  <c r="S383" i="31"/>
  <c r="Q383" i="31"/>
  <c r="O383" i="31"/>
  <c r="M383" i="31"/>
  <c r="K383" i="31"/>
  <c r="I383" i="31"/>
  <c r="G383" i="31"/>
  <c r="E383" i="31"/>
  <c r="C383" i="31"/>
  <c r="Y382" i="31"/>
  <c r="X382" i="31"/>
  <c r="V382" i="31"/>
  <c r="U382" i="31"/>
  <c r="R382" i="31"/>
  <c r="T382" i="31"/>
  <c r="S382" i="31"/>
  <c r="Q382" i="31"/>
  <c r="O382" i="31"/>
  <c r="M382" i="31"/>
  <c r="K382" i="31"/>
  <c r="I382" i="31"/>
  <c r="G382" i="31"/>
  <c r="E382" i="31"/>
  <c r="C382" i="31"/>
  <c r="Y381" i="31"/>
  <c r="X381" i="31"/>
  <c r="V381" i="31"/>
  <c r="U381" i="31"/>
  <c r="R381" i="31"/>
  <c r="T381" i="31"/>
  <c r="S381" i="31"/>
  <c r="Q381" i="31"/>
  <c r="O381" i="31"/>
  <c r="M381" i="31"/>
  <c r="K381" i="31"/>
  <c r="I381" i="31"/>
  <c r="G381" i="31"/>
  <c r="E381" i="31"/>
  <c r="C381" i="31"/>
  <c r="Y380" i="31"/>
  <c r="X380" i="31"/>
  <c r="V380" i="31"/>
  <c r="U380" i="31"/>
  <c r="R380" i="31"/>
  <c r="T380" i="31"/>
  <c r="S380" i="31"/>
  <c r="Q380" i="31"/>
  <c r="O380" i="31"/>
  <c r="M380" i="31"/>
  <c r="K380" i="31"/>
  <c r="I380" i="31"/>
  <c r="G380" i="31"/>
  <c r="E380" i="31"/>
  <c r="C380" i="31"/>
  <c r="Y379" i="31"/>
  <c r="X379" i="31"/>
  <c r="V379" i="31"/>
  <c r="U379" i="31"/>
  <c r="R379" i="31"/>
  <c r="T379" i="31"/>
  <c r="S379" i="31"/>
  <c r="Q379" i="31"/>
  <c r="O379" i="31"/>
  <c r="M379" i="31"/>
  <c r="K379" i="31"/>
  <c r="I379" i="31"/>
  <c r="G379" i="31"/>
  <c r="E379" i="31"/>
  <c r="C379" i="31"/>
  <c r="Y378" i="31"/>
  <c r="X378" i="31"/>
  <c r="V378" i="31"/>
  <c r="U378" i="31"/>
  <c r="R378" i="31"/>
  <c r="T378" i="31"/>
  <c r="S378" i="31"/>
  <c r="Q378" i="31"/>
  <c r="O378" i="31"/>
  <c r="M378" i="31"/>
  <c r="K378" i="31"/>
  <c r="I378" i="31"/>
  <c r="G378" i="31"/>
  <c r="E378" i="31"/>
  <c r="C378" i="31"/>
  <c r="Y377" i="31"/>
  <c r="X377" i="31"/>
  <c r="V377" i="31"/>
  <c r="U377" i="31"/>
  <c r="R377" i="31"/>
  <c r="T377" i="31"/>
  <c r="S377" i="31"/>
  <c r="Q377" i="31"/>
  <c r="O377" i="31"/>
  <c r="M377" i="31"/>
  <c r="K377" i="31"/>
  <c r="I377" i="31"/>
  <c r="G377" i="31"/>
  <c r="E377" i="31"/>
  <c r="C377" i="31"/>
  <c r="Y376" i="31"/>
  <c r="X376" i="31"/>
  <c r="V376" i="31"/>
  <c r="U376" i="31"/>
  <c r="R376" i="31"/>
  <c r="T376" i="31"/>
  <c r="S376" i="31"/>
  <c r="Q376" i="31"/>
  <c r="O376" i="31"/>
  <c r="M376" i="31"/>
  <c r="K376" i="31"/>
  <c r="I376" i="31"/>
  <c r="G376" i="31"/>
  <c r="E376" i="31"/>
  <c r="C376" i="31"/>
  <c r="Y375" i="31"/>
  <c r="X375" i="31"/>
  <c r="V375" i="31"/>
  <c r="U375" i="31"/>
  <c r="R375" i="31"/>
  <c r="T375" i="31"/>
  <c r="S375" i="31"/>
  <c r="Q375" i="31"/>
  <c r="O375" i="31"/>
  <c r="M375" i="31"/>
  <c r="K375" i="31"/>
  <c r="I375" i="31"/>
  <c r="G375" i="31"/>
  <c r="E375" i="31"/>
  <c r="C375" i="31"/>
  <c r="Y374" i="31"/>
  <c r="X374" i="31"/>
  <c r="V374" i="31"/>
  <c r="U374" i="31"/>
  <c r="R374" i="31"/>
  <c r="T374" i="31"/>
  <c r="S374" i="31"/>
  <c r="Q374" i="31"/>
  <c r="O374" i="31"/>
  <c r="M374" i="31"/>
  <c r="K374" i="31"/>
  <c r="I374" i="31"/>
  <c r="G374" i="31"/>
  <c r="E374" i="31"/>
  <c r="C374" i="31"/>
  <c r="Y373" i="31"/>
  <c r="X373" i="31"/>
  <c r="V373" i="31"/>
  <c r="U373" i="31"/>
  <c r="R373" i="31"/>
  <c r="T373" i="31"/>
  <c r="S373" i="31"/>
  <c r="Q373" i="31"/>
  <c r="O373" i="31"/>
  <c r="M373" i="31"/>
  <c r="K373" i="31"/>
  <c r="I373" i="31"/>
  <c r="G373" i="31"/>
  <c r="E373" i="31"/>
  <c r="C373" i="31"/>
  <c r="Y372" i="31"/>
  <c r="X372" i="31"/>
  <c r="V372" i="31"/>
  <c r="U372" i="31"/>
  <c r="R372" i="31"/>
  <c r="T372" i="31"/>
  <c r="S372" i="31"/>
  <c r="Q372" i="31"/>
  <c r="O372" i="31"/>
  <c r="M372" i="31"/>
  <c r="K372" i="31"/>
  <c r="I372" i="31"/>
  <c r="G372" i="31"/>
  <c r="E372" i="31"/>
  <c r="C372" i="31"/>
  <c r="Y371" i="31"/>
  <c r="X371" i="31"/>
  <c r="V371" i="31"/>
  <c r="U371" i="31"/>
  <c r="R371" i="31"/>
  <c r="T371" i="31"/>
  <c r="S371" i="31"/>
  <c r="Q371" i="31"/>
  <c r="O371" i="31"/>
  <c r="M371" i="31"/>
  <c r="K371" i="31"/>
  <c r="I371" i="31"/>
  <c r="G371" i="31"/>
  <c r="E371" i="31"/>
  <c r="C371" i="31"/>
  <c r="Y370" i="31"/>
  <c r="X370" i="31"/>
  <c r="V370" i="31"/>
  <c r="U370" i="31"/>
  <c r="R370" i="31"/>
  <c r="T370" i="31"/>
  <c r="S370" i="31"/>
  <c r="Q370" i="31"/>
  <c r="O370" i="31"/>
  <c r="M370" i="31"/>
  <c r="K370" i="31"/>
  <c r="I370" i="31"/>
  <c r="G370" i="31"/>
  <c r="E370" i="31"/>
  <c r="C370" i="31"/>
  <c r="Y369" i="31"/>
  <c r="X369" i="31"/>
  <c r="V369" i="31"/>
  <c r="U369" i="31"/>
  <c r="R369" i="31"/>
  <c r="T369" i="31"/>
  <c r="S369" i="31"/>
  <c r="Q369" i="31"/>
  <c r="O369" i="31"/>
  <c r="M369" i="31"/>
  <c r="K369" i="31"/>
  <c r="I369" i="31"/>
  <c r="G369" i="31"/>
  <c r="E369" i="31"/>
  <c r="C369" i="31"/>
  <c r="Y368" i="31"/>
  <c r="X368" i="31"/>
  <c r="V368" i="31"/>
  <c r="U368" i="31"/>
  <c r="R368" i="31"/>
  <c r="T368" i="31"/>
  <c r="S368" i="31"/>
  <c r="Q368" i="31"/>
  <c r="O368" i="31"/>
  <c r="M368" i="31"/>
  <c r="K368" i="31"/>
  <c r="I368" i="31"/>
  <c r="G368" i="31"/>
  <c r="E368" i="31"/>
  <c r="C368" i="31"/>
  <c r="Y367" i="31"/>
  <c r="X367" i="31"/>
  <c r="V367" i="31"/>
  <c r="U367" i="31"/>
  <c r="R367" i="31"/>
  <c r="T367" i="31"/>
  <c r="S367" i="31"/>
  <c r="Q367" i="31"/>
  <c r="O367" i="31"/>
  <c r="M367" i="31"/>
  <c r="K367" i="31"/>
  <c r="I367" i="31"/>
  <c r="G367" i="31"/>
  <c r="E367" i="31"/>
  <c r="C367" i="31"/>
  <c r="Y366" i="31"/>
  <c r="X366" i="31"/>
  <c r="V366" i="31"/>
  <c r="U366" i="31"/>
  <c r="R366" i="31"/>
  <c r="T366" i="31"/>
  <c r="S366" i="31"/>
  <c r="Q366" i="31"/>
  <c r="O366" i="31"/>
  <c r="M366" i="31"/>
  <c r="K366" i="31"/>
  <c r="I366" i="31"/>
  <c r="G366" i="31"/>
  <c r="E366" i="31"/>
  <c r="C366" i="31"/>
  <c r="Y365" i="31"/>
  <c r="X365" i="31"/>
  <c r="V365" i="31"/>
  <c r="U365" i="31"/>
  <c r="R365" i="31"/>
  <c r="T365" i="31"/>
  <c r="S365" i="31"/>
  <c r="Q365" i="31"/>
  <c r="O365" i="31"/>
  <c r="M365" i="31"/>
  <c r="K365" i="31"/>
  <c r="I365" i="31"/>
  <c r="G365" i="31"/>
  <c r="E365" i="31"/>
  <c r="C365" i="31"/>
  <c r="Y364" i="31"/>
  <c r="X364" i="31"/>
  <c r="V364" i="31"/>
  <c r="U364" i="31"/>
  <c r="R364" i="31"/>
  <c r="T364" i="31"/>
  <c r="S364" i="31"/>
  <c r="Q364" i="31"/>
  <c r="O364" i="31"/>
  <c r="M364" i="31"/>
  <c r="K364" i="31"/>
  <c r="I364" i="31"/>
  <c r="G364" i="31"/>
  <c r="E364" i="31"/>
  <c r="C364" i="31"/>
  <c r="Y363" i="31"/>
  <c r="X363" i="31"/>
  <c r="V363" i="31"/>
  <c r="U363" i="31"/>
  <c r="R363" i="31"/>
  <c r="T363" i="31"/>
  <c r="S363" i="31"/>
  <c r="Q363" i="31"/>
  <c r="O363" i="31"/>
  <c r="M363" i="31"/>
  <c r="K363" i="31"/>
  <c r="I363" i="31"/>
  <c r="G363" i="31"/>
  <c r="E363" i="31"/>
  <c r="C363" i="31"/>
  <c r="Y362" i="31"/>
  <c r="X362" i="31"/>
  <c r="V362" i="31"/>
  <c r="U362" i="31"/>
  <c r="R362" i="31"/>
  <c r="T362" i="31"/>
  <c r="S362" i="31"/>
  <c r="Q362" i="31"/>
  <c r="O362" i="31"/>
  <c r="M362" i="31"/>
  <c r="K362" i="31"/>
  <c r="I362" i="31"/>
  <c r="G362" i="31"/>
  <c r="E362" i="31"/>
  <c r="C362" i="31"/>
  <c r="Y361" i="31"/>
  <c r="X361" i="31"/>
  <c r="V361" i="31"/>
  <c r="U361" i="31"/>
  <c r="R361" i="31"/>
  <c r="T361" i="31"/>
  <c r="S361" i="31"/>
  <c r="Q361" i="31"/>
  <c r="O361" i="31"/>
  <c r="M361" i="31"/>
  <c r="K361" i="31"/>
  <c r="I361" i="31"/>
  <c r="G361" i="31"/>
  <c r="E361" i="31"/>
  <c r="C361" i="31"/>
  <c r="Y360" i="31"/>
  <c r="X360" i="31"/>
  <c r="V360" i="31"/>
  <c r="U360" i="31"/>
  <c r="R360" i="31"/>
  <c r="T360" i="31"/>
  <c r="S360" i="31"/>
  <c r="Q360" i="31"/>
  <c r="O360" i="31"/>
  <c r="M360" i="31"/>
  <c r="K360" i="31"/>
  <c r="I360" i="31"/>
  <c r="G360" i="31"/>
  <c r="E360" i="31"/>
  <c r="C360" i="31"/>
  <c r="Y359" i="31"/>
  <c r="X359" i="31"/>
  <c r="V359" i="31"/>
  <c r="U359" i="31"/>
  <c r="R359" i="31"/>
  <c r="T359" i="31"/>
  <c r="S359" i="31"/>
  <c r="Q359" i="31"/>
  <c r="O359" i="31"/>
  <c r="M359" i="31"/>
  <c r="K359" i="31"/>
  <c r="I359" i="31"/>
  <c r="G359" i="31"/>
  <c r="E359" i="31"/>
  <c r="C359" i="31"/>
  <c r="Y358" i="31"/>
  <c r="X358" i="31"/>
  <c r="V358" i="31"/>
  <c r="U358" i="31"/>
  <c r="R358" i="31"/>
  <c r="T358" i="31"/>
  <c r="S358" i="31"/>
  <c r="Q358" i="31"/>
  <c r="O358" i="31"/>
  <c r="M358" i="31"/>
  <c r="K358" i="31"/>
  <c r="I358" i="31"/>
  <c r="G358" i="31"/>
  <c r="E358" i="31"/>
  <c r="C358" i="31"/>
  <c r="Y357" i="31"/>
  <c r="X357" i="31"/>
  <c r="V357" i="31"/>
  <c r="U357" i="31"/>
  <c r="R357" i="31"/>
  <c r="T357" i="31"/>
  <c r="S357" i="31"/>
  <c r="Q357" i="31"/>
  <c r="O357" i="31"/>
  <c r="M357" i="31"/>
  <c r="K357" i="31"/>
  <c r="I357" i="31"/>
  <c r="G357" i="31"/>
  <c r="E357" i="31"/>
  <c r="C357" i="31"/>
  <c r="Y356" i="31"/>
  <c r="X356" i="31"/>
  <c r="V356" i="31"/>
  <c r="U356" i="31"/>
  <c r="R356" i="31"/>
  <c r="T356" i="31"/>
  <c r="S356" i="31"/>
  <c r="Q356" i="31"/>
  <c r="O356" i="31"/>
  <c r="M356" i="31"/>
  <c r="K356" i="31"/>
  <c r="I356" i="31"/>
  <c r="G356" i="31"/>
  <c r="E356" i="31"/>
  <c r="C356" i="31"/>
  <c r="Y355" i="31"/>
  <c r="X355" i="31"/>
  <c r="V355" i="31"/>
  <c r="U355" i="31"/>
  <c r="R355" i="31"/>
  <c r="T355" i="31"/>
  <c r="S355" i="31"/>
  <c r="Q355" i="31"/>
  <c r="O355" i="31"/>
  <c r="M355" i="31"/>
  <c r="K355" i="31"/>
  <c r="I355" i="31"/>
  <c r="G355" i="31"/>
  <c r="E355" i="31"/>
  <c r="C355" i="31"/>
  <c r="Y354" i="31"/>
  <c r="X354" i="31"/>
  <c r="V354" i="31"/>
  <c r="U354" i="31"/>
  <c r="R354" i="31"/>
  <c r="T354" i="31"/>
  <c r="S354" i="31"/>
  <c r="Q354" i="31"/>
  <c r="O354" i="31"/>
  <c r="M354" i="31"/>
  <c r="K354" i="31"/>
  <c r="I354" i="31"/>
  <c r="G354" i="31"/>
  <c r="E354" i="31"/>
  <c r="C354" i="31"/>
  <c r="Y353" i="31"/>
  <c r="X353" i="31"/>
  <c r="V353" i="31"/>
  <c r="U353" i="31"/>
  <c r="R353" i="31"/>
  <c r="T353" i="31"/>
  <c r="S353" i="31"/>
  <c r="Q353" i="31"/>
  <c r="O353" i="31"/>
  <c r="M353" i="31"/>
  <c r="K353" i="31"/>
  <c r="I353" i="31"/>
  <c r="G353" i="31"/>
  <c r="E353" i="31"/>
  <c r="C353" i="31"/>
  <c r="Y352" i="31"/>
  <c r="X352" i="31"/>
  <c r="V352" i="31"/>
  <c r="U352" i="31"/>
  <c r="R352" i="31"/>
  <c r="T352" i="31"/>
  <c r="S352" i="31"/>
  <c r="Q352" i="31"/>
  <c r="O352" i="31"/>
  <c r="M352" i="31"/>
  <c r="K352" i="31"/>
  <c r="I352" i="31"/>
  <c r="G352" i="31"/>
  <c r="E352" i="31"/>
  <c r="C352" i="31"/>
  <c r="Y351" i="31"/>
  <c r="X351" i="31"/>
  <c r="V351" i="31"/>
  <c r="U351" i="31"/>
  <c r="R351" i="31"/>
  <c r="T351" i="31"/>
  <c r="S351" i="31"/>
  <c r="Q351" i="31"/>
  <c r="O351" i="31"/>
  <c r="M351" i="31"/>
  <c r="K351" i="31"/>
  <c r="I351" i="31"/>
  <c r="G351" i="31"/>
  <c r="E351" i="31"/>
  <c r="C351" i="31"/>
  <c r="Y350" i="31"/>
  <c r="X350" i="31"/>
  <c r="V350" i="31"/>
  <c r="U350" i="31"/>
  <c r="R350" i="31"/>
  <c r="T350" i="31"/>
  <c r="S350" i="31"/>
  <c r="Q350" i="31"/>
  <c r="O350" i="31"/>
  <c r="M350" i="31"/>
  <c r="K350" i="31"/>
  <c r="I350" i="31"/>
  <c r="G350" i="31"/>
  <c r="E350" i="31"/>
  <c r="C350" i="31"/>
  <c r="Y349" i="31"/>
  <c r="X349" i="31"/>
  <c r="V349" i="31"/>
  <c r="U349" i="31"/>
  <c r="R349" i="31"/>
  <c r="T349" i="31"/>
  <c r="S349" i="31"/>
  <c r="Q349" i="31"/>
  <c r="O349" i="31"/>
  <c r="M349" i="31"/>
  <c r="K349" i="31"/>
  <c r="I349" i="31"/>
  <c r="G349" i="31"/>
  <c r="E349" i="31"/>
  <c r="C349" i="31"/>
  <c r="Y348" i="31"/>
  <c r="X348" i="31"/>
  <c r="V348" i="31"/>
  <c r="U348" i="31"/>
  <c r="R348" i="31"/>
  <c r="T348" i="31"/>
  <c r="S348" i="31"/>
  <c r="Q348" i="31"/>
  <c r="O348" i="31"/>
  <c r="M348" i="31"/>
  <c r="K348" i="31"/>
  <c r="I348" i="31"/>
  <c r="G348" i="31"/>
  <c r="E348" i="31"/>
  <c r="C348" i="31"/>
  <c r="Y347" i="31"/>
  <c r="X347" i="31"/>
  <c r="V347" i="31"/>
  <c r="U347" i="31"/>
  <c r="R347" i="31"/>
  <c r="T347" i="31"/>
  <c r="S347" i="31"/>
  <c r="Q347" i="31"/>
  <c r="O347" i="31"/>
  <c r="M347" i="31"/>
  <c r="K347" i="31"/>
  <c r="I347" i="31"/>
  <c r="G347" i="31"/>
  <c r="E347" i="31"/>
  <c r="C347" i="31"/>
  <c r="Y346" i="31"/>
  <c r="X346" i="31"/>
  <c r="V346" i="31"/>
  <c r="U346" i="31"/>
  <c r="R346" i="31"/>
  <c r="T346" i="31"/>
  <c r="S346" i="31"/>
  <c r="Q346" i="31"/>
  <c r="O346" i="31"/>
  <c r="M346" i="31"/>
  <c r="K346" i="31"/>
  <c r="I346" i="31"/>
  <c r="G346" i="31"/>
  <c r="E346" i="31"/>
  <c r="C346" i="31"/>
  <c r="Y345" i="31"/>
  <c r="X345" i="31"/>
  <c r="V345" i="31"/>
  <c r="U345" i="31"/>
  <c r="R345" i="31"/>
  <c r="T345" i="31"/>
  <c r="S345" i="31"/>
  <c r="Q345" i="31"/>
  <c r="O345" i="31"/>
  <c r="M345" i="31"/>
  <c r="K345" i="31"/>
  <c r="I345" i="31"/>
  <c r="G345" i="31"/>
  <c r="E345" i="31"/>
  <c r="C345" i="31"/>
  <c r="Y344" i="31"/>
  <c r="X344" i="31"/>
  <c r="V344" i="31"/>
  <c r="U344" i="31"/>
  <c r="R344" i="31"/>
  <c r="T344" i="31"/>
  <c r="S344" i="31"/>
  <c r="Q344" i="31"/>
  <c r="O344" i="31"/>
  <c r="M344" i="31"/>
  <c r="K344" i="31"/>
  <c r="I344" i="31"/>
  <c r="G344" i="31"/>
  <c r="E344" i="31"/>
  <c r="C344" i="31"/>
  <c r="Y343" i="31"/>
  <c r="X343" i="31"/>
  <c r="V343" i="31"/>
  <c r="U343" i="31"/>
  <c r="R343" i="31"/>
  <c r="T343" i="31"/>
  <c r="S343" i="31"/>
  <c r="Q343" i="31"/>
  <c r="O343" i="31"/>
  <c r="M343" i="31"/>
  <c r="K343" i="31"/>
  <c r="I343" i="31"/>
  <c r="G343" i="31"/>
  <c r="E343" i="31"/>
  <c r="C343" i="31"/>
  <c r="Y342" i="31"/>
  <c r="X342" i="31"/>
  <c r="V342" i="31"/>
  <c r="U342" i="31"/>
  <c r="R342" i="31"/>
  <c r="T342" i="31"/>
  <c r="S342" i="31"/>
  <c r="Q342" i="31"/>
  <c r="O342" i="31"/>
  <c r="M342" i="31"/>
  <c r="K342" i="31"/>
  <c r="I342" i="31"/>
  <c r="G342" i="31"/>
  <c r="E342" i="31"/>
  <c r="C342" i="31"/>
  <c r="Y341" i="31"/>
  <c r="X341" i="31"/>
  <c r="V341" i="31"/>
  <c r="U341" i="31"/>
  <c r="R341" i="31"/>
  <c r="T341" i="31"/>
  <c r="S341" i="31"/>
  <c r="Q341" i="31"/>
  <c r="O341" i="31"/>
  <c r="M341" i="31"/>
  <c r="K341" i="31"/>
  <c r="I341" i="31"/>
  <c r="G341" i="31"/>
  <c r="E341" i="31"/>
  <c r="C341" i="31"/>
  <c r="Y340" i="31"/>
  <c r="X340" i="31"/>
  <c r="V340" i="31"/>
  <c r="U340" i="31"/>
  <c r="R340" i="31"/>
  <c r="T340" i="31"/>
  <c r="S340" i="31"/>
  <c r="Q340" i="31"/>
  <c r="O340" i="31"/>
  <c r="M340" i="31"/>
  <c r="K340" i="31"/>
  <c r="I340" i="31"/>
  <c r="G340" i="31"/>
  <c r="E340" i="31"/>
  <c r="C340" i="31"/>
  <c r="Y339" i="31"/>
  <c r="X339" i="31"/>
  <c r="V339" i="31"/>
  <c r="U339" i="31"/>
  <c r="R339" i="31"/>
  <c r="T339" i="31"/>
  <c r="S339" i="31"/>
  <c r="Q339" i="31"/>
  <c r="O339" i="31"/>
  <c r="M339" i="31"/>
  <c r="K339" i="31"/>
  <c r="I339" i="31"/>
  <c r="G339" i="31"/>
  <c r="E339" i="31"/>
  <c r="C339" i="31"/>
  <c r="Y338" i="31"/>
  <c r="X338" i="31"/>
  <c r="V338" i="31"/>
  <c r="U338" i="31"/>
  <c r="R338" i="31"/>
  <c r="T338" i="31"/>
  <c r="S338" i="31"/>
  <c r="Q338" i="31"/>
  <c r="O338" i="31"/>
  <c r="M338" i="31"/>
  <c r="K338" i="31"/>
  <c r="I338" i="31"/>
  <c r="G338" i="31"/>
  <c r="E338" i="31"/>
  <c r="C338" i="31"/>
  <c r="Y337" i="31"/>
  <c r="X337" i="31"/>
  <c r="V337" i="31"/>
  <c r="U337" i="31"/>
  <c r="R337" i="31"/>
  <c r="T337" i="31"/>
  <c r="S337" i="31"/>
  <c r="Q337" i="31"/>
  <c r="O337" i="31"/>
  <c r="M337" i="31"/>
  <c r="K337" i="31"/>
  <c r="I337" i="31"/>
  <c r="G337" i="31"/>
  <c r="E337" i="31"/>
  <c r="C337" i="31"/>
  <c r="Y336" i="31"/>
  <c r="X336" i="31"/>
  <c r="V336" i="31"/>
  <c r="U336" i="31"/>
  <c r="R336" i="31"/>
  <c r="T336" i="31"/>
  <c r="S336" i="31"/>
  <c r="Q336" i="31"/>
  <c r="O336" i="31"/>
  <c r="M336" i="31"/>
  <c r="K336" i="31"/>
  <c r="I336" i="31"/>
  <c r="G336" i="31"/>
  <c r="E336" i="31"/>
  <c r="C336" i="31"/>
  <c r="Y335" i="31"/>
  <c r="X335" i="31"/>
  <c r="V335" i="31"/>
  <c r="U335" i="31"/>
  <c r="R335" i="31"/>
  <c r="T335" i="31"/>
  <c r="S335" i="31"/>
  <c r="Q335" i="31"/>
  <c r="O335" i="31"/>
  <c r="M335" i="31"/>
  <c r="K335" i="31"/>
  <c r="I335" i="31"/>
  <c r="G335" i="31"/>
  <c r="E335" i="31"/>
  <c r="C335" i="31"/>
  <c r="Y334" i="31"/>
  <c r="X334" i="31"/>
  <c r="V334" i="31"/>
  <c r="U334" i="31"/>
  <c r="R334" i="31"/>
  <c r="T334" i="31"/>
  <c r="S334" i="31"/>
  <c r="Q334" i="31"/>
  <c r="O334" i="31"/>
  <c r="M334" i="31"/>
  <c r="K334" i="31"/>
  <c r="I334" i="31"/>
  <c r="G334" i="31"/>
  <c r="E334" i="31"/>
  <c r="C334" i="31"/>
  <c r="Y333" i="31"/>
  <c r="X333" i="31"/>
  <c r="V333" i="31"/>
  <c r="U333" i="31"/>
  <c r="R333" i="31"/>
  <c r="T333" i="31"/>
  <c r="S333" i="31"/>
  <c r="Q333" i="31"/>
  <c r="O333" i="31"/>
  <c r="M333" i="31"/>
  <c r="K333" i="31"/>
  <c r="I333" i="31"/>
  <c r="G333" i="31"/>
  <c r="E333" i="31"/>
  <c r="C333" i="31"/>
  <c r="Y332" i="31"/>
  <c r="X332" i="31"/>
  <c r="V332" i="31"/>
  <c r="U332" i="31"/>
  <c r="R332" i="31"/>
  <c r="T332" i="31"/>
  <c r="S332" i="31"/>
  <c r="Q332" i="31"/>
  <c r="O332" i="31"/>
  <c r="M332" i="31"/>
  <c r="K332" i="31"/>
  <c r="I332" i="31"/>
  <c r="G332" i="31"/>
  <c r="E332" i="31"/>
  <c r="C332" i="31"/>
  <c r="Y331" i="31"/>
  <c r="X331" i="31"/>
  <c r="V331" i="31"/>
  <c r="U331" i="31"/>
  <c r="R331" i="31"/>
  <c r="T331" i="31"/>
  <c r="S331" i="31"/>
  <c r="Q331" i="31"/>
  <c r="O331" i="31"/>
  <c r="M331" i="31"/>
  <c r="K331" i="31"/>
  <c r="I331" i="31"/>
  <c r="G331" i="31"/>
  <c r="E331" i="31"/>
  <c r="C331" i="31"/>
  <c r="Y330" i="31"/>
  <c r="X330" i="31"/>
  <c r="V330" i="31"/>
  <c r="U330" i="31"/>
  <c r="R330" i="31"/>
  <c r="T330" i="31"/>
  <c r="S330" i="31"/>
  <c r="Q330" i="31"/>
  <c r="O330" i="31"/>
  <c r="M330" i="31"/>
  <c r="K330" i="31"/>
  <c r="I330" i="31"/>
  <c r="G330" i="31"/>
  <c r="E330" i="31"/>
  <c r="C330" i="31"/>
  <c r="Y329" i="31"/>
  <c r="X329" i="31"/>
  <c r="V329" i="31"/>
  <c r="U329" i="31"/>
  <c r="R329" i="31"/>
  <c r="T329" i="31"/>
  <c r="S329" i="31"/>
  <c r="Q329" i="31"/>
  <c r="O329" i="31"/>
  <c r="M329" i="31"/>
  <c r="K329" i="31"/>
  <c r="I329" i="31"/>
  <c r="G329" i="31"/>
  <c r="E329" i="31"/>
  <c r="C329" i="31"/>
  <c r="Y328" i="31"/>
  <c r="X328" i="31"/>
  <c r="V328" i="31"/>
  <c r="U328" i="31"/>
  <c r="R328" i="31"/>
  <c r="T328" i="31"/>
  <c r="S328" i="31"/>
  <c r="Q328" i="31"/>
  <c r="O328" i="31"/>
  <c r="M328" i="31"/>
  <c r="K328" i="31"/>
  <c r="I328" i="31"/>
  <c r="G328" i="31"/>
  <c r="E328" i="31"/>
  <c r="C328" i="31"/>
  <c r="Y327" i="31"/>
  <c r="X327" i="31"/>
  <c r="V327" i="31"/>
  <c r="U327" i="31"/>
  <c r="R327" i="31"/>
  <c r="T327" i="31"/>
  <c r="S327" i="31"/>
  <c r="Q327" i="31"/>
  <c r="O327" i="31"/>
  <c r="M327" i="31"/>
  <c r="K327" i="31"/>
  <c r="I327" i="31"/>
  <c r="G327" i="31"/>
  <c r="E327" i="31"/>
  <c r="C327" i="31"/>
  <c r="Y326" i="31"/>
  <c r="X326" i="31"/>
  <c r="V326" i="31"/>
  <c r="U326" i="31"/>
  <c r="R326" i="31"/>
  <c r="T326" i="31"/>
  <c r="S326" i="31"/>
  <c r="Q326" i="31"/>
  <c r="O326" i="31"/>
  <c r="M326" i="31"/>
  <c r="K326" i="31"/>
  <c r="I326" i="31"/>
  <c r="G326" i="31"/>
  <c r="E326" i="31"/>
  <c r="C326" i="31"/>
  <c r="Y325" i="31"/>
  <c r="X325" i="31"/>
  <c r="V325" i="31"/>
  <c r="U325" i="31"/>
  <c r="R325" i="31"/>
  <c r="T325" i="31"/>
  <c r="S325" i="31"/>
  <c r="Q325" i="31"/>
  <c r="O325" i="31"/>
  <c r="M325" i="31"/>
  <c r="K325" i="31"/>
  <c r="I325" i="31"/>
  <c r="G325" i="31"/>
  <c r="E325" i="31"/>
  <c r="C325" i="31"/>
  <c r="Y324" i="31"/>
  <c r="X324" i="31"/>
  <c r="V324" i="31"/>
  <c r="U324" i="31"/>
  <c r="R324" i="31"/>
  <c r="T324" i="31"/>
  <c r="S324" i="31"/>
  <c r="Q324" i="31"/>
  <c r="O324" i="31"/>
  <c r="M324" i="31"/>
  <c r="K324" i="31"/>
  <c r="I324" i="31"/>
  <c r="G324" i="31"/>
  <c r="E324" i="31"/>
  <c r="C324" i="31"/>
  <c r="Y323" i="31"/>
  <c r="X323" i="31"/>
  <c r="V323" i="31"/>
  <c r="U323" i="31"/>
  <c r="R323" i="31"/>
  <c r="T323" i="31"/>
  <c r="S323" i="31"/>
  <c r="Q323" i="31"/>
  <c r="O323" i="31"/>
  <c r="M323" i="31"/>
  <c r="K323" i="31"/>
  <c r="I323" i="31"/>
  <c r="G323" i="31"/>
  <c r="E323" i="31"/>
  <c r="C323" i="31"/>
  <c r="Y322" i="31"/>
  <c r="X322" i="31"/>
  <c r="V322" i="31"/>
  <c r="U322" i="31"/>
  <c r="R322" i="31"/>
  <c r="T322" i="31"/>
  <c r="S322" i="31"/>
  <c r="Q322" i="31"/>
  <c r="O322" i="31"/>
  <c r="M322" i="31"/>
  <c r="K322" i="31"/>
  <c r="I322" i="31"/>
  <c r="G322" i="31"/>
  <c r="E322" i="31"/>
  <c r="C322" i="31"/>
  <c r="Y321" i="31"/>
  <c r="X321" i="31"/>
  <c r="V321" i="31"/>
  <c r="U321" i="31"/>
  <c r="R321" i="31"/>
  <c r="T321" i="31"/>
  <c r="S321" i="31"/>
  <c r="Q321" i="31"/>
  <c r="O321" i="31"/>
  <c r="M321" i="31"/>
  <c r="K321" i="31"/>
  <c r="I321" i="31"/>
  <c r="G321" i="31"/>
  <c r="E321" i="31"/>
  <c r="C321" i="31"/>
  <c r="Y320" i="31"/>
  <c r="X320" i="31"/>
  <c r="V320" i="31"/>
  <c r="U320" i="31"/>
  <c r="R320" i="31"/>
  <c r="T320" i="31"/>
  <c r="S320" i="31"/>
  <c r="Q320" i="31"/>
  <c r="O320" i="31"/>
  <c r="M320" i="31"/>
  <c r="K320" i="31"/>
  <c r="I320" i="31"/>
  <c r="G320" i="31"/>
  <c r="E320" i="31"/>
  <c r="C320" i="31"/>
  <c r="Y319" i="31"/>
  <c r="X319" i="31"/>
  <c r="V319" i="31"/>
  <c r="U319" i="31"/>
  <c r="R319" i="31"/>
  <c r="T319" i="31"/>
  <c r="S319" i="31"/>
  <c r="Q319" i="31"/>
  <c r="O319" i="31"/>
  <c r="M319" i="31"/>
  <c r="K319" i="31"/>
  <c r="I319" i="31"/>
  <c r="G319" i="31"/>
  <c r="E319" i="31"/>
  <c r="C319" i="31"/>
  <c r="Y318" i="31"/>
  <c r="X318" i="31"/>
  <c r="V318" i="31"/>
  <c r="U318" i="31"/>
  <c r="R318" i="31"/>
  <c r="T318" i="31"/>
  <c r="S318" i="31"/>
  <c r="Q318" i="31"/>
  <c r="O318" i="31"/>
  <c r="M318" i="31"/>
  <c r="K318" i="31"/>
  <c r="I318" i="31"/>
  <c r="G318" i="31"/>
  <c r="E318" i="31"/>
  <c r="C318" i="31"/>
  <c r="Y317" i="31"/>
  <c r="X317" i="31"/>
  <c r="V317" i="31"/>
  <c r="U317" i="31"/>
  <c r="R317" i="31"/>
  <c r="T317" i="31"/>
  <c r="S317" i="31"/>
  <c r="Q317" i="31"/>
  <c r="O317" i="31"/>
  <c r="M317" i="31"/>
  <c r="K317" i="31"/>
  <c r="I317" i="31"/>
  <c r="G317" i="31"/>
  <c r="E317" i="31"/>
  <c r="C317" i="31"/>
  <c r="Y316" i="31"/>
  <c r="X316" i="31"/>
  <c r="V316" i="31"/>
  <c r="U316" i="31"/>
  <c r="R316" i="31"/>
  <c r="T316" i="31"/>
  <c r="S316" i="31"/>
  <c r="Q316" i="31"/>
  <c r="O316" i="31"/>
  <c r="M316" i="31"/>
  <c r="K316" i="31"/>
  <c r="I316" i="31"/>
  <c r="G316" i="31"/>
  <c r="E316" i="31"/>
  <c r="C316" i="31"/>
  <c r="Y315" i="31"/>
  <c r="X315" i="31"/>
  <c r="V315" i="31"/>
  <c r="U315" i="31"/>
  <c r="R315" i="31"/>
  <c r="T315" i="31"/>
  <c r="S315" i="31"/>
  <c r="Q315" i="31"/>
  <c r="O315" i="31"/>
  <c r="M315" i="31"/>
  <c r="K315" i="31"/>
  <c r="I315" i="31"/>
  <c r="G315" i="31"/>
  <c r="E315" i="31"/>
  <c r="C315" i="31"/>
  <c r="Y314" i="31"/>
  <c r="X314" i="31"/>
  <c r="V314" i="31"/>
  <c r="U314" i="31"/>
  <c r="R314" i="31"/>
  <c r="T314" i="31"/>
  <c r="S314" i="31"/>
  <c r="Q314" i="31"/>
  <c r="O314" i="31"/>
  <c r="M314" i="31"/>
  <c r="K314" i="31"/>
  <c r="I314" i="31"/>
  <c r="G314" i="31"/>
  <c r="E314" i="31"/>
  <c r="C314" i="31"/>
  <c r="Y313" i="31"/>
  <c r="X313" i="31"/>
  <c r="V313" i="31"/>
  <c r="U313" i="31"/>
  <c r="R313" i="31"/>
  <c r="T313" i="31"/>
  <c r="S313" i="31"/>
  <c r="Q313" i="31"/>
  <c r="O313" i="31"/>
  <c r="M313" i="31"/>
  <c r="K313" i="31"/>
  <c r="I313" i="31"/>
  <c r="G313" i="31"/>
  <c r="E313" i="31"/>
  <c r="C313" i="31"/>
  <c r="Y312" i="31"/>
  <c r="X312" i="31"/>
  <c r="V312" i="31"/>
  <c r="U312" i="31"/>
  <c r="R312" i="31"/>
  <c r="T312" i="31"/>
  <c r="S312" i="31"/>
  <c r="Q312" i="31"/>
  <c r="O312" i="31"/>
  <c r="M312" i="31"/>
  <c r="K312" i="31"/>
  <c r="I312" i="31"/>
  <c r="G312" i="31"/>
  <c r="E312" i="31"/>
  <c r="C312" i="31"/>
  <c r="Y311" i="31"/>
  <c r="X311" i="31"/>
  <c r="V311" i="31"/>
  <c r="U311" i="31"/>
  <c r="R311" i="31"/>
  <c r="T311" i="31"/>
  <c r="S311" i="31"/>
  <c r="Q311" i="31"/>
  <c r="O311" i="31"/>
  <c r="M311" i="31"/>
  <c r="K311" i="31"/>
  <c r="I311" i="31"/>
  <c r="G311" i="31"/>
  <c r="E311" i="31"/>
  <c r="C311" i="31"/>
  <c r="Y310" i="31"/>
  <c r="X310" i="31"/>
  <c r="V310" i="31"/>
  <c r="U310" i="31"/>
  <c r="R310" i="31"/>
  <c r="T310" i="31"/>
  <c r="S310" i="31"/>
  <c r="Q310" i="31"/>
  <c r="O310" i="31"/>
  <c r="M310" i="31"/>
  <c r="K310" i="31"/>
  <c r="I310" i="31"/>
  <c r="G310" i="31"/>
  <c r="E310" i="31"/>
  <c r="C310" i="31"/>
  <c r="Y309" i="31"/>
  <c r="X309" i="31"/>
  <c r="V309" i="31"/>
  <c r="U309" i="31"/>
  <c r="R309" i="31"/>
  <c r="T309" i="31"/>
  <c r="S309" i="31"/>
  <c r="Q309" i="31"/>
  <c r="O309" i="31"/>
  <c r="M309" i="31"/>
  <c r="K309" i="31"/>
  <c r="I309" i="31"/>
  <c r="G309" i="31"/>
  <c r="E309" i="31"/>
  <c r="C309" i="31"/>
  <c r="Y308" i="31"/>
  <c r="X308" i="31"/>
  <c r="V308" i="31"/>
  <c r="U308" i="31"/>
  <c r="R308" i="31"/>
  <c r="T308" i="31"/>
  <c r="S308" i="31"/>
  <c r="Q308" i="31"/>
  <c r="O308" i="31"/>
  <c r="M308" i="31"/>
  <c r="K308" i="31"/>
  <c r="I308" i="31"/>
  <c r="G308" i="31"/>
  <c r="E308" i="31"/>
  <c r="C308" i="31"/>
  <c r="Y307" i="31"/>
  <c r="X307" i="31"/>
  <c r="V307" i="31"/>
  <c r="U307" i="31"/>
  <c r="R307" i="31"/>
  <c r="T307" i="31"/>
  <c r="S307" i="31"/>
  <c r="Q307" i="31"/>
  <c r="O307" i="31"/>
  <c r="M307" i="31"/>
  <c r="K307" i="31"/>
  <c r="I307" i="31"/>
  <c r="G307" i="31"/>
  <c r="E307" i="31"/>
  <c r="C307" i="31"/>
  <c r="Y306" i="31"/>
  <c r="X306" i="31"/>
  <c r="V306" i="31"/>
  <c r="U306" i="31"/>
  <c r="R306" i="31"/>
  <c r="T306" i="31"/>
  <c r="S306" i="31"/>
  <c r="Q306" i="31"/>
  <c r="O306" i="31"/>
  <c r="M306" i="31"/>
  <c r="K306" i="31"/>
  <c r="I306" i="31"/>
  <c r="G306" i="31"/>
  <c r="E306" i="31"/>
  <c r="C306" i="31"/>
  <c r="Y305" i="31"/>
  <c r="X305" i="31"/>
  <c r="V305" i="31"/>
  <c r="U305" i="31"/>
  <c r="R305" i="31"/>
  <c r="T305" i="31"/>
  <c r="S305" i="31"/>
  <c r="Q305" i="31"/>
  <c r="O305" i="31"/>
  <c r="M305" i="31"/>
  <c r="K305" i="31"/>
  <c r="I305" i="31"/>
  <c r="G305" i="31"/>
  <c r="E305" i="31"/>
  <c r="C305" i="31"/>
  <c r="Y304" i="31"/>
  <c r="X304" i="31"/>
  <c r="V304" i="31"/>
  <c r="U304" i="31"/>
  <c r="R304" i="31"/>
  <c r="T304" i="31"/>
  <c r="S304" i="31"/>
  <c r="Q304" i="31"/>
  <c r="O304" i="31"/>
  <c r="M304" i="31"/>
  <c r="K304" i="31"/>
  <c r="I304" i="31"/>
  <c r="G304" i="31"/>
  <c r="E304" i="31"/>
  <c r="C304" i="31"/>
  <c r="Y303" i="31"/>
  <c r="X303" i="31"/>
  <c r="V303" i="31"/>
  <c r="U303" i="31"/>
  <c r="R303" i="31"/>
  <c r="T303" i="31"/>
  <c r="S303" i="31"/>
  <c r="Q303" i="31"/>
  <c r="O303" i="31"/>
  <c r="M303" i="31"/>
  <c r="K303" i="31"/>
  <c r="I303" i="31"/>
  <c r="G303" i="31"/>
  <c r="E303" i="31"/>
  <c r="C303" i="31"/>
  <c r="Y302" i="31"/>
  <c r="X302" i="31"/>
  <c r="V302" i="31"/>
  <c r="U302" i="31"/>
  <c r="R302" i="31"/>
  <c r="T302" i="31"/>
  <c r="S302" i="31"/>
  <c r="Q302" i="31"/>
  <c r="O302" i="31"/>
  <c r="M302" i="31"/>
  <c r="K302" i="31"/>
  <c r="I302" i="31"/>
  <c r="G302" i="31"/>
  <c r="E302" i="31"/>
  <c r="C302" i="31"/>
  <c r="Y301" i="31"/>
  <c r="X301" i="31"/>
  <c r="V301" i="31"/>
  <c r="U301" i="31"/>
  <c r="R301" i="31"/>
  <c r="T301" i="31"/>
  <c r="S301" i="31"/>
  <c r="Q301" i="31"/>
  <c r="O301" i="31"/>
  <c r="M301" i="31"/>
  <c r="K301" i="31"/>
  <c r="I301" i="31"/>
  <c r="G301" i="31"/>
  <c r="E301" i="31"/>
  <c r="C301" i="31"/>
  <c r="Y300" i="31"/>
  <c r="X300" i="31"/>
  <c r="V300" i="31"/>
  <c r="U300" i="31"/>
  <c r="R300" i="31"/>
  <c r="T300" i="31"/>
  <c r="S300" i="31"/>
  <c r="Q300" i="31"/>
  <c r="O300" i="31"/>
  <c r="M300" i="31"/>
  <c r="K300" i="31"/>
  <c r="I300" i="31"/>
  <c r="G300" i="31"/>
  <c r="E300" i="31"/>
  <c r="C300" i="31"/>
  <c r="Y299" i="31"/>
  <c r="X299" i="31"/>
  <c r="V299" i="31"/>
  <c r="U299" i="31"/>
  <c r="R299" i="31"/>
  <c r="T299" i="31"/>
  <c r="S299" i="31"/>
  <c r="Q299" i="31"/>
  <c r="O299" i="31"/>
  <c r="M299" i="31"/>
  <c r="K299" i="31"/>
  <c r="I299" i="31"/>
  <c r="G299" i="31"/>
  <c r="E299" i="31"/>
  <c r="C299" i="31"/>
  <c r="Y298" i="31"/>
  <c r="X298" i="31"/>
  <c r="V298" i="31"/>
  <c r="U298" i="31"/>
  <c r="R298" i="31"/>
  <c r="T298" i="31"/>
  <c r="S298" i="31"/>
  <c r="Q298" i="31"/>
  <c r="O298" i="31"/>
  <c r="M298" i="31"/>
  <c r="K298" i="31"/>
  <c r="I298" i="31"/>
  <c r="G298" i="31"/>
  <c r="E298" i="31"/>
  <c r="C298" i="31"/>
  <c r="Y297" i="31"/>
  <c r="X297" i="31"/>
  <c r="V297" i="31"/>
  <c r="U297" i="31"/>
  <c r="R297" i="31"/>
  <c r="T297" i="31"/>
  <c r="S297" i="31"/>
  <c r="Q297" i="31"/>
  <c r="O297" i="31"/>
  <c r="M297" i="31"/>
  <c r="K297" i="31"/>
  <c r="I297" i="31"/>
  <c r="G297" i="31"/>
  <c r="E297" i="31"/>
  <c r="C297" i="31"/>
  <c r="Y296" i="31"/>
  <c r="X296" i="31"/>
  <c r="V296" i="31"/>
  <c r="U296" i="31"/>
  <c r="R296" i="31"/>
  <c r="T296" i="31"/>
  <c r="S296" i="31"/>
  <c r="Q296" i="31"/>
  <c r="O296" i="31"/>
  <c r="M296" i="31"/>
  <c r="K296" i="31"/>
  <c r="I296" i="31"/>
  <c r="G296" i="31"/>
  <c r="E296" i="31"/>
  <c r="C296" i="31"/>
  <c r="Y295" i="31"/>
  <c r="X295" i="31"/>
  <c r="V295" i="31"/>
  <c r="U295" i="31"/>
  <c r="R295" i="31"/>
  <c r="T295" i="31"/>
  <c r="S295" i="31"/>
  <c r="Q295" i="31"/>
  <c r="O295" i="31"/>
  <c r="M295" i="31"/>
  <c r="K295" i="31"/>
  <c r="I295" i="31"/>
  <c r="G295" i="31"/>
  <c r="E295" i="31"/>
  <c r="C295" i="31"/>
  <c r="Y294" i="31"/>
  <c r="X294" i="31"/>
  <c r="V294" i="31"/>
  <c r="U294" i="31"/>
  <c r="R294" i="31"/>
  <c r="T294" i="31"/>
  <c r="S294" i="31"/>
  <c r="Q294" i="31"/>
  <c r="O294" i="31"/>
  <c r="M294" i="31"/>
  <c r="K294" i="31"/>
  <c r="I294" i="31"/>
  <c r="G294" i="31"/>
  <c r="E294" i="31"/>
  <c r="C294" i="31"/>
  <c r="Y293" i="31"/>
  <c r="X293" i="31"/>
  <c r="V293" i="31"/>
  <c r="U293" i="31"/>
  <c r="R293" i="31"/>
  <c r="T293" i="31"/>
  <c r="S293" i="31"/>
  <c r="Q293" i="31"/>
  <c r="O293" i="31"/>
  <c r="M293" i="31"/>
  <c r="K293" i="31"/>
  <c r="I293" i="31"/>
  <c r="G293" i="31"/>
  <c r="E293" i="31"/>
  <c r="C293" i="31"/>
  <c r="Y292" i="31"/>
  <c r="X292" i="31"/>
  <c r="V292" i="31"/>
  <c r="U292" i="31"/>
  <c r="R292" i="31"/>
  <c r="T292" i="31"/>
  <c r="S292" i="31"/>
  <c r="Q292" i="31"/>
  <c r="O292" i="31"/>
  <c r="M292" i="31"/>
  <c r="K292" i="31"/>
  <c r="I292" i="31"/>
  <c r="G292" i="31"/>
  <c r="E292" i="31"/>
  <c r="C292" i="31"/>
  <c r="Y291" i="31"/>
  <c r="X291" i="31"/>
  <c r="V291" i="31"/>
  <c r="U291" i="31"/>
  <c r="R291" i="31"/>
  <c r="T291" i="31"/>
  <c r="S291" i="31"/>
  <c r="Q291" i="31"/>
  <c r="O291" i="31"/>
  <c r="M291" i="31"/>
  <c r="K291" i="31"/>
  <c r="I291" i="31"/>
  <c r="G291" i="31"/>
  <c r="E291" i="31"/>
  <c r="C291" i="31"/>
  <c r="Y290" i="31"/>
  <c r="X290" i="31"/>
  <c r="V290" i="31"/>
  <c r="U290" i="31"/>
  <c r="R290" i="31"/>
  <c r="T290" i="31"/>
  <c r="S290" i="31"/>
  <c r="Q290" i="31"/>
  <c r="O290" i="31"/>
  <c r="M290" i="31"/>
  <c r="K290" i="31"/>
  <c r="I290" i="31"/>
  <c r="G290" i="31"/>
  <c r="E290" i="31"/>
  <c r="C290" i="31"/>
  <c r="Y289" i="31"/>
  <c r="X289" i="31"/>
  <c r="V289" i="31"/>
  <c r="U289" i="31"/>
  <c r="R289" i="31"/>
  <c r="T289" i="31"/>
  <c r="S289" i="31"/>
  <c r="Q289" i="31"/>
  <c r="O289" i="31"/>
  <c r="M289" i="31"/>
  <c r="K289" i="31"/>
  <c r="I289" i="31"/>
  <c r="G289" i="31"/>
  <c r="E289" i="31"/>
  <c r="C289" i="31"/>
  <c r="Y288" i="31"/>
  <c r="X288" i="31"/>
  <c r="V288" i="31"/>
  <c r="U288" i="31"/>
  <c r="R288" i="31"/>
  <c r="T288" i="31"/>
  <c r="S288" i="31"/>
  <c r="Q288" i="31"/>
  <c r="O288" i="31"/>
  <c r="M288" i="31"/>
  <c r="K288" i="31"/>
  <c r="I288" i="31"/>
  <c r="G288" i="31"/>
  <c r="E288" i="31"/>
  <c r="C288" i="31"/>
  <c r="Y287" i="31"/>
  <c r="X287" i="31"/>
  <c r="V287" i="31"/>
  <c r="U287" i="31"/>
  <c r="R287" i="31"/>
  <c r="T287" i="31"/>
  <c r="S287" i="31"/>
  <c r="Q287" i="31"/>
  <c r="O287" i="31"/>
  <c r="M287" i="31"/>
  <c r="K287" i="31"/>
  <c r="I287" i="31"/>
  <c r="G287" i="31"/>
  <c r="E287" i="31"/>
  <c r="C287" i="31"/>
  <c r="Y286" i="31"/>
  <c r="X286" i="31"/>
  <c r="V286" i="31"/>
  <c r="U286" i="31"/>
  <c r="R286" i="31"/>
  <c r="T286" i="31"/>
  <c r="S286" i="31"/>
  <c r="Q286" i="31"/>
  <c r="O286" i="31"/>
  <c r="M286" i="31"/>
  <c r="K286" i="31"/>
  <c r="I286" i="31"/>
  <c r="G286" i="31"/>
  <c r="E286" i="31"/>
  <c r="C286" i="31"/>
  <c r="Y285" i="31"/>
  <c r="X285" i="31"/>
  <c r="V285" i="31"/>
  <c r="U285" i="31"/>
  <c r="R285" i="31"/>
  <c r="T285" i="31"/>
  <c r="S285" i="31"/>
  <c r="Q285" i="31"/>
  <c r="O285" i="31"/>
  <c r="M285" i="31"/>
  <c r="K285" i="31"/>
  <c r="I285" i="31"/>
  <c r="G285" i="31"/>
  <c r="E285" i="31"/>
  <c r="C285" i="31"/>
  <c r="Y284" i="31"/>
  <c r="X284" i="31"/>
  <c r="V284" i="31"/>
  <c r="U284" i="31"/>
  <c r="R284" i="31"/>
  <c r="T284" i="31"/>
  <c r="S284" i="31"/>
  <c r="Q284" i="31"/>
  <c r="O284" i="31"/>
  <c r="M284" i="31"/>
  <c r="K284" i="31"/>
  <c r="I284" i="31"/>
  <c r="G284" i="31"/>
  <c r="E284" i="31"/>
  <c r="C284" i="31"/>
  <c r="Y283" i="31"/>
  <c r="X283" i="31"/>
  <c r="V283" i="31"/>
  <c r="U283" i="31"/>
  <c r="R283" i="31"/>
  <c r="T283" i="31"/>
  <c r="S283" i="31"/>
  <c r="Q283" i="31"/>
  <c r="O283" i="31"/>
  <c r="M283" i="31"/>
  <c r="K283" i="31"/>
  <c r="I283" i="31"/>
  <c r="G283" i="31"/>
  <c r="E283" i="31"/>
  <c r="C283" i="31"/>
  <c r="Y282" i="31"/>
  <c r="X282" i="31"/>
  <c r="V282" i="31"/>
  <c r="U282" i="31"/>
  <c r="R282" i="31"/>
  <c r="T282" i="31"/>
  <c r="S282" i="31"/>
  <c r="Q282" i="31"/>
  <c r="O282" i="31"/>
  <c r="M282" i="31"/>
  <c r="K282" i="31"/>
  <c r="I282" i="31"/>
  <c r="G282" i="31"/>
  <c r="E282" i="31"/>
  <c r="C282" i="31"/>
  <c r="Y281" i="31"/>
  <c r="X281" i="31"/>
  <c r="V281" i="31"/>
  <c r="U281" i="31"/>
  <c r="R281" i="31"/>
  <c r="T281" i="31"/>
  <c r="S281" i="31"/>
  <c r="Q281" i="31"/>
  <c r="O281" i="31"/>
  <c r="M281" i="31"/>
  <c r="K281" i="31"/>
  <c r="I281" i="31"/>
  <c r="G281" i="31"/>
  <c r="E281" i="31"/>
  <c r="C281" i="31"/>
  <c r="Y280" i="31"/>
  <c r="X280" i="31"/>
  <c r="V280" i="31"/>
  <c r="U280" i="31"/>
  <c r="R280" i="31"/>
  <c r="T280" i="31"/>
  <c r="S280" i="31"/>
  <c r="Q280" i="31"/>
  <c r="O280" i="31"/>
  <c r="M280" i="31"/>
  <c r="K280" i="31"/>
  <c r="I280" i="31"/>
  <c r="G280" i="31"/>
  <c r="E280" i="31"/>
  <c r="C280" i="31"/>
  <c r="Y279" i="31"/>
  <c r="X279" i="31"/>
  <c r="V279" i="31"/>
  <c r="U279" i="31"/>
  <c r="R279" i="31"/>
  <c r="T279" i="31"/>
  <c r="S279" i="31"/>
  <c r="Q279" i="31"/>
  <c r="O279" i="31"/>
  <c r="M279" i="31"/>
  <c r="K279" i="31"/>
  <c r="I279" i="31"/>
  <c r="G279" i="31"/>
  <c r="E279" i="31"/>
  <c r="C279" i="31"/>
  <c r="Y278" i="31"/>
  <c r="X278" i="31"/>
  <c r="V278" i="31"/>
  <c r="U278" i="31"/>
  <c r="R278" i="31"/>
  <c r="T278" i="31"/>
  <c r="S278" i="31"/>
  <c r="Q278" i="31"/>
  <c r="O278" i="31"/>
  <c r="M278" i="31"/>
  <c r="K278" i="31"/>
  <c r="I278" i="31"/>
  <c r="G278" i="31"/>
  <c r="E278" i="31"/>
  <c r="C278" i="31"/>
  <c r="Y277" i="31"/>
  <c r="X277" i="31"/>
  <c r="V277" i="31"/>
  <c r="U277" i="31"/>
  <c r="R277" i="31"/>
  <c r="T277" i="31"/>
  <c r="S277" i="31"/>
  <c r="Q277" i="31"/>
  <c r="O277" i="31"/>
  <c r="M277" i="31"/>
  <c r="K277" i="31"/>
  <c r="I277" i="31"/>
  <c r="G277" i="31"/>
  <c r="E277" i="31"/>
  <c r="C277" i="31"/>
  <c r="Y276" i="31"/>
  <c r="X276" i="31"/>
  <c r="V276" i="31"/>
  <c r="U276" i="31"/>
  <c r="R276" i="31"/>
  <c r="T276" i="31"/>
  <c r="S276" i="31"/>
  <c r="Q276" i="31"/>
  <c r="O276" i="31"/>
  <c r="M276" i="31"/>
  <c r="K276" i="31"/>
  <c r="I276" i="31"/>
  <c r="G276" i="31"/>
  <c r="E276" i="31"/>
  <c r="C276" i="31"/>
  <c r="Y275" i="31"/>
  <c r="X275" i="31"/>
  <c r="V275" i="31"/>
  <c r="U275" i="31"/>
  <c r="R275" i="31"/>
  <c r="T275" i="31"/>
  <c r="S275" i="31"/>
  <c r="Q275" i="31"/>
  <c r="O275" i="31"/>
  <c r="M275" i="31"/>
  <c r="K275" i="31"/>
  <c r="I275" i="31"/>
  <c r="G275" i="31"/>
  <c r="E275" i="31"/>
  <c r="C275" i="31"/>
  <c r="Y274" i="31"/>
  <c r="X274" i="31"/>
  <c r="V274" i="31"/>
  <c r="U274" i="31"/>
  <c r="R274" i="31"/>
  <c r="T274" i="31"/>
  <c r="S274" i="31"/>
  <c r="Q274" i="31"/>
  <c r="O274" i="31"/>
  <c r="M274" i="31"/>
  <c r="K274" i="31"/>
  <c r="I274" i="31"/>
  <c r="G274" i="31"/>
  <c r="E274" i="31"/>
  <c r="C274" i="31"/>
  <c r="Y273" i="31"/>
  <c r="X273" i="31"/>
  <c r="V273" i="31"/>
  <c r="U273" i="31"/>
  <c r="R273" i="31"/>
  <c r="T273" i="31"/>
  <c r="S273" i="31"/>
  <c r="Q273" i="31"/>
  <c r="O273" i="31"/>
  <c r="M273" i="31"/>
  <c r="K273" i="31"/>
  <c r="I273" i="31"/>
  <c r="G273" i="31"/>
  <c r="E273" i="31"/>
  <c r="C273" i="31"/>
  <c r="Y272" i="31"/>
  <c r="X272" i="31"/>
  <c r="V272" i="31"/>
  <c r="U272" i="31"/>
  <c r="R272" i="31"/>
  <c r="T272" i="31"/>
  <c r="S272" i="31"/>
  <c r="Q272" i="31"/>
  <c r="O272" i="31"/>
  <c r="M272" i="31"/>
  <c r="K272" i="31"/>
  <c r="I272" i="31"/>
  <c r="G272" i="31"/>
  <c r="E272" i="31"/>
  <c r="C272" i="31"/>
  <c r="Y271" i="31"/>
  <c r="X271" i="31"/>
  <c r="V271" i="31"/>
  <c r="U271" i="31"/>
  <c r="R271" i="31"/>
  <c r="T271" i="31"/>
  <c r="S271" i="31"/>
  <c r="Q271" i="31"/>
  <c r="O271" i="31"/>
  <c r="M271" i="31"/>
  <c r="K271" i="31"/>
  <c r="I271" i="31"/>
  <c r="G271" i="31"/>
  <c r="E271" i="31"/>
  <c r="C271" i="31"/>
  <c r="Y270" i="31"/>
  <c r="X270" i="31"/>
  <c r="V270" i="31"/>
  <c r="U270" i="31"/>
  <c r="R270" i="31"/>
  <c r="T270" i="31"/>
  <c r="S270" i="31"/>
  <c r="Q270" i="31"/>
  <c r="O270" i="31"/>
  <c r="M270" i="31"/>
  <c r="K270" i="31"/>
  <c r="I270" i="31"/>
  <c r="G270" i="31"/>
  <c r="E270" i="31"/>
  <c r="C270" i="31"/>
  <c r="Y269" i="31"/>
  <c r="X269" i="31"/>
  <c r="V269" i="31"/>
  <c r="U269" i="31"/>
  <c r="R269" i="31"/>
  <c r="T269" i="31"/>
  <c r="S269" i="31"/>
  <c r="Q269" i="31"/>
  <c r="O269" i="31"/>
  <c r="M269" i="31"/>
  <c r="K269" i="31"/>
  <c r="I269" i="31"/>
  <c r="G269" i="31"/>
  <c r="E269" i="31"/>
  <c r="C269" i="31"/>
  <c r="Y268" i="31"/>
  <c r="X268" i="31"/>
  <c r="V268" i="31"/>
  <c r="U268" i="31"/>
  <c r="R268" i="31"/>
  <c r="T268" i="31"/>
  <c r="S268" i="31"/>
  <c r="Q268" i="31"/>
  <c r="O268" i="31"/>
  <c r="M268" i="31"/>
  <c r="K268" i="31"/>
  <c r="I268" i="31"/>
  <c r="G268" i="31"/>
  <c r="E268" i="31"/>
  <c r="C268" i="31"/>
  <c r="Y267" i="31"/>
  <c r="X267" i="31"/>
  <c r="V267" i="31"/>
  <c r="U267" i="31"/>
  <c r="R267" i="31"/>
  <c r="T267" i="31"/>
  <c r="S267" i="31"/>
  <c r="Q267" i="31"/>
  <c r="O267" i="31"/>
  <c r="M267" i="31"/>
  <c r="K267" i="31"/>
  <c r="I267" i="31"/>
  <c r="G267" i="31"/>
  <c r="E267" i="31"/>
  <c r="C267" i="31"/>
  <c r="Y266" i="31"/>
  <c r="X266" i="31"/>
  <c r="V266" i="31"/>
  <c r="U266" i="31"/>
  <c r="R266" i="31"/>
  <c r="T266" i="31"/>
  <c r="S266" i="31"/>
  <c r="Q266" i="31"/>
  <c r="O266" i="31"/>
  <c r="M266" i="31"/>
  <c r="K266" i="31"/>
  <c r="I266" i="31"/>
  <c r="G266" i="31"/>
  <c r="E266" i="31"/>
  <c r="C266" i="31"/>
  <c r="Y265" i="31"/>
  <c r="X265" i="31"/>
  <c r="V265" i="31"/>
  <c r="U265" i="31"/>
  <c r="R265" i="31"/>
  <c r="T265" i="31"/>
  <c r="S265" i="31"/>
  <c r="Q265" i="31"/>
  <c r="O265" i="31"/>
  <c r="M265" i="31"/>
  <c r="K265" i="31"/>
  <c r="I265" i="31"/>
  <c r="G265" i="31"/>
  <c r="E265" i="31"/>
  <c r="C265" i="31"/>
  <c r="Y264" i="31"/>
  <c r="X264" i="31"/>
  <c r="V264" i="31"/>
  <c r="U264" i="31"/>
  <c r="R264" i="31"/>
  <c r="T264" i="31"/>
  <c r="S264" i="31"/>
  <c r="Q264" i="31"/>
  <c r="O264" i="31"/>
  <c r="M264" i="31"/>
  <c r="K264" i="31"/>
  <c r="I264" i="31"/>
  <c r="G264" i="31"/>
  <c r="E264" i="31"/>
  <c r="C264" i="31"/>
  <c r="Y263" i="31"/>
  <c r="X263" i="31"/>
  <c r="V263" i="31"/>
  <c r="U263" i="31"/>
  <c r="R263" i="31"/>
  <c r="T263" i="31"/>
  <c r="S263" i="31"/>
  <c r="Q263" i="31"/>
  <c r="O263" i="31"/>
  <c r="M263" i="31"/>
  <c r="K263" i="31"/>
  <c r="I263" i="31"/>
  <c r="G263" i="31"/>
  <c r="E263" i="31"/>
  <c r="C263" i="31"/>
  <c r="Y262" i="31"/>
  <c r="X262" i="31"/>
  <c r="V262" i="31"/>
  <c r="U262" i="31"/>
  <c r="R262" i="31"/>
  <c r="T262" i="31"/>
  <c r="S262" i="31"/>
  <c r="Q262" i="31"/>
  <c r="O262" i="31"/>
  <c r="M262" i="31"/>
  <c r="K262" i="31"/>
  <c r="I262" i="31"/>
  <c r="G262" i="31"/>
  <c r="E262" i="31"/>
  <c r="C262" i="31"/>
  <c r="Y261" i="31"/>
  <c r="X261" i="31"/>
  <c r="V261" i="31"/>
  <c r="U261" i="31"/>
  <c r="R261" i="31"/>
  <c r="T261" i="31"/>
  <c r="S261" i="31"/>
  <c r="Q261" i="31"/>
  <c r="O261" i="31"/>
  <c r="M261" i="31"/>
  <c r="K261" i="31"/>
  <c r="I261" i="31"/>
  <c r="G261" i="31"/>
  <c r="E261" i="31"/>
  <c r="C261" i="31"/>
  <c r="Y260" i="31"/>
  <c r="X260" i="31"/>
  <c r="V260" i="31"/>
  <c r="U260" i="31"/>
  <c r="R260" i="31"/>
  <c r="T260" i="31"/>
  <c r="S260" i="31"/>
  <c r="Q260" i="31"/>
  <c r="O260" i="31"/>
  <c r="M260" i="31"/>
  <c r="K260" i="31"/>
  <c r="I260" i="31"/>
  <c r="G260" i="31"/>
  <c r="E260" i="31"/>
  <c r="C260" i="31"/>
  <c r="Y259" i="31"/>
  <c r="X259" i="31"/>
  <c r="V259" i="31"/>
  <c r="U259" i="31"/>
  <c r="R259" i="31"/>
  <c r="T259" i="31"/>
  <c r="S259" i="31"/>
  <c r="Q259" i="31"/>
  <c r="O259" i="31"/>
  <c r="M259" i="31"/>
  <c r="K259" i="31"/>
  <c r="I259" i="31"/>
  <c r="G259" i="31"/>
  <c r="E259" i="31"/>
  <c r="C259" i="31"/>
  <c r="Y258" i="31"/>
  <c r="X258" i="31"/>
  <c r="V258" i="31"/>
  <c r="U258" i="31"/>
  <c r="R258" i="31"/>
  <c r="T258" i="31"/>
  <c r="S258" i="31"/>
  <c r="Q258" i="31"/>
  <c r="O258" i="31"/>
  <c r="M258" i="31"/>
  <c r="K258" i="31"/>
  <c r="I258" i="31"/>
  <c r="G258" i="31"/>
  <c r="E258" i="31"/>
  <c r="C258" i="31"/>
  <c r="Y257" i="31"/>
  <c r="X257" i="31"/>
  <c r="V257" i="31"/>
  <c r="U257" i="31"/>
  <c r="R257" i="31"/>
  <c r="T257" i="31"/>
  <c r="S257" i="31"/>
  <c r="Q257" i="31"/>
  <c r="O257" i="31"/>
  <c r="M257" i="31"/>
  <c r="K257" i="31"/>
  <c r="I257" i="31"/>
  <c r="G257" i="31"/>
  <c r="E257" i="31"/>
  <c r="C257" i="31"/>
  <c r="Y256" i="31"/>
  <c r="X256" i="31"/>
  <c r="V256" i="31"/>
  <c r="U256" i="31"/>
  <c r="R256" i="31"/>
  <c r="T256" i="31"/>
  <c r="S256" i="31"/>
  <c r="Q256" i="31"/>
  <c r="O256" i="31"/>
  <c r="M256" i="31"/>
  <c r="K256" i="31"/>
  <c r="I256" i="31"/>
  <c r="G256" i="31"/>
  <c r="E256" i="31"/>
  <c r="C256" i="31"/>
  <c r="Y255" i="31"/>
  <c r="X255" i="31"/>
  <c r="V255" i="31"/>
  <c r="U255" i="31"/>
  <c r="R255" i="31"/>
  <c r="T255" i="31"/>
  <c r="S255" i="31"/>
  <c r="Q255" i="31"/>
  <c r="O255" i="31"/>
  <c r="M255" i="31"/>
  <c r="K255" i="31"/>
  <c r="I255" i="31"/>
  <c r="G255" i="31"/>
  <c r="E255" i="31"/>
  <c r="C255" i="31"/>
  <c r="Y254" i="31"/>
  <c r="X254" i="31"/>
  <c r="V254" i="31"/>
  <c r="U254" i="31"/>
  <c r="R254" i="31"/>
  <c r="T254" i="31"/>
  <c r="S254" i="31"/>
  <c r="Q254" i="31"/>
  <c r="O254" i="31"/>
  <c r="M254" i="31"/>
  <c r="K254" i="31"/>
  <c r="I254" i="31"/>
  <c r="G254" i="31"/>
  <c r="E254" i="31"/>
  <c r="C254" i="31"/>
  <c r="Y253" i="31"/>
  <c r="X253" i="31"/>
  <c r="V253" i="31"/>
  <c r="U253" i="31"/>
  <c r="R253" i="31"/>
  <c r="T253" i="31"/>
  <c r="S253" i="31"/>
  <c r="Q253" i="31"/>
  <c r="O253" i="31"/>
  <c r="M253" i="31"/>
  <c r="K253" i="31"/>
  <c r="I253" i="31"/>
  <c r="G253" i="31"/>
  <c r="E253" i="31"/>
  <c r="C253" i="31"/>
  <c r="Y252" i="31"/>
  <c r="X252" i="31"/>
  <c r="V252" i="31"/>
  <c r="U252" i="31"/>
  <c r="R252" i="31"/>
  <c r="T252" i="31"/>
  <c r="S252" i="31"/>
  <c r="Q252" i="31"/>
  <c r="O252" i="31"/>
  <c r="M252" i="31"/>
  <c r="K252" i="31"/>
  <c r="I252" i="31"/>
  <c r="G252" i="31"/>
  <c r="E252" i="31"/>
  <c r="C252" i="31"/>
  <c r="Y251" i="31"/>
  <c r="X251" i="31"/>
  <c r="V251" i="31"/>
  <c r="U251" i="31"/>
  <c r="R251" i="31"/>
  <c r="T251" i="31"/>
  <c r="S251" i="31"/>
  <c r="Q251" i="31"/>
  <c r="O251" i="31"/>
  <c r="M251" i="31"/>
  <c r="K251" i="31"/>
  <c r="I251" i="31"/>
  <c r="G251" i="31"/>
  <c r="E251" i="31"/>
  <c r="C251" i="31"/>
  <c r="Y250" i="31"/>
  <c r="X250" i="31"/>
  <c r="V250" i="31"/>
  <c r="U250" i="31"/>
  <c r="R250" i="31"/>
  <c r="T250" i="31"/>
  <c r="S250" i="31"/>
  <c r="Q250" i="31"/>
  <c r="O250" i="31"/>
  <c r="M250" i="31"/>
  <c r="K250" i="31"/>
  <c r="I250" i="31"/>
  <c r="G250" i="31"/>
  <c r="E250" i="31"/>
  <c r="C250" i="31"/>
  <c r="Y249" i="31"/>
  <c r="X249" i="31"/>
  <c r="V249" i="31"/>
  <c r="U249" i="31"/>
  <c r="R249" i="31"/>
  <c r="T249" i="31"/>
  <c r="S249" i="31"/>
  <c r="Q249" i="31"/>
  <c r="O249" i="31"/>
  <c r="M249" i="31"/>
  <c r="K249" i="31"/>
  <c r="I249" i="31"/>
  <c r="G249" i="31"/>
  <c r="E249" i="31"/>
  <c r="C249" i="31"/>
  <c r="Y248" i="31"/>
  <c r="X248" i="31"/>
  <c r="V248" i="31"/>
  <c r="U248" i="31"/>
  <c r="R248" i="31"/>
  <c r="T248" i="31"/>
  <c r="S248" i="31"/>
  <c r="Q248" i="31"/>
  <c r="O248" i="31"/>
  <c r="M248" i="31"/>
  <c r="K248" i="31"/>
  <c r="I248" i="31"/>
  <c r="G248" i="31"/>
  <c r="E248" i="31"/>
  <c r="C248" i="31"/>
  <c r="Y247" i="31"/>
  <c r="X247" i="31"/>
  <c r="V247" i="31"/>
  <c r="U247" i="31"/>
  <c r="R247" i="31"/>
  <c r="T247" i="31"/>
  <c r="S247" i="31"/>
  <c r="Q247" i="31"/>
  <c r="O247" i="31"/>
  <c r="M247" i="31"/>
  <c r="K247" i="31"/>
  <c r="I247" i="31"/>
  <c r="G247" i="31"/>
  <c r="E247" i="31"/>
  <c r="C247" i="31"/>
  <c r="Y246" i="31"/>
  <c r="X246" i="31"/>
  <c r="V246" i="31"/>
  <c r="U246" i="31"/>
  <c r="R246" i="31"/>
  <c r="T246" i="31"/>
  <c r="S246" i="31"/>
  <c r="Q246" i="31"/>
  <c r="O246" i="31"/>
  <c r="M246" i="31"/>
  <c r="K246" i="31"/>
  <c r="I246" i="31"/>
  <c r="G246" i="31"/>
  <c r="E246" i="31"/>
  <c r="C246" i="31"/>
  <c r="Y245" i="31"/>
  <c r="X245" i="31"/>
  <c r="V245" i="31"/>
  <c r="U245" i="31"/>
  <c r="R245" i="31"/>
  <c r="T245" i="31"/>
  <c r="S245" i="31"/>
  <c r="Q245" i="31"/>
  <c r="O245" i="31"/>
  <c r="M245" i="31"/>
  <c r="K245" i="31"/>
  <c r="I245" i="31"/>
  <c r="G245" i="31"/>
  <c r="E245" i="31"/>
  <c r="C245" i="31"/>
  <c r="Y244" i="31"/>
  <c r="X244" i="31"/>
  <c r="V244" i="31"/>
  <c r="U244" i="31"/>
  <c r="R244" i="31"/>
  <c r="T244" i="31"/>
  <c r="S244" i="31"/>
  <c r="Q244" i="31"/>
  <c r="O244" i="31"/>
  <c r="M244" i="31"/>
  <c r="K244" i="31"/>
  <c r="I244" i="31"/>
  <c r="G244" i="31"/>
  <c r="E244" i="31"/>
  <c r="C244" i="31"/>
  <c r="Y243" i="31"/>
  <c r="X243" i="31"/>
  <c r="V243" i="31"/>
  <c r="U243" i="31"/>
  <c r="R243" i="31"/>
  <c r="T243" i="31"/>
  <c r="S243" i="31"/>
  <c r="Q243" i="31"/>
  <c r="O243" i="31"/>
  <c r="M243" i="31"/>
  <c r="K243" i="31"/>
  <c r="I243" i="31"/>
  <c r="G243" i="31"/>
  <c r="E243" i="31"/>
  <c r="C243" i="31"/>
  <c r="Y242" i="31"/>
  <c r="X242" i="31"/>
  <c r="V242" i="31"/>
  <c r="U242" i="31"/>
  <c r="R242" i="31"/>
  <c r="T242" i="31"/>
  <c r="S242" i="31"/>
  <c r="Q242" i="31"/>
  <c r="O242" i="31"/>
  <c r="M242" i="31"/>
  <c r="K242" i="31"/>
  <c r="I242" i="31"/>
  <c r="G242" i="31"/>
  <c r="E242" i="31"/>
  <c r="C242" i="31"/>
  <c r="Y241" i="31"/>
  <c r="X241" i="31"/>
  <c r="V241" i="31"/>
  <c r="U241" i="31"/>
  <c r="R241" i="31"/>
  <c r="T241" i="31"/>
  <c r="S241" i="31"/>
  <c r="Q241" i="31"/>
  <c r="O241" i="31"/>
  <c r="M241" i="31"/>
  <c r="K241" i="31"/>
  <c r="I241" i="31"/>
  <c r="G241" i="31"/>
  <c r="E241" i="31"/>
  <c r="C241" i="31"/>
  <c r="Y240" i="31"/>
  <c r="X240" i="31"/>
  <c r="V240" i="31"/>
  <c r="U240" i="31"/>
  <c r="R240" i="31"/>
  <c r="T240" i="31"/>
  <c r="S240" i="31"/>
  <c r="Q240" i="31"/>
  <c r="O240" i="31"/>
  <c r="M240" i="31"/>
  <c r="K240" i="31"/>
  <c r="I240" i="31"/>
  <c r="G240" i="31"/>
  <c r="E240" i="31"/>
  <c r="C240" i="31"/>
  <c r="Y239" i="31"/>
  <c r="X239" i="31"/>
  <c r="V239" i="31"/>
  <c r="U239" i="31"/>
  <c r="R239" i="31"/>
  <c r="T239" i="31"/>
  <c r="S239" i="31"/>
  <c r="Q239" i="31"/>
  <c r="O239" i="31"/>
  <c r="M239" i="31"/>
  <c r="K239" i="31"/>
  <c r="I239" i="31"/>
  <c r="G239" i="31"/>
  <c r="E239" i="31"/>
  <c r="C239" i="31"/>
  <c r="Y238" i="31"/>
  <c r="X238" i="31"/>
  <c r="V238" i="31"/>
  <c r="U238" i="31"/>
  <c r="R238" i="31"/>
  <c r="T238" i="31"/>
  <c r="S238" i="31"/>
  <c r="Q238" i="31"/>
  <c r="O238" i="31"/>
  <c r="M238" i="31"/>
  <c r="K238" i="31"/>
  <c r="I238" i="31"/>
  <c r="G238" i="31"/>
  <c r="E238" i="31"/>
  <c r="C238" i="31"/>
  <c r="Y237" i="31"/>
  <c r="X237" i="31"/>
  <c r="V237" i="31"/>
  <c r="U237" i="31"/>
  <c r="R237" i="31"/>
  <c r="T237" i="31"/>
  <c r="S237" i="31"/>
  <c r="Q237" i="31"/>
  <c r="O237" i="31"/>
  <c r="M237" i="31"/>
  <c r="K237" i="31"/>
  <c r="I237" i="31"/>
  <c r="G237" i="31"/>
  <c r="E237" i="31"/>
  <c r="C237" i="31"/>
  <c r="Y236" i="31"/>
  <c r="X236" i="31"/>
  <c r="V236" i="31"/>
  <c r="U236" i="31"/>
  <c r="R236" i="31"/>
  <c r="T236" i="31"/>
  <c r="S236" i="31"/>
  <c r="Q236" i="31"/>
  <c r="O236" i="31"/>
  <c r="M236" i="31"/>
  <c r="K236" i="31"/>
  <c r="I236" i="31"/>
  <c r="G236" i="31"/>
  <c r="E236" i="31"/>
  <c r="C236" i="31"/>
  <c r="Y235" i="31"/>
  <c r="X235" i="31"/>
  <c r="V235" i="31"/>
  <c r="U235" i="31"/>
  <c r="R235" i="31"/>
  <c r="T235" i="31"/>
  <c r="S235" i="31"/>
  <c r="Q235" i="31"/>
  <c r="O235" i="31"/>
  <c r="M235" i="31"/>
  <c r="K235" i="31"/>
  <c r="I235" i="31"/>
  <c r="G235" i="31"/>
  <c r="E235" i="31"/>
  <c r="C235" i="31"/>
  <c r="Y234" i="31"/>
  <c r="X234" i="31"/>
  <c r="V234" i="31"/>
  <c r="U234" i="31"/>
  <c r="R234" i="31"/>
  <c r="T234" i="31"/>
  <c r="S234" i="31"/>
  <c r="Q234" i="31"/>
  <c r="O234" i="31"/>
  <c r="M234" i="31"/>
  <c r="K234" i="31"/>
  <c r="I234" i="31"/>
  <c r="G234" i="31"/>
  <c r="E234" i="31"/>
  <c r="C234" i="31"/>
  <c r="Y233" i="31"/>
  <c r="X233" i="31"/>
  <c r="V233" i="31"/>
  <c r="U233" i="31"/>
  <c r="R233" i="31"/>
  <c r="T233" i="31"/>
  <c r="S233" i="31"/>
  <c r="Q233" i="31"/>
  <c r="O233" i="31"/>
  <c r="M233" i="31"/>
  <c r="K233" i="31"/>
  <c r="I233" i="31"/>
  <c r="G233" i="31"/>
  <c r="E233" i="31"/>
  <c r="C233" i="31"/>
  <c r="Y232" i="31"/>
  <c r="X232" i="31"/>
  <c r="V232" i="31"/>
  <c r="U232" i="31"/>
  <c r="R232" i="31"/>
  <c r="T232" i="31"/>
  <c r="S232" i="31"/>
  <c r="Q232" i="31"/>
  <c r="O232" i="31"/>
  <c r="M232" i="31"/>
  <c r="K232" i="31"/>
  <c r="I232" i="31"/>
  <c r="G232" i="31"/>
  <c r="E232" i="31"/>
  <c r="C232" i="31"/>
  <c r="Y231" i="31"/>
  <c r="X231" i="31"/>
  <c r="V231" i="31"/>
  <c r="U231" i="31"/>
  <c r="R231" i="31"/>
  <c r="T231" i="31"/>
  <c r="S231" i="31"/>
  <c r="Q231" i="31"/>
  <c r="O231" i="31"/>
  <c r="M231" i="31"/>
  <c r="K231" i="31"/>
  <c r="I231" i="31"/>
  <c r="G231" i="31"/>
  <c r="E231" i="31"/>
  <c r="C231" i="31"/>
  <c r="Y230" i="31"/>
  <c r="X230" i="31"/>
  <c r="V230" i="31"/>
  <c r="U230" i="31"/>
  <c r="R230" i="31"/>
  <c r="T230" i="31"/>
  <c r="S230" i="31"/>
  <c r="Q230" i="31"/>
  <c r="O230" i="31"/>
  <c r="M230" i="31"/>
  <c r="K230" i="31"/>
  <c r="I230" i="31"/>
  <c r="G230" i="31"/>
  <c r="E230" i="31"/>
  <c r="C230" i="31"/>
  <c r="Y229" i="31"/>
  <c r="X229" i="31"/>
  <c r="V229" i="31"/>
  <c r="U229" i="31"/>
  <c r="R229" i="31"/>
  <c r="T229" i="31"/>
  <c r="S229" i="31"/>
  <c r="Q229" i="31"/>
  <c r="O229" i="31"/>
  <c r="M229" i="31"/>
  <c r="K229" i="31"/>
  <c r="I229" i="31"/>
  <c r="G229" i="31"/>
  <c r="E229" i="31"/>
  <c r="C229" i="31"/>
  <c r="Y228" i="31"/>
  <c r="X228" i="31"/>
  <c r="V228" i="31"/>
  <c r="U228" i="31"/>
  <c r="R228" i="31"/>
  <c r="T228" i="31"/>
  <c r="S228" i="31"/>
  <c r="Q228" i="31"/>
  <c r="O228" i="31"/>
  <c r="M228" i="31"/>
  <c r="K228" i="31"/>
  <c r="I228" i="31"/>
  <c r="G228" i="31"/>
  <c r="E228" i="31"/>
  <c r="C228" i="31"/>
  <c r="Y227" i="31"/>
  <c r="X227" i="31"/>
  <c r="V227" i="31"/>
  <c r="U227" i="31"/>
  <c r="R227" i="31"/>
  <c r="T227" i="31"/>
  <c r="S227" i="31"/>
  <c r="Q227" i="31"/>
  <c r="O227" i="31"/>
  <c r="M227" i="31"/>
  <c r="K227" i="31"/>
  <c r="I227" i="31"/>
  <c r="G227" i="31"/>
  <c r="E227" i="31"/>
  <c r="C227" i="31"/>
  <c r="Y226" i="31"/>
  <c r="X226" i="31"/>
  <c r="V226" i="31"/>
  <c r="U226" i="31"/>
  <c r="R226" i="31"/>
  <c r="T226" i="31"/>
  <c r="S226" i="31"/>
  <c r="Q226" i="31"/>
  <c r="O226" i="31"/>
  <c r="M226" i="31"/>
  <c r="K226" i="31"/>
  <c r="I226" i="31"/>
  <c r="G226" i="31"/>
  <c r="E226" i="31"/>
  <c r="C226" i="31"/>
  <c r="Y225" i="31"/>
  <c r="X225" i="31"/>
  <c r="V225" i="31"/>
  <c r="U225" i="31"/>
  <c r="R225" i="31"/>
  <c r="T225" i="31"/>
  <c r="S225" i="31"/>
  <c r="Q225" i="31"/>
  <c r="O225" i="31"/>
  <c r="M225" i="31"/>
  <c r="K225" i="31"/>
  <c r="I225" i="31"/>
  <c r="G225" i="31"/>
  <c r="E225" i="31"/>
  <c r="C225" i="31"/>
  <c r="Y224" i="31"/>
  <c r="X224" i="31"/>
  <c r="V224" i="31"/>
  <c r="U224" i="31"/>
  <c r="R224" i="31"/>
  <c r="T224" i="31"/>
  <c r="S224" i="31"/>
  <c r="Q224" i="31"/>
  <c r="O224" i="31"/>
  <c r="M224" i="31"/>
  <c r="K224" i="31"/>
  <c r="I224" i="31"/>
  <c r="G224" i="31"/>
  <c r="E224" i="31"/>
  <c r="C224" i="31"/>
  <c r="Y223" i="31"/>
  <c r="X223" i="31"/>
  <c r="V223" i="31"/>
  <c r="U223" i="31"/>
  <c r="R223" i="31"/>
  <c r="T223" i="31"/>
  <c r="S223" i="31"/>
  <c r="Q223" i="31"/>
  <c r="O223" i="31"/>
  <c r="M223" i="31"/>
  <c r="K223" i="31"/>
  <c r="I223" i="31"/>
  <c r="G223" i="31"/>
  <c r="E223" i="31"/>
  <c r="C223" i="31"/>
  <c r="Y222" i="31"/>
  <c r="X222" i="31"/>
  <c r="V222" i="31"/>
  <c r="U222" i="31"/>
  <c r="R222" i="31"/>
  <c r="T222" i="31"/>
  <c r="S222" i="31"/>
  <c r="Q222" i="31"/>
  <c r="O222" i="31"/>
  <c r="M222" i="31"/>
  <c r="K222" i="31"/>
  <c r="I222" i="31"/>
  <c r="G222" i="31"/>
  <c r="E222" i="31"/>
  <c r="C222" i="31"/>
  <c r="Y221" i="31"/>
  <c r="X221" i="31"/>
  <c r="V221" i="31"/>
  <c r="U221" i="31"/>
  <c r="R221" i="31"/>
  <c r="T221" i="31"/>
  <c r="S221" i="31"/>
  <c r="Q221" i="31"/>
  <c r="O221" i="31"/>
  <c r="M221" i="31"/>
  <c r="K221" i="31"/>
  <c r="I221" i="31"/>
  <c r="G221" i="31"/>
  <c r="E221" i="31"/>
  <c r="C221" i="31"/>
  <c r="Y220" i="31"/>
  <c r="X220" i="31"/>
  <c r="V220" i="31"/>
  <c r="U220" i="31"/>
  <c r="R220" i="31"/>
  <c r="T220" i="31"/>
  <c r="S220" i="31"/>
  <c r="Q220" i="31"/>
  <c r="O220" i="31"/>
  <c r="M220" i="31"/>
  <c r="K220" i="31"/>
  <c r="I220" i="31"/>
  <c r="G220" i="31"/>
  <c r="E220" i="31"/>
  <c r="C220" i="31"/>
  <c r="Y219" i="31"/>
  <c r="X219" i="31"/>
  <c r="V219" i="31"/>
  <c r="U219" i="31"/>
  <c r="R219" i="31"/>
  <c r="T219" i="31"/>
  <c r="S219" i="31"/>
  <c r="Q219" i="31"/>
  <c r="O219" i="31"/>
  <c r="M219" i="31"/>
  <c r="K219" i="31"/>
  <c r="I219" i="31"/>
  <c r="G219" i="31"/>
  <c r="E219" i="31"/>
  <c r="C219" i="31"/>
  <c r="Y218" i="31"/>
  <c r="X218" i="31"/>
  <c r="V218" i="31"/>
  <c r="U218" i="31"/>
  <c r="R218" i="31"/>
  <c r="T218" i="31"/>
  <c r="S218" i="31"/>
  <c r="Q218" i="31"/>
  <c r="O218" i="31"/>
  <c r="M218" i="31"/>
  <c r="K218" i="31"/>
  <c r="I218" i="31"/>
  <c r="G218" i="31"/>
  <c r="E218" i="31"/>
  <c r="C218" i="31"/>
  <c r="Y217" i="31"/>
  <c r="X217" i="31"/>
  <c r="V217" i="31"/>
  <c r="U217" i="31"/>
  <c r="R217" i="31"/>
  <c r="T217" i="31"/>
  <c r="S217" i="31"/>
  <c r="Q217" i="31"/>
  <c r="O217" i="31"/>
  <c r="M217" i="31"/>
  <c r="K217" i="31"/>
  <c r="I217" i="31"/>
  <c r="G217" i="31"/>
  <c r="E217" i="31"/>
  <c r="C217" i="31"/>
  <c r="Y216" i="31"/>
  <c r="X216" i="31"/>
  <c r="V216" i="31"/>
  <c r="U216" i="31"/>
  <c r="R216" i="31"/>
  <c r="T216" i="31"/>
  <c r="S216" i="31"/>
  <c r="Q216" i="31"/>
  <c r="O216" i="31"/>
  <c r="M216" i="31"/>
  <c r="K216" i="31"/>
  <c r="I216" i="31"/>
  <c r="G216" i="31"/>
  <c r="E216" i="31"/>
  <c r="C216" i="31"/>
  <c r="Y215" i="31"/>
  <c r="X215" i="31"/>
  <c r="V215" i="31"/>
  <c r="U215" i="31"/>
  <c r="R215" i="31"/>
  <c r="T215" i="31"/>
  <c r="S215" i="31"/>
  <c r="Q215" i="31"/>
  <c r="O215" i="31"/>
  <c r="M215" i="31"/>
  <c r="K215" i="31"/>
  <c r="I215" i="31"/>
  <c r="G215" i="31"/>
  <c r="E215" i="31"/>
  <c r="C215" i="31"/>
  <c r="Y214" i="31"/>
  <c r="X214" i="31"/>
  <c r="V214" i="31"/>
  <c r="U214" i="31"/>
  <c r="R214" i="31"/>
  <c r="T214" i="31"/>
  <c r="S214" i="31"/>
  <c r="Q214" i="31"/>
  <c r="O214" i="31"/>
  <c r="M214" i="31"/>
  <c r="K214" i="31"/>
  <c r="I214" i="31"/>
  <c r="G214" i="31"/>
  <c r="E214" i="31"/>
  <c r="C214" i="31"/>
  <c r="Y213" i="31"/>
  <c r="X213" i="31"/>
  <c r="V213" i="31"/>
  <c r="U213" i="31"/>
  <c r="R213" i="31"/>
  <c r="T213" i="31"/>
  <c r="S213" i="31"/>
  <c r="Q213" i="31"/>
  <c r="O213" i="31"/>
  <c r="M213" i="31"/>
  <c r="K213" i="31"/>
  <c r="I213" i="31"/>
  <c r="G213" i="31"/>
  <c r="E213" i="31"/>
  <c r="C213" i="31"/>
  <c r="Y212" i="31"/>
  <c r="X212" i="31"/>
  <c r="V212" i="31"/>
  <c r="U212" i="31"/>
  <c r="R212" i="31"/>
  <c r="T212" i="31"/>
  <c r="S212" i="31"/>
  <c r="Q212" i="31"/>
  <c r="O212" i="31"/>
  <c r="M212" i="31"/>
  <c r="K212" i="31"/>
  <c r="I212" i="31"/>
  <c r="G212" i="31"/>
  <c r="E212" i="31"/>
  <c r="C212" i="31"/>
  <c r="Y211" i="31"/>
  <c r="X211" i="31"/>
  <c r="V211" i="31"/>
  <c r="U211" i="31"/>
  <c r="R211" i="31"/>
  <c r="T211" i="31"/>
  <c r="S211" i="31"/>
  <c r="Q211" i="31"/>
  <c r="O211" i="31"/>
  <c r="M211" i="31"/>
  <c r="K211" i="31"/>
  <c r="I211" i="31"/>
  <c r="G211" i="31"/>
  <c r="E211" i="31"/>
  <c r="C211" i="31"/>
  <c r="Y210" i="31"/>
  <c r="X210" i="31"/>
  <c r="V210" i="31"/>
  <c r="U210" i="31"/>
  <c r="R210" i="31"/>
  <c r="T210" i="31"/>
  <c r="S210" i="31"/>
  <c r="Q210" i="31"/>
  <c r="O210" i="31"/>
  <c r="M210" i="31"/>
  <c r="K210" i="31"/>
  <c r="I210" i="31"/>
  <c r="G210" i="31"/>
  <c r="E210" i="31"/>
  <c r="C210" i="31"/>
  <c r="Y209" i="31"/>
  <c r="X209" i="31"/>
  <c r="V209" i="31"/>
  <c r="U209" i="31"/>
  <c r="R209" i="31"/>
  <c r="T209" i="31"/>
  <c r="S209" i="31"/>
  <c r="Q209" i="31"/>
  <c r="O209" i="31"/>
  <c r="M209" i="31"/>
  <c r="K209" i="31"/>
  <c r="I209" i="31"/>
  <c r="G209" i="31"/>
  <c r="E209" i="31"/>
  <c r="C209" i="31"/>
  <c r="Y208" i="31"/>
  <c r="X208" i="31"/>
  <c r="V208" i="31"/>
  <c r="U208" i="31"/>
  <c r="R208" i="31"/>
  <c r="T208" i="31"/>
  <c r="S208" i="31"/>
  <c r="Q208" i="31"/>
  <c r="O208" i="31"/>
  <c r="M208" i="31"/>
  <c r="K208" i="31"/>
  <c r="I208" i="31"/>
  <c r="G208" i="31"/>
  <c r="E208" i="31"/>
  <c r="C208" i="31"/>
  <c r="Y207" i="31"/>
  <c r="X207" i="31"/>
  <c r="V207" i="31"/>
  <c r="U207" i="31"/>
  <c r="R207" i="31"/>
  <c r="T207" i="31"/>
  <c r="S207" i="31"/>
  <c r="Q207" i="31"/>
  <c r="O207" i="31"/>
  <c r="M207" i="31"/>
  <c r="K207" i="31"/>
  <c r="I207" i="31"/>
  <c r="G207" i="31"/>
  <c r="E207" i="31"/>
  <c r="C207" i="31"/>
  <c r="Y206" i="31"/>
  <c r="X206" i="31"/>
  <c r="V206" i="31"/>
  <c r="U206" i="31"/>
  <c r="R206" i="31"/>
  <c r="T206" i="31"/>
  <c r="S206" i="31"/>
  <c r="Q206" i="31"/>
  <c r="O206" i="31"/>
  <c r="M206" i="31"/>
  <c r="K206" i="31"/>
  <c r="I206" i="31"/>
  <c r="G206" i="31"/>
  <c r="E206" i="31"/>
  <c r="C206" i="31"/>
  <c r="Y205" i="31"/>
  <c r="X205" i="31"/>
  <c r="V205" i="31"/>
  <c r="U205" i="31"/>
  <c r="R205" i="31"/>
  <c r="T205" i="31"/>
  <c r="S205" i="31"/>
  <c r="Q205" i="31"/>
  <c r="O205" i="31"/>
  <c r="M205" i="31"/>
  <c r="K205" i="31"/>
  <c r="I205" i="31"/>
  <c r="G205" i="31"/>
  <c r="E205" i="31"/>
  <c r="C205" i="31"/>
  <c r="Y204" i="31"/>
  <c r="X204" i="31"/>
  <c r="V204" i="31"/>
  <c r="U204" i="31"/>
  <c r="R204" i="31"/>
  <c r="T204" i="31"/>
  <c r="S204" i="31"/>
  <c r="Q204" i="31"/>
  <c r="O204" i="31"/>
  <c r="M204" i="31"/>
  <c r="K204" i="31"/>
  <c r="I204" i="31"/>
  <c r="G204" i="31"/>
  <c r="E204" i="31"/>
  <c r="C204" i="31"/>
  <c r="Y203" i="31"/>
  <c r="X203" i="31"/>
  <c r="V203" i="31"/>
  <c r="U203" i="31"/>
  <c r="R203" i="31"/>
  <c r="T203" i="31"/>
  <c r="S203" i="31"/>
  <c r="Q203" i="31"/>
  <c r="O203" i="31"/>
  <c r="M203" i="31"/>
  <c r="K203" i="31"/>
  <c r="I203" i="31"/>
  <c r="G203" i="31"/>
  <c r="E203" i="31"/>
  <c r="C203" i="31"/>
  <c r="Y202" i="31"/>
  <c r="X202" i="31"/>
  <c r="V202" i="31"/>
  <c r="U202" i="31"/>
  <c r="R202" i="31"/>
  <c r="T202" i="31"/>
  <c r="S202" i="31"/>
  <c r="Q202" i="31"/>
  <c r="O202" i="31"/>
  <c r="M202" i="31"/>
  <c r="K202" i="31"/>
  <c r="I202" i="31"/>
  <c r="G202" i="31"/>
  <c r="E202" i="31"/>
  <c r="C202" i="31"/>
  <c r="Y201" i="31"/>
  <c r="X201" i="31"/>
  <c r="V201" i="31"/>
  <c r="U201" i="31"/>
  <c r="R201" i="31"/>
  <c r="T201" i="31"/>
  <c r="S201" i="31"/>
  <c r="Q201" i="31"/>
  <c r="O201" i="31"/>
  <c r="M201" i="31"/>
  <c r="K201" i="31"/>
  <c r="I201" i="31"/>
  <c r="G201" i="31"/>
  <c r="E201" i="31"/>
  <c r="C201" i="31"/>
  <c r="Y200" i="31"/>
  <c r="X200" i="31"/>
  <c r="V200" i="31"/>
  <c r="U200" i="31"/>
  <c r="R200" i="31"/>
  <c r="T200" i="31"/>
  <c r="S200" i="31"/>
  <c r="Q200" i="31"/>
  <c r="O200" i="31"/>
  <c r="M200" i="31"/>
  <c r="K200" i="31"/>
  <c r="I200" i="31"/>
  <c r="G200" i="31"/>
  <c r="E200" i="31"/>
  <c r="C200" i="31"/>
  <c r="Y199" i="31"/>
  <c r="X199" i="31"/>
  <c r="V199" i="31"/>
  <c r="U199" i="31"/>
  <c r="R199" i="31"/>
  <c r="T199" i="31"/>
  <c r="S199" i="31"/>
  <c r="Q199" i="31"/>
  <c r="O199" i="31"/>
  <c r="M199" i="31"/>
  <c r="K199" i="31"/>
  <c r="I199" i="31"/>
  <c r="G199" i="31"/>
  <c r="E199" i="31"/>
  <c r="C199" i="31"/>
  <c r="Y198" i="31"/>
  <c r="X198" i="31"/>
  <c r="V198" i="31"/>
  <c r="U198" i="31"/>
  <c r="R198" i="31"/>
  <c r="T198" i="31"/>
  <c r="S198" i="31"/>
  <c r="Q198" i="31"/>
  <c r="O198" i="31"/>
  <c r="M198" i="31"/>
  <c r="K198" i="31"/>
  <c r="I198" i="31"/>
  <c r="G198" i="31"/>
  <c r="E198" i="31"/>
  <c r="C198" i="31"/>
  <c r="Y197" i="31"/>
  <c r="X197" i="31"/>
  <c r="V197" i="31"/>
  <c r="U197" i="31"/>
  <c r="R197" i="31"/>
  <c r="T197" i="31"/>
  <c r="S197" i="31"/>
  <c r="Q197" i="31"/>
  <c r="O197" i="31"/>
  <c r="M197" i="31"/>
  <c r="K197" i="31"/>
  <c r="I197" i="31"/>
  <c r="G197" i="31"/>
  <c r="E197" i="31"/>
  <c r="C197" i="31"/>
  <c r="Y196" i="31"/>
  <c r="X196" i="31"/>
  <c r="V196" i="31"/>
  <c r="U196" i="31"/>
  <c r="R196" i="31"/>
  <c r="T196" i="31"/>
  <c r="S196" i="31"/>
  <c r="Q196" i="31"/>
  <c r="O196" i="31"/>
  <c r="M196" i="31"/>
  <c r="K196" i="31"/>
  <c r="I196" i="31"/>
  <c r="G196" i="31"/>
  <c r="E196" i="31"/>
  <c r="C196" i="31"/>
  <c r="Y195" i="31"/>
  <c r="X195" i="31"/>
  <c r="V195" i="31"/>
  <c r="U195" i="31"/>
  <c r="R195" i="31"/>
  <c r="T195" i="31"/>
  <c r="S195" i="31"/>
  <c r="Q195" i="31"/>
  <c r="O195" i="31"/>
  <c r="M195" i="31"/>
  <c r="K195" i="31"/>
  <c r="I195" i="31"/>
  <c r="G195" i="31"/>
  <c r="E195" i="31"/>
  <c r="C195" i="31"/>
  <c r="Y194" i="31"/>
  <c r="X194" i="31"/>
  <c r="V194" i="31"/>
  <c r="U194" i="31"/>
  <c r="R194" i="31"/>
  <c r="T194" i="31"/>
  <c r="S194" i="31"/>
  <c r="Q194" i="31"/>
  <c r="O194" i="31"/>
  <c r="M194" i="31"/>
  <c r="K194" i="31"/>
  <c r="I194" i="31"/>
  <c r="G194" i="31"/>
  <c r="E194" i="31"/>
  <c r="C194" i="31"/>
  <c r="Y193" i="31"/>
  <c r="X193" i="31"/>
  <c r="V193" i="31"/>
  <c r="U193" i="31"/>
  <c r="R193" i="31"/>
  <c r="T193" i="31"/>
  <c r="S193" i="31"/>
  <c r="Q193" i="31"/>
  <c r="O193" i="31"/>
  <c r="M193" i="31"/>
  <c r="K193" i="31"/>
  <c r="I193" i="31"/>
  <c r="G193" i="31"/>
  <c r="E193" i="31"/>
  <c r="C193" i="31"/>
  <c r="Y192" i="31"/>
  <c r="X192" i="31"/>
  <c r="V192" i="31"/>
  <c r="U192" i="31"/>
  <c r="R192" i="31"/>
  <c r="T192" i="31"/>
  <c r="S192" i="31"/>
  <c r="Q192" i="31"/>
  <c r="O192" i="31"/>
  <c r="M192" i="31"/>
  <c r="K192" i="31"/>
  <c r="I192" i="31"/>
  <c r="G192" i="31"/>
  <c r="E192" i="31"/>
  <c r="C192" i="31"/>
  <c r="Y191" i="31"/>
  <c r="X191" i="31"/>
  <c r="V191" i="31"/>
  <c r="U191" i="31"/>
  <c r="R191" i="31"/>
  <c r="T191" i="31"/>
  <c r="S191" i="31"/>
  <c r="Q191" i="31"/>
  <c r="O191" i="31"/>
  <c r="M191" i="31"/>
  <c r="K191" i="31"/>
  <c r="I191" i="31"/>
  <c r="G191" i="31"/>
  <c r="E191" i="31"/>
  <c r="C191" i="31"/>
  <c r="Y190" i="31"/>
  <c r="X190" i="31"/>
  <c r="V190" i="31"/>
  <c r="U190" i="31"/>
  <c r="R190" i="31"/>
  <c r="T190" i="31"/>
  <c r="S190" i="31"/>
  <c r="Q190" i="31"/>
  <c r="O190" i="31"/>
  <c r="M190" i="31"/>
  <c r="K190" i="31"/>
  <c r="I190" i="31"/>
  <c r="G190" i="31"/>
  <c r="E190" i="31"/>
  <c r="C190" i="31"/>
  <c r="Y189" i="31"/>
  <c r="X189" i="31"/>
  <c r="V189" i="31"/>
  <c r="U189" i="31"/>
  <c r="R189" i="31"/>
  <c r="T189" i="31"/>
  <c r="S189" i="31"/>
  <c r="Q189" i="31"/>
  <c r="O189" i="31"/>
  <c r="M189" i="31"/>
  <c r="K189" i="31"/>
  <c r="I189" i="31"/>
  <c r="G189" i="31"/>
  <c r="E189" i="31"/>
  <c r="C189" i="31"/>
  <c r="Y188" i="31"/>
  <c r="X188" i="31"/>
  <c r="V188" i="31"/>
  <c r="U188" i="31"/>
  <c r="R188" i="31"/>
  <c r="T188" i="31"/>
  <c r="S188" i="31"/>
  <c r="Q188" i="31"/>
  <c r="O188" i="31"/>
  <c r="M188" i="31"/>
  <c r="K188" i="31"/>
  <c r="I188" i="31"/>
  <c r="G188" i="31"/>
  <c r="E188" i="31"/>
  <c r="C188" i="31"/>
  <c r="Y187" i="31"/>
  <c r="X187" i="31"/>
  <c r="V187" i="31"/>
  <c r="U187" i="31"/>
  <c r="R187" i="31"/>
  <c r="T187" i="31"/>
  <c r="S187" i="31"/>
  <c r="Q187" i="31"/>
  <c r="O187" i="31"/>
  <c r="M187" i="31"/>
  <c r="K187" i="31"/>
  <c r="I187" i="31"/>
  <c r="G187" i="31"/>
  <c r="E187" i="31"/>
  <c r="C187" i="31"/>
  <c r="Y186" i="31"/>
  <c r="X186" i="31"/>
  <c r="V186" i="31"/>
  <c r="U186" i="31"/>
  <c r="R186" i="31"/>
  <c r="T186" i="31"/>
  <c r="S186" i="31"/>
  <c r="Q186" i="31"/>
  <c r="O186" i="31"/>
  <c r="M186" i="31"/>
  <c r="K186" i="31"/>
  <c r="I186" i="31"/>
  <c r="G186" i="31"/>
  <c r="E186" i="31"/>
  <c r="C186" i="31"/>
  <c r="Y185" i="31"/>
  <c r="X185" i="31"/>
  <c r="V185" i="31"/>
  <c r="U185" i="31"/>
  <c r="R185" i="31"/>
  <c r="T185" i="31"/>
  <c r="S185" i="31"/>
  <c r="Q185" i="31"/>
  <c r="O185" i="31"/>
  <c r="M185" i="31"/>
  <c r="K185" i="31"/>
  <c r="I185" i="31"/>
  <c r="G185" i="31"/>
  <c r="E185" i="31"/>
  <c r="C185" i="31"/>
  <c r="Y184" i="31"/>
  <c r="X184" i="31"/>
  <c r="V184" i="31"/>
  <c r="U184" i="31"/>
  <c r="R184" i="31"/>
  <c r="T184" i="31"/>
  <c r="S184" i="31"/>
  <c r="Q184" i="31"/>
  <c r="O184" i="31"/>
  <c r="M184" i="31"/>
  <c r="K184" i="31"/>
  <c r="I184" i="31"/>
  <c r="G184" i="31"/>
  <c r="E184" i="31"/>
  <c r="C184" i="31"/>
  <c r="Y183" i="31"/>
  <c r="X183" i="31"/>
  <c r="V183" i="31"/>
  <c r="U183" i="31"/>
  <c r="R183" i="31"/>
  <c r="T183" i="31"/>
  <c r="S183" i="31"/>
  <c r="Q183" i="31"/>
  <c r="O183" i="31"/>
  <c r="M183" i="31"/>
  <c r="K183" i="31"/>
  <c r="I183" i="31"/>
  <c r="G183" i="31"/>
  <c r="E183" i="31"/>
  <c r="C183" i="31"/>
  <c r="Y182" i="31"/>
  <c r="X182" i="31"/>
  <c r="V182" i="31"/>
  <c r="U182" i="31"/>
  <c r="R182" i="31"/>
  <c r="T182" i="31"/>
  <c r="S182" i="31"/>
  <c r="Q182" i="31"/>
  <c r="O182" i="31"/>
  <c r="M182" i="31"/>
  <c r="K182" i="31"/>
  <c r="I182" i="31"/>
  <c r="G182" i="31"/>
  <c r="E182" i="31"/>
  <c r="C182" i="31"/>
  <c r="Y181" i="31"/>
  <c r="X181" i="31"/>
  <c r="V181" i="31"/>
  <c r="U181" i="31"/>
  <c r="R181" i="31"/>
  <c r="T181" i="31"/>
  <c r="S181" i="31"/>
  <c r="Q181" i="31"/>
  <c r="O181" i="31"/>
  <c r="M181" i="31"/>
  <c r="K181" i="31"/>
  <c r="I181" i="31"/>
  <c r="G181" i="31"/>
  <c r="E181" i="31"/>
  <c r="C181" i="31"/>
  <c r="Y180" i="31"/>
  <c r="X180" i="31"/>
  <c r="V180" i="31"/>
  <c r="U180" i="31"/>
  <c r="R180" i="31"/>
  <c r="T180" i="31"/>
  <c r="S180" i="31"/>
  <c r="Q180" i="31"/>
  <c r="O180" i="31"/>
  <c r="M180" i="31"/>
  <c r="K180" i="31"/>
  <c r="I180" i="31"/>
  <c r="G180" i="31"/>
  <c r="E180" i="31"/>
  <c r="C180" i="31"/>
  <c r="Y179" i="31"/>
  <c r="X179" i="31"/>
  <c r="V179" i="31"/>
  <c r="U179" i="31"/>
  <c r="R179" i="31"/>
  <c r="T179" i="31"/>
  <c r="S179" i="31"/>
  <c r="Q179" i="31"/>
  <c r="O179" i="31"/>
  <c r="M179" i="31"/>
  <c r="K179" i="31"/>
  <c r="I179" i="31"/>
  <c r="G179" i="31"/>
  <c r="E179" i="31"/>
  <c r="C179" i="31"/>
  <c r="Y178" i="31"/>
  <c r="X178" i="31"/>
  <c r="V178" i="31"/>
  <c r="U178" i="31"/>
  <c r="R178" i="31"/>
  <c r="T178" i="31"/>
  <c r="S178" i="31"/>
  <c r="Q178" i="31"/>
  <c r="O178" i="31"/>
  <c r="M178" i="31"/>
  <c r="K178" i="31"/>
  <c r="I178" i="31"/>
  <c r="G178" i="31"/>
  <c r="E178" i="31"/>
  <c r="C178" i="31"/>
  <c r="Y177" i="31"/>
  <c r="X177" i="31"/>
  <c r="V177" i="31"/>
  <c r="U177" i="31"/>
  <c r="R177" i="31"/>
  <c r="T177" i="31"/>
  <c r="S177" i="31"/>
  <c r="Q177" i="31"/>
  <c r="O177" i="31"/>
  <c r="M177" i="31"/>
  <c r="K177" i="31"/>
  <c r="I177" i="31"/>
  <c r="G177" i="31"/>
  <c r="E177" i="31"/>
  <c r="C177" i="31"/>
  <c r="Y176" i="31"/>
  <c r="X176" i="31"/>
  <c r="V176" i="31"/>
  <c r="U176" i="31"/>
  <c r="R176" i="31"/>
  <c r="T176" i="31"/>
  <c r="S176" i="31"/>
  <c r="Q176" i="31"/>
  <c r="O176" i="31"/>
  <c r="M176" i="31"/>
  <c r="K176" i="31"/>
  <c r="I176" i="31"/>
  <c r="G176" i="31"/>
  <c r="E176" i="31"/>
  <c r="C176" i="31"/>
  <c r="Y175" i="31"/>
  <c r="X175" i="31"/>
  <c r="V175" i="31"/>
  <c r="U175" i="31"/>
  <c r="R175" i="31"/>
  <c r="T175" i="31"/>
  <c r="S175" i="31"/>
  <c r="Q175" i="31"/>
  <c r="O175" i="31"/>
  <c r="M175" i="31"/>
  <c r="K175" i="31"/>
  <c r="I175" i="31"/>
  <c r="G175" i="31"/>
  <c r="E175" i="31"/>
  <c r="C175" i="31"/>
  <c r="Y174" i="31"/>
  <c r="X174" i="31"/>
  <c r="V174" i="31"/>
  <c r="U174" i="31"/>
  <c r="R174" i="31"/>
  <c r="T174" i="31"/>
  <c r="S174" i="31"/>
  <c r="Q174" i="31"/>
  <c r="O174" i="31"/>
  <c r="M174" i="31"/>
  <c r="K174" i="31"/>
  <c r="I174" i="31"/>
  <c r="G174" i="31"/>
  <c r="E174" i="31"/>
  <c r="C174" i="31"/>
  <c r="Y173" i="31"/>
  <c r="X173" i="31"/>
  <c r="V173" i="31"/>
  <c r="U173" i="31"/>
  <c r="R173" i="31"/>
  <c r="T173" i="31"/>
  <c r="S173" i="31"/>
  <c r="Q173" i="31"/>
  <c r="O173" i="31"/>
  <c r="M173" i="31"/>
  <c r="K173" i="31"/>
  <c r="I173" i="31"/>
  <c r="G173" i="31"/>
  <c r="E173" i="31"/>
  <c r="C173" i="31"/>
  <c r="Y172" i="31"/>
  <c r="X172" i="31"/>
  <c r="V172" i="31"/>
  <c r="U172" i="31"/>
  <c r="R172" i="31"/>
  <c r="T172" i="31"/>
  <c r="S172" i="31"/>
  <c r="Q172" i="31"/>
  <c r="O172" i="31"/>
  <c r="M172" i="31"/>
  <c r="K172" i="31"/>
  <c r="I172" i="31"/>
  <c r="G172" i="31"/>
  <c r="E172" i="31"/>
  <c r="C172" i="31"/>
  <c r="Y171" i="31"/>
  <c r="X171" i="31"/>
  <c r="V171" i="31"/>
  <c r="U171" i="31"/>
  <c r="R171" i="31"/>
  <c r="T171" i="31"/>
  <c r="S171" i="31"/>
  <c r="Q171" i="31"/>
  <c r="O171" i="31"/>
  <c r="M171" i="31"/>
  <c r="K171" i="31"/>
  <c r="I171" i="31"/>
  <c r="G171" i="31"/>
  <c r="E171" i="31"/>
  <c r="C171" i="31"/>
  <c r="Y170" i="31"/>
  <c r="X170" i="31"/>
  <c r="V170" i="31"/>
  <c r="U170" i="31"/>
  <c r="R170" i="31"/>
  <c r="T170" i="31"/>
  <c r="S170" i="31"/>
  <c r="Q170" i="31"/>
  <c r="O170" i="31"/>
  <c r="M170" i="31"/>
  <c r="K170" i="31"/>
  <c r="I170" i="31"/>
  <c r="G170" i="31"/>
  <c r="E170" i="31"/>
  <c r="C170" i="31"/>
  <c r="Y169" i="31"/>
  <c r="X169" i="31"/>
  <c r="V169" i="31"/>
  <c r="U169" i="31"/>
  <c r="R169" i="31"/>
  <c r="T169" i="31"/>
  <c r="S169" i="31"/>
  <c r="Q169" i="31"/>
  <c r="O169" i="31"/>
  <c r="M169" i="31"/>
  <c r="K169" i="31"/>
  <c r="I169" i="31"/>
  <c r="G169" i="31"/>
  <c r="E169" i="31"/>
  <c r="C169" i="31"/>
  <c r="Y168" i="31"/>
  <c r="X168" i="31"/>
  <c r="V168" i="31"/>
  <c r="U168" i="31"/>
  <c r="R168" i="31"/>
  <c r="T168" i="31"/>
  <c r="S168" i="31"/>
  <c r="Q168" i="31"/>
  <c r="O168" i="31"/>
  <c r="M168" i="31"/>
  <c r="K168" i="31"/>
  <c r="I168" i="31"/>
  <c r="G168" i="31"/>
  <c r="E168" i="31"/>
  <c r="C168" i="31"/>
  <c r="Y167" i="31"/>
  <c r="X167" i="31"/>
  <c r="V167" i="31"/>
  <c r="U167" i="31"/>
  <c r="R167" i="31"/>
  <c r="T167" i="31"/>
  <c r="S167" i="31"/>
  <c r="Q167" i="31"/>
  <c r="O167" i="31"/>
  <c r="M167" i="31"/>
  <c r="K167" i="31"/>
  <c r="I167" i="31"/>
  <c r="G167" i="31"/>
  <c r="E167" i="31"/>
  <c r="C167" i="31"/>
  <c r="Y166" i="31"/>
  <c r="X166" i="31"/>
  <c r="V166" i="31"/>
  <c r="U166" i="31"/>
  <c r="R166" i="31"/>
  <c r="T166" i="31"/>
  <c r="S166" i="31"/>
  <c r="Q166" i="31"/>
  <c r="O166" i="31"/>
  <c r="M166" i="31"/>
  <c r="K166" i="31"/>
  <c r="I166" i="31"/>
  <c r="G166" i="31"/>
  <c r="E166" i="31"/>
  <c r="C166" i="31"/>
  <c r="Y165" i="31"/>
  <c r="X165" i="31"/>
  <c r="V165" i="31"/>
  <c r="U165" i="31"/>
  <c r="R165" i="31"/>
  <c r="T165" i="31"/>
  <c r="S165" i="31"/>
  <c r="Q165" i="31"/>
  <c r="O165" i="31"/>
  <c r="M165" i="31"/>
  <c r="K165" i="31"/>
  <c r="I165" i="31"/>
  <c r="G165" i="31"/>
  <c r="E165" i="31"/>
  <c r="C165" i="31"/>
  <c r="Y164" i="31"/>
  <c r="X164" i="31"/>
  <c r="V164" i="31"/>
  <c r="U164" i="31"/>
  <c r="R164" i="31"/>
  <c r="T164" i="31"/>
  <c r="S164" i="31"/>
  <c r="Q164" i="31"/>
  <c r="O164" i="31"/>
  <c r="M164" i="31"/>
  <c r="K164" i="31"/>
  <c r="I164" i="31"/>
  <c r="G164" i="31"/>
  <c r="E164" i="31"/>
  <c r="C164" i="31"/>
  <c r="Y163" i="31"/>
  <c r="X163" i="31"/>
  <c r="V163" i="31"/>
  <c r="U163" i="31"/>
  <c r="R163" i="31"/>
  <c r="T163" i="31"/>
  <c r="S163" i="31"/>
  <c r="Q163" i="31"/>
  <c r="O163" i="31"/>
  <c r="M163" i="31"/>
  <c r="K163" i="31"/>
  <c r="I163" i="31"/>
  <c r="G163" i="31"/>
  <c r="E163" i="31"/>
  <c r="C163" i="31"/>
  <c r="Y162" i="31"/>
  <c r="X162" i="31"/>
  <c r="V162" i="31"/>
  <c r="U162" i="31"/>
  <c r="R162" i="31"/>
  <c r="T162" i="31"/>
  <c r="S162" i="31"/>
  <c r="Q162" i="31"/>
  <c r="O162" i="31"/>
  <c r="M162" i="31"/>
  <c r="K162" i="31"/>
  <c r="I162" i="31"/>
  <c r="G162" i="31"/>
  <c r="E162" i="31"/>
  <c r="C162" i="31"/>
  <c r="Y161" i="31"/>
  <c r="X161" i="31"/>
  <c r="V161" i="31"/>
  <c r="U161" i="31"/>
  <c r="R161" i="31"/>
  <c r="T161" i="31"/>
  <c r="S161" i="31"/>
  <c r="Q161" i="31"/>
  <c r="O161" i="31"/>
  <c r="M161" i="31"/>
  <c r="K161" i="31"/>
  <c r="I161" i="31"/>
  <c r="G161" i="31"/>
  <c r="E161" i="31"/>
  <c r="C161" i="31"/>
  <c r="Y160" i="31"/>
  <c r="X160" i="31"/>
  <c r="V160" i="31"/>
  <c r="U160" i="31"/>
  <c r="R160" i="31"/>
  <c r="T160" i="31"/>
  <c r="S160" i="31"/>
  <c r="Q160" i="31"/>
  <c r="O160" i="31"/>
  <c r="M160" i="31"/>
  <c r="K160" i="31"/>
  <c r="I160" i="31"/>
  <c r="G160" i="31"/>
  <c r="E160" i="31"/>
  <c r="C160" i="31"/>
  <c r="Y159" i="31"/>
  <c r="X159" i="31"/>
  <c r="V159" i="31"/>
  <c r="U159" i="31"/>
  <c r="R159" i="31"/>
  <c r="T159" i="31"/>
  <c r="S159" i="31"/>
  <c r="Q159" i="31"/>
  <c r="O159" i="31"/>
  <c r="M159" i="31"/>
  <c r="K159" i="31"/>
  <c r="I159" i="31"/>
  <c r="G159" i="31"/>
  <c r="E159" i="31"/>
  <c r="C159" i="31"/>
  <c r="Y158" i="31"/>
  <c r="X158" i="31"/>
  <c r="V158" i="31"/>
  <c r="U158" i="31"/>
  <c r="R158" i="31"/>
  <c r="T158" i="31"/>
  <c r="S158" i="31"/>
  <c r="Q158" i="31"/>
  <c r="O158" i="31"/>
  <c r="M158" i="31"/>
  <c r="K158" i="31"/>
  <c r="I158" i="31"/>
  <c r="G158" i="31"/>
  <c r="E158" i="31"/>
  <c r="C158" i="31"/>
  <c r="Y157" i="31"/>
  <c r="X157" i="31"/>
  <c r="V157" i="31"/>
  <c r="U157" i="31"/>
  <c r="R157" i="31"/>
  <c r="T157" i="31"/>
  <c r="S157" i="31"/>
  <c r="Q157" i="31"/>
  <c r="O157" i="31"/>
  <c r="M157" i="31"/>
  <c r="K157" i="31"/>
  <c r="I157" i="31"/>
  <c r="G157" i="31"/>
  <c r="E157" i="31"/>
  <c r="C157" i="31"/>
  <c r="Y156" i="31"/>
  <c r="X156" i="31"/>
  <c r="V156" i="31"/>
  <c r="U156" i="31"/>
  <c r="R156" i="31"/>
  <c r="T156" i="31"/>
  <c r="S156" i="31"/>
  <c r="Q156" i="31"/>
  <c r="O156" i="31"/>
  <c r="M156" i="31"/>
  <c r="K156" i="31"/>
  <c r="I156" i="31"/>
  <c r="G156" i="31"/>
  <c r="E156" i="31"/>
  <c r="C156" i="31"/>
  <c r="Y155" i="31"/>
  <c r="X155" i="31"/>
  <c r="V155" i="31"/>
  <c r="U155" i="31"/>
  <c r="R155" i="31"/>
  <c r="T155" i="31"/>
  <c r="S155" i="31"/>
  <c r="Q155" i="31"/>
  <c r="O155" i="31"/>
  <c r="M155" i="31"/>
  <c r="K155" i="31"/>
  <c r="I155" i="31"/>
  <c r="G155" i="31"/>
  <c r="E155" i="31"/>
  <c r="C155" i="31"/>
  <c r="Y154" i="31"/>
  <c r="X154" i="31"/>
  <c r="V154" i="31"/>
  <c r="U154" i="31"/>
  <c r="R154" i="31"/>
  <c r="T154" i="31"/>
  <c r="S154" i="31"/>
  <c r="Q154" i="31"/>
  <c r="O154" i="31"/>
  <c r="M154" i="31"/>
  <c r="K154" i="31"/>
  <c r="I154" i="31"/>
  <c r="G154" i="31"/>
  <c r="E154" i="31"/>
  <c r="C154" i="31"/>
  <c r="Y153" i="31"/>
  <c r="X153" i="31"/>
  <c r="V153" i="31"/>
  <c r="U153" i="31"/>
  <c r="R153" i="31"/>
  <c r="T153" i="31"/>
  <c r="S153" i="31"/>
  <c r="Q153" i="31"/>
  <c r="O153" i="31"/>
  <c r="M153" i="31"/>
  <c r="K153" i="31"/>
  <c r="I153" i="31"/>
  <c r="G153" i="31"/>
  <c r="E153" i="31"/>
  <c r="C153" i="31"/>
  <c r="Y152" i="31"/>
  <c r="X152" i="31"/>
  <c r="V152" i="31"/>
  <c r="U152" i="31"/>
  <c r="R152" i="31"/>
  <c r="T152" i="31"/>
  <c r="S152" i="31"/>
  <c r="Q152" i="31"/>
  <c r="O152" i="31"/>
  <c r="M152" i="31"/>
  <c r="K152" i="31"/>
  <c r="I152" i="31"/>
  <c r="G152" i="31"/>
  <c r="E152" i="31"/>
  <c r="C152" i="31"/>
  <c r="Y151" i="31"/>
  <c r="X151" i="31"/>
  <c r="V151" i="31"/>
  <c r="U151" i="31"/>
  <c r="R151" i="31"/>
  <c r="T151" i="31"/>
  <c r="S151" i="31"/>
  <c r="Q151" i="31"/>
  <c r="O151" i="31"/>
  <c r="M151" i="31"/>
  <c r="K151" i="31"/>
  <c r="I151" i="31"/>
  <c r="G151" i="31"/>
  <c r="E151" i="31"/>
  <c r="C151" i="31"/>
  <c r="Y150" i="31"/>
  <c r="X150" i="31"/>
  <c r="V150" i="31"/>
  <c r="U150" i="31"/>
  <c r="R150" i="31"/>
  <c r="T150" i="31"/>
  <c r="S150" i="31"/>
  <c r="Q150" i="31"/>
  <c r="O150" i="31"/>
  <c r="M150" i="31"/>
  <c r="K150" i="31"/>
  <c r="I150" i="31"/>
  <c r="G150" i="31"/>
  <c r="E150" i="31"/>
  <c r="C150" i="31"/>
  <c r="Y149" i="31"/>
  <c r="X149" i="31"/>
  <c r="V149" i="31"/>
  <c r="U149" i="31"/>
  <c r="R149" i="31"/>
  <c r="T149" i="31"/>
  <c r="S149" i="31"/>
  <c r="Q149" i="31"/>
  <c r="O149" i="31"/>
  <c r="M149" i="31"/>
  <c r="K149" i="31"/>
  <c r="I149" i="31"/>
  <c r="G149" i="31"/>
  <c r="E149" i="31"/>
  <c r="C149" i="31"/>
  <c r="Y148" i="31"/>
  <c r="X148" i="31"/>
  <c r="V148" i="31"/>
  <c r="U148" i="31"/>
  <c r="R148" i="31"/>
  <c r="T148" i="31"/>
  <c r="S148" i="31"/>
  <c r="Q148" i="31"/>
  <c r="O148" i="31"/>
  <c r="M148" i="31"/>
  <c r="K148" i="31"/>
  <c r="I148" i="31"/>
  <c r="G148" i="31"/>
  <c r="E148" i="31"/>
  <c r="C148" i="31"/>
  <c r="Y147" i="31"/>
  <c r="X147" i="31"/>
  <c r="V147" i="31"/>
  <c r="U147" i="31"/>
  <c r="R147" i="31"/>
  <c r="T147" i="31"/>
  <c r="S147" i="31"/>
  <c r="Q147" i="31"/>
  <c r="O147" i="31"/>
  <c r="M147" i="31"/>
  <c r="K147" i="31"/>
  <c r="I147" i="31"/>
  <c r="G147" i="31"/>
  <c r="E147" i="31"/>
  <c r="C147" i="31"/>
  <c r="Y146" i="31"/>
  <c r="X146" i="31"/>
  <c r="V146" i="31"/>
  <c r="U146" i="31"/>
  <c r="R146" i="31"/>
  <c r="T146" i="31"/>
  <c r="S146" i="31"/>
  <c r="Q146" i="31"/>
  <c r="O146" i="31"/>
  <c r="M146" i="31"/>
  <c r="K146" i="31"/>
  <c r="I146" i="31"/>
  <c r="G146" i="31"/>
  <c r="E146" i="31"/>
  <c r="C146" i="31"/>
  <c r="Y145" i="31"/>
  <c r="X145" i="31"/>
  <c r="V145" i="31"/>
  <c r="U145" i="31"/>
  <c r="R145" i="31"/>
  <c r="T145" i="31"/>
  <c r="S145" i="31"/>
  <c r="Q145" i="31"/>
  <c r="O145" i="31"/>
  <c r="M145" i="31"/>
  <c r="K145" i="31"/>
  <c r="I145" i="31"/>
  <c r="G145" i="31"/>
  <c r="E145" i="31"/>
  <c r="C145" i="31"/>
  <c r="Y144" i="31"/>
  <c r="X144" i="31"/>
  <c r="V144" i="31"/>
  <c r="U144" i="31"/>
  <c r="R144" i="31"/>
  <c r="T144" i="31"/>
  <c r="S144" i="31"/>
  <c r="Q144" i="31"/>
  <c r="O144" i="31"/>
  <c r="M144" i="31"/>
  <c r="K144" i="31"/>
  <c r="I144" i="31"/>
  <c r="G144" i="31"/>
  <c r="E144" i="31"/>
  <c r="C144" i="31"/>
  <c r="Y143" i="31"/>
  <c r="X143" i="31"/>
  <c r="V143" i="31"/>
  <c r="U143" i="31"/>
  <c r="R143" i="31"/>
  <c r="T143" i="31"/>
  <c r="S143" i="31"/>
  <c r="Q143" i="31"/>
  <c r="O143" i="31"/>
  <c r="M143" i="31"/>
  <c r="K143" i="31"/>
  <c r="I143" i="31"/>
  <c r="G143" i="31"/>
  <c r="E143" i="31"/>
  <c r="C143" i="31"/>
  <c r="Y142" i="31"/>
  <c r="X142" i="31"/>
  <c r="V142" i="31"/>
  <c r="U142" i="31"/>
  <c r="R142" i="31"/>
  <c r="T142" i="31"/>
  <c r="S142" i="31"/>
  <c r="Q142" i="31"/>
  <c r="O142" i="31"/>
  <c r="M142" i="31"/>
  <c r="K142" i="31"/>
  <c r="I142" i="31"/>
  <c r="G142" i="31"/>
  <c r="E142" i="31"/>
  <c r="C142" i="31"/>
  <c r="Y141" i="31"/>
  <c r="X141" i="31"/>
  <c r="V141" i="31"/>
  <c r="U141" i="31"/>
  <c r="R141" i="31"/>
  <c r="T141" i="31"/>
  <c r="S141" i="31"/>
  <c r="Q141" i="31"/>
  <c r="O141" i="31"/>
  <c r="M141" i="31"/>
  <c r="K141" i="31"/>
  <c r="I141" i="31"/>
  <c r="G141" i="31"/>
  <c r="E141" i="31"/>
  <c r="C141" i="31"/>
  <c r="Y140" i="31"/>
  <c r="X140" i="31"/>
  <c r="V140" i="31"/>
  <c r="U140" i="31"/>
  <c r="R140" i="31"/>
  <c r="T140" i="31"/>
  <c r="S140" i="31"/>
  <c r="Q140" i="31"/>
  <c r="O140" i="31"/>
  <c r="M140" i="31"/>
  <c r="K140" i="31"/>
  <c r="I140" i="31"/>
  <c r="G140" i="31"/>
  <c r="E140" i="31"/>
  <c r="C140" i="31"/>
  <c r="Y139" i="31"/>
  <c r="X139" i="31"/>
  <c r="V139" i="31"/>
  <c r="U139" i="31"/>
  <c r="R139" i="31"/>
  <c r="T139" i="31"/>
  <c r="S139" i="31"/>
  <c r="Q139" i="31"/>
  <c r="O139" i="31"/>
  <c r="M139" i="31"/>
  <c r="K139" i="31"/>
  <c r="I139" i="31"/>
  <c r="G139" i="31"/>
  <c r="E139" i="31"/>
  <c r="C139" i="31"/>
  <c r="Y138" i="31"/>
  <c r="X138" i="31"/>
  <c r="V138" i="31"/>
  <c r="U138" i="31"/>
  <c r="R138" i="31"/>
  <c r="T138" i="31"/>
  <c r="S138" i="31"/>
  <c r="Q138" i="31"/>
  <c r="O138" i="31"/>
  <c r="M138" i="31"/>
  <c r="K138" i="31"/>
  <c r="I138" i="31"/>
  <c r="G138" i="31"/>
  <c r="E138" i="31"/>
  <c r="C138" i="31"/>
  <c r="Y137" i="31"/>
  <c r="X137" i="31"/>
  <c r="V137" i="31"/>
  <c r="U137" i="31"/>
  <c r="R137" i="31"/>
  <c r="T137" i="31"/>
  <c r="S137" i="31"/>
  <c r="Q137" i="31"/>
  <c r="O137" i="31"/>
  <c r="M137" i="31"/>
  <c r="K137" i="31"/>
  <c r="I137" i="31"/>
  <c r="G137" i="31"/>
  <c r="E137" i="31"/>
  <c r="C137" i="31"/>
  <c r="Y136" i="31"/>
  <c r="X136" i="31"/>
  <c r="V136" i="31"/>
  <c r="U136" i="31"/>
  <c r="R136" i="31"/>
  <c r="T136" i="31"/>
  <c r="S136" i="31"/>
  <c r="Q136" i="31"/>
  <c r="O136" i="31"/>
  <c r="M136" i="31"/>
  <c r="K136" i="31"/>
  <c r="I136" i="31"/>
  <c r="G136" i="31"/>
  <c r="E136" i="31"/>
  <c r="C136" i="31"/>
  <c r="Y135" i="31"/>
  <c r="X135" i="31"/>
  <c r="V135" i="31"/>
  <c r="U135" i="31"/>
  <c r="R135" i="31"/>
  <c r="T135" i="31"/>
  <c r="S135" i="31"/>
  <c r="Q135" i="31"/>
  <c r="O135" i="31"/>
  <c r="M135" i="31"/>
  <c r="K135" i="31"/>
  <c r="I135" i="31"/>
  <c r="G135" i="31"/>
  <c r="E135" i="31"/>
  <c r="C135" i="31"/>
  <c r="Y134" i="31"/>
  <c r="X134" i="31"/>
  <c r="V134" i="31"/>
  <c r="U134" i="31"/>
  <c r="R134" i="31"/>
  <c r="T134" i="31"/>
  <c r="S134" i="31"/>
  <c r="Q134" i="31"/>
  <c r="O134" i="31"/>
  <c r="M134" i="31"/>
  <c r="K134" i="31"/>
  <c r="I134" i="31"/>
  <c r="G134" i="31"/>
  <c r="E134" i="31"/>
  <c r="C134" i="31"/>
  <c r="Y133" i="31"/>
  <c r="X133" i="31"/>
  <c r="V133" i="31"/>
  <c r="U133" i="31"/>
  <c r="R133" i="31"/>
  <c r="T133" i="31"/>
  <c r="S133" i="31"/>
  <c r="Q133" i="31"/>
  <c r="O133" i="31"/>
  <c r="M133" i="31"/>
  <c r="K133" i="31"/>
  <c r="I133" i="31"/>
  <c r="G133" i="31"/>
  <c r="E133" i="31"/>
  <c r="C133" i="31"/>
  <c r="Y132" i="31"/>
  <c r="X132" i="31"/>
  <c r="V132" i="31"/>
  <c r="U132" i="31"/>
  <c r="R132" i="31"/>
  <c r="T132" i="31"/>
  <c r="S132" i="31"/>
  <c r="Q132" i="31"/>
  <c r="O132" i="31"/>
  <c r="M132" i="31"/>
  <c r="K132" i="31"/>
  <c r="I132" i="31"/>
  <c r="G132" i="31"/>
  <c r="E132" i="31"/>
  <c r="C132" i="31"/>
  <c r="Y131" i="31"/>
  <c r="X131" i="31"/>
  <c r="V131" i="31"/>
  <c r="U131" i="31"/>
  <c r="R131" i="31"/>
  <c r="T131" i="31"/>
  <c r="S131" i="31"/>
  <c r="Q131" i="31"/>
  <c r="O131" i="31"/>
  <c r="M131" i="31"/>
  <c r="K131" i="31"/>
  <c r="I131" i="31"/>
  <c r="G131" i="31"/>
  <c r="E131" i="31"/>
  <c r="C131" i="31"/>
  <c r="Y130" i="31"/>
  <c r="X130" i="31"/>
  <c r="V130" i="31"/>
  <c r="U130" i="31"/>
  <c r="R130" i="31"/>
  <c r="T130" i="31"/>
  <c r="S130" i="31"/>
  <c r="Q130" i="31"/>
  <c r="O130" i="31"/>
  <c r="M130" i="31"/>
  <c r="K130" i="31"/>
  <c r="I130" i="31"/>
  <c r="G130" i="31"/>
  <c r="E130" i="31"/>
  <c r="C130" i="31"/>
  <c r="Y129" i="31"/>
  <c r="X129" i="31"/>
  <c r="V129" i="31"/>
  <c r="U129" i="31"/>
  <c r="R129" i="31"/>
  <c r="T129" i="31"/>
  <c r="S129" i="31"/>
  <c r="Q129" i="31"/>
  <c r="O129" i="31"/>
  <c r="M129" i="31"/>
  <c r="K129" i="31"/>
  <c r="I129" i="31"/>
  <c r="G129" i="31"/>
  <c r="E129" i="31"/>
  <c r="C129" i="31"/>
  <c r="Y128" i="31"/>
  <c r="X128" i="31"/>
  <c r="V128" i="31"/>
  <c r="U128" i="31"/>
  <c r="R128" i="31"/>
  <c r="T128" i="31"/>
  <c r="S128" i="31"/>
  <c r="Q128" i="31"/>
  <c r="O128" i="31"/>
  <c r="M128" i="31"/>
  <c r="K128" i="31"/>
  <c r="I128" i="31"/>
  <c r="G128" i="31"/>
  <c r="E128" i="31"/>
  <c r="C128" i="31"/>
  <c r="Y127" i="31"/>
  <c r="X127" i="31"/>
  <c r="V127" i="31"/>
  <c r="U127" i="31"/>
  <c r="R127" i="31"/>
  <c r="T127" i="31"/>
  <c r="S127" i="31"/>
  <c r="Q127" i="31"/>
  <c r="O127" i="31"/>
  <c r="M127" i="31"/>
  <c r="K127" i="31"/>
  <c r="I127" i="31"/>
  <c r="G127" i="31"/>
  <c r="E127" i="31"/>
  <c r="C127" i="31"/>
  <c r="Y126" i="31"/>
  <c r="X126" i="31"/>
  <c r="V126" i="31"/>
  <c r="U126" i="31"/>
  <c r="R126" i="31"/>
  <c r="T126" i="31"/>
  <c r="S126" i="31"/>
  <c r="Q126" i="31"/>
  <c r="O126" i="31"/>
  <c r="M126" i="31"/>
  <c r="K126" i="31"/>
  <c r="I126" i="31"/>
  <c r="G126" i="31"/>
  <c r="E126" i="31"/>
  <c r="C126" i="31"/>
  <c r="Y125" i="31"/>
  <c r="X125" i="31"/>
  <c r="V125" i="31"/>
  <c r="U125" i="31"/>
  <c r="R125" i="31"/>
  <c r="T125" i="31"/>
  <c r="S125" i="31"/>
  <c r="Q125" i="31"/>
  <c r="O125" i="31"/>
  <c r="M125" i="31"/>
  <c r="K125" i="31"/>
  <c r="I125" i="31"/>
  <c r="G125" i="31"/>
  <c r="E125" i="31"/>
  <c r="C125" i="31"/>
  <c r="Y124" i="31"/>
  <c r="X124" i="31"/>
  <c r="V124" i="31"/>
  <c r="U124" i="31"/>
  <c r="R124" i="31"/>
  <c r="T124" i="31"/>
  <c r="S124" i="31"/>
  <c r="Q124" i="31"/>
  <c r="O124" i="31"/>
  <c r="M124" i="31"/>
  <c r="K124" i="31"/>
  <c r="I124" i="31"/>
  <c r="G124" i="31"/>
  <c r="E124" i="31"/>
  <c r="C124" i="31"/>
  <c r="Y123" i="31"/>
  <c r="X123" i="31"/>
  <c r="V123" i="31"/>
  <c r="U123" i="31"/>
  <c r="R123" i="31"/>
  <c r="T123" i="31"/>
  <c r="S123" i="31"/>
  <c r="Q123" i="31"/>
  <c r="O123" i="31"/>
  <c r="M123" i="31"/>
  <c r="K123" i="31"/>
  <c r="I123" i="31"/>
  <c r="G123" i="31"/>
  <c r="E123" i="31"/>
  <c r="C123" i="31"/>
  <c r="Y122" i="31"/>
  <c r="X122" i="31"/>
  <c r="V122" i="31"/>
  <c r="U122" i="31"/>
  <c r="R122" i="31"/>
  <c r="T122" i="31"/>
  <c r="S122" i="31"/>
  <c r="Q122" i="31"/>
  <c r="O122" i="31"/>
  <c r="M122" i="31"/>
  <c r="K122" i="31"/>
  <c r="I122" i="31"/>
  <c r="G122" i="31"/>
  <c r="E122" i="31"/>
  <c r="C122" i="31"/>
  <c r="Y121" i="31"/>
  <c r="X121" i="31"/>
  <c r="V121" i="31"/>
  <c r="U121" i="31"/>
  <c r="R121" i="31"/>
  <c r="T121" i="31"/>
  <c r="S121" i="31"/>
  <c r="Q121" i="31"/>
  <c r="O121" i="31"/>
  <c r="M121" i="31"/>
  <c r="K121" i="31"/>
  <c r="I121" i="31"/>
  <c r="G121" i="31"/>
  <c r="E121" i="31"/>
  <c r="C121" i="31"/>
  <c r="Y120" i="31"/>
  <c r="X120" i="31"/>
  <c r="V120" i="31"/>
  <c r="U120" i="31"/>
  <c r="R120" i="31"/>
  <c r="T120" i="31"/>
  <c r="S120" i="31"/>
  <c r="Q120" i="31"/>
  <c r="O120" i="31"/>
  <c r="M120" i="31"/>
  <c r="K120" i="31"/>
  <c r="I120" i="31"/>
  <c r="G120" i="31"/>
  <c r="E120" i="31"/>
  <c r="C120" i="31"/>
  <c r="Y119" i="31"/>
  <c r="X119" i="31"/>
  <c r="V119" i="31"/>
  <c r="U119" i="31"/>
  <c r="R119" i="31"/>
  <c r="T119" i="31"/>
  <c r="S119" i="31"/>
  <c r="Q119" i="31"/>
  <c r="O119" i="31"/>
  <c r="M119" i="31"/>
  <c r="K119" i="31"/>
  <c r="I119" i="31"/>
  <c r="G119" i="31"/>
  <c r="E119" i="31"/>
  <c r="C119" i="31"/>
  <c r="Y118" i="31"/>
  <c r="X118" i="31"/>
  <c r="V118" i="31"/>
  <c r="U118" i="31"/>
  <c r="R118" i="31"/>
  <c r="T118" i="31"/>
  <c r="S118" i="31"/>
  <c r="Q118" i="31"/>
  <c r="O118" i="31"/>
  <c r="M118" i="31"/>
  <c r="K118" i="31"/>
  <c r="I118" i="31"/>
  <c r="G118" i="31"/>
  <c r="E118" i="31"/>
  <c r="C118" i="31"/>
  <c r="Y117" i="31"/>
  <c r="X117" i="31"/>
  <c r="V117" i="31"/>
  <c r="U117" i="31"/>
  <c r="R117" i="31"/>
  <c r="T117" i="31"/>
  <c r="S117" i="31"/>
  <c r="Q117" i="31"/>
  <c r="O117" i="31"/>
  <c r="M117" i="31"/>
  <c r="K117" i="31"/>
  <c r="I117" i="31"/>
  <c r="G117" i="31"/>
  <c r="E117" i="31"/>
  <c r="C117" i="31"/>
  <c r="Y116" i="31"/>
  <c r="X116" i="31"/>
  <c r="V116" i="31"/>
  <c r="U116" i="31"/>
  <c r="R116" i="31"/>
  <c r="T116" i="31"/>
  <c r="S116" i="31"/>
  <c r="Q116" i="31"/>
  <c r="O116" i="31"/>
  <c r="M116" i="31"/>
  <c r="K116" i="31"/>
  <c r="I116" i="31"/>
  <c r="G116" i="31"/>
  <c r="E116" i="31"/>
  <c r="C116" i="31"/>
  <c r="Y115" i="31"/>
  <c r="X115" i="31"/>
  <c r="V115" i="31"/>
  <c r="U115" i="31"/>
  <c r="R115" i="31"/>
  <c r="T115" i="31"/>
  <c r="S115" i="31"/>
  <c r="Q115" i="31"/>
  <c r="O115" i="31"/>
  <c r="M115" i="31"/>
  <c r="K115" i="31"/>
  <c r="I115" i="31"/>
  <c r="G115" i="31"/>
  <c r="E115" i="31"/>
  <c r="C115" i="31"/>
  <c r="Y114" i="31"/>
  <c r="X114" i="31"/>
  <c r="V114" i="31"/>
  <c r="U114" i="31"/>
  <c r="R114" i="31"/>
  <c r="T114" i="31"/>
  <c r="S114" i="31"/>
  <c r="Q114" i="31"/>
  <c r="O114" i="31"/>
  <c r="M114" i="31"/>
  <c r="K114" i="31"/>
  <c r="I114" i="31"/>
  <c r="G114" i="31"/>
  <c r="E114" i="31"/>
  <c r="C114" i="31"/>
  <c r="Y113" i="31"/>
  <c r="X113" i="31"/>
  <c r="V113" i="31"/>
  <c r="U113" i="31"/>
  <c r="R113" i="31"/>
  <c r="T113" i="31"/>
  <c r="S113" i="31"/>
  <c r="Q113" i="31"/>
  <c r="O113" i="31"/>
  <c r="M113" i="31"/>
  <c r="K113" i="31"/>
  <c r="I113" i="31"/>
  <c r="G113" i="31"/>
  <c r="E113" i="31"/>
  <c r="C113" i="31"/>
  <c r="Y112" i="31"/>
  <c r="X112" i="31"/>
  <c r="V112" i="31"/>
  <c r="U112" i="31"/>
  <c r="R112" i="31"/>
  <c r="T112" i="31"/>
  <c r="S112" i="31"/>
  <c r="Q112" i="31"/>
  <c r="O112" i="31"/>
  <c r="M112" i="31"/>
  <c r="K112" i="31"/>
  <c r="I112" i="31"/>
  <c r="G112" i="31"/>
  <c r="E112" i="31"/>
  <c r="C112" i="31"/>
  <c r="Y111" i="31"/>
  <c r="X111" i="31"/>
  <c r="V111" i="31"/>
  <c r="U111" i="31"/>
  <c r="R111" i="31"/>
  <c r="T111" i="31"/>
  <c r="S111" i="31"/>
  <c r="Q111" i="31"/>
  <c r="O111" i="31"/>
  <c r="M111" i="31"/>
  <c r="K111" i="31"/>
  <c r="I111" i="31"/>
  <c r="G111" i="31"/>
  <c r="E111" i="31"/>
  <c r="C111" i="31"/>
  <c r="Y110" i="31"/>
  <c r="X110" i="31"/>
  <c r="V110" i="31"/>
  <c r="U110" i="31"/>
  <c r="R110" i="31"/>
  <c r="T110" i="31"/>
  <c r="S110" i="31"/>
  <c r="Q110" i="31"/>
  <c r="O110" i="31"/>
  <c r="M110" i="31"/>
  <c r="K110" i="31"/>
  <c r="I110" i="31"/>
  <c r="G110" i="31"/>
  <c r="E110" i="31"/>
  <c r="C110" i="31"/>
  <c r="Y109" i="31"/>
  <c r="X109" i="31"/>
  <c r="V109" i="31"/>
  <c r="U109" i="31"/>
  <c r="R109" i="31"/>
  <c r="T109" i="31"/>
  <c r="S109" i="31"/>
  <c r="Q109" i="31"/>
  <c r="O109" i="31"/>
  <c r="M109" i="31"/>
  <c r="K109" i="31"/>
  <c r="I109" i="31"/>
  <c r="G109" i="31"/>
  <c r="E109" i="31"/>
  <c r="C109" i="31"/>
  <c r="Y108" i="31"/>
  <c r="X108" i="31"/>
  <c r="V108" i="31"/>
  <c r="U108" i="31"/>
  <c r="R108" i="31"/>
  <c r="T108" i="31"/>
  <c r="S108" i="31"/>
  <c r="Q108" i="31"/>
  <c r="O108" i="31"/>
  <c r="M108" i="31"/>
  <c r="K108" i="31"/>
  <c r="I108" i="31"/>
  <c r="G108" i="31"/>
  <c r="E108" i="31"/>
  <c r="C108" i="31"/>
  <c r="Y107" i="31"/>
  <c r="X107" i="31"/>
  <c r="V107" i="31"/>
  <c r="U107" i="31"/>
  <c r="R107" i="31"/>
  <c r="T107" i="31"/>
  <c r="S107" i="31"/>
  <c r="Q107" i="31"/>
  <c r="O107" i="31"/>
  <c r="M107" i="31"/>
  <c r="K107" i="31"/>
  <c r="I107" i="31"/>
  <c r="G107" i="31"/>
  <c r="E107" i="31"/>
  <c r="C107" i="31"/>
  <c r="Y106" i="31"/>
  <c r="X106" i="31"/>
  <c r="V106" i="31"/>
  <c r="U106" i="31"/>
  <c r="R106" i="31"/>
  <c r="T106" i="31"/>
  <c r="S106" i="31"/>
  <c r="Q106" i="31"/>
  <c r="O106" i="31"/>
  <c r="M106" i="31"/>
  <c r="K106" i="31"/>
  <c r="I106" i="31"/>
  <c r="G106" i="31"/>
  <c r="E106" i="31"/>
  <c r="C106" i="31"/>
  <c r="Y105" i="31"/>
  <c r="X105" i="31"/>
  <c r="V105" i="31"/>
  <c r="U105" i="31"/>
  <c r="R105" i="31"/>
  <c r="T105" i="31"/>
  <c r="S105" i="31"/>
  <c r="Q105" i="31"/>
  <c r="O105" i="31"/>
  <c r="M105" i="31"/>
  <c r="K105" i="31"/>
  <c r="I105" i="31"/>
  <c r="G105" i="31"/>
  <c r="E105" i="31"/>
  <c r="C105" i="31"/>
  <c r="Y104" i="31"/>
  <c r="X104" i="31"/>
  <c r="V104" i="31"/>
  <c r="U104" i="31"/>
  <c r="R104" i="31"/>
  <c r="T104" i="31"/>
  <c r="S104" i="31"/>
  <c r="Q104" i="31"/>
  <c r="O104" i="31"/>
  <c r="M104" i="31"/>
  <c r="K104" i="31"/>
  <c r="I104" i="31"/>
  <c r="G104" i="31"/>
  <c r="E104" i="31"/>
  <c r="C104" i="31"/>
  <c r="Y103" i="31"/>
  <c r="X103" i="31"/>
  <c r="V103" i="31"/>
  <c r="U103" i="31"/>
  <c r="R103" i="31"/>
  <c r="T103" i="31"/>
  <c r="S103" i="31"/>
  <c r="Q103" i="31"/>
  <c r="O103" i="31"/>
  <c r="M103" i="31"/>
  <c r="K103" i="31"/>
  <c r="I103" i="31"/>
  <c r="G103" i="31"/>
  <c r="E103" i="31"/>
  <c r="C103" i="31"/>
  <c r="Y102" i="31"/>
  <c r="X102" i="31"/>
  <c r="V102" i="31"/>
  <c r="U102" i="31"/>
  <c r="R102" i="31"/>
  <c r="T102" i="31"/>
  <c r="S102" i="31"/>
  <c r="Q102" i="31"/>
  <c r="O102" i="31"/>
  <c r="M102" i="31"/>
  <c r="K102" i="31"/>
  <c r="I102" i="31"/>
  <c r="G102" i="31"/>
  <c r="E102" i="31"/>
  <c r="C102" i="31"/>
  <c r="Y101" i="31"/>
  <c r="X101" i="31"/>
  <c r="V101" i="31"/>
  <c r="U101" i="31"/>
  <c r="R101" i="31"/>
  <c r="T101" i="31"/>
  <c r="S101" i="31"/>
  <c r="Q101" i="31"/>
  <c r="O101" i="31"/>
  <c r="M101" i="31"/>
  <c r="K101" i="31"/>
  <c r="I101" i="31"/>
  <c r="G101" i="31"/>
  <c r="E101" i="31"/>
  <c r="C101" i="31"/>
  <c r="Y100" i="31"/>
  <c r="X100" i="31"/>
  <c r="V100" i="31"/>
  <c r="U100" i="31"/>
  <c r="R100" i="31"/>
  <c r="T100" i="31"/>
  <c r="S100" i="31"/>
  <c r="Q100" i="31"/>
  <c r="O100" i="31"/>
  <c r="M100" i="31"/>
  <c r="K100" i="31"/>
  <c r="I100" i="31"/>
  <c r="G100" i="31"/>
  <c r="E100" i="31"/>
  <c r="C100" i="31"/>
  <c r="Y99" i="31"/>
  <c r="X99" i="31"/>
  <c r="V99" i="31"/>
  <c r="U99" i="31"/>
  <c r="R99" i="31"/>
  <c r="T99" i="31"/>
  <c r="S99" i="31"/>
  <c r="Q99" i="31"/>
  <c r="O99" i="31"/>
  <c r="M99" i="31"/>
  <c r="K99" i="31"/>
  <c r="I99" i="31"/>
  <c r="G99" i="31"/>
  <c r="E99" i="31"/>
  <c r="C99" i="31"/>
  <c r="Y98" i="31"/>
  <c r="X98" i="31"/>
  <c r="V98" i="31"/>
  <c r="U98" i="31"/>
  <c r="R98" i="31"/>
  <c r="T98" i="31"/>
  <c r="S98" i="31"/>
  <c r="Q98" i="31"/>
  <c r="O98" i="31"/>
  <c r="M98" i="31"/>
  <c r="K98" i="31"/>
  <c r="I98" i="31"/>
  <c r="G98" i="31"/>
  <c r="E98" i="31"/>
  <c r="C98" i="31"/>
  <c r="Y97" i="31"/>
  <c r="X97" i="31"/>
  <c r="V97" i="31"/>
  <c r="U97" i="31"/>
  <c r="R97" i="31"/>
  <c r="T97" i="31"/>
  <c r="S97" i="31"/>
  <c r="Q97" i="31"/>
  <c r="O97" i="31"/>
  <c r="M97" i="31"/>
  <c r="K97" i="31"/>
  <c r="I97" i="31"/>
  <c r="G97" i="31"/>
  <c r="E97" i="31"/>
  <c r="C97" i="31"/>
  <c r="Y96" i="31"/>
  <c r="X96" i="31"/>
  <c r="V96" i="31"/>
  <c r="U96" i="31"/>
  <c r="R96" i="31"/>
  <c r="T96" i="31"/>
  <c r="S96" i="31"/>
  <c r="Q96" i="31"/>
  <c r="O96" i="31"/>
  <c r="M96" i="31"/>
  <c r="K96" i="31"/>
  <c r="I96" i="31"/>
  <c r="G96" i="31"/>
  <c r="E96" i="31"/>
  <c r="C96" i="31"/>
  <c r="Y95" i="31"/>
  <c r="X95" i="31"/>
  <c r="V95" i="31"/>
  <c r="U95" i="31"/>
  <c r="R95" i="31"/>
  <c r="T95" i="31"/>
  <c r="S95" i="31"/>
  <c r="Q95" i="31"/>
  <c r="O95" i="31"/>
  <c r="M95" i="31"/>
  <c r="K95" i="31"/>
  <c r="I95" i="31"/>
  <c r="G95" i="31"/>
  <c r="E95" i="31"/>
  <c r="C95" i="31"/>
  <c r="Y94" i="31"/>
  <c r="X94" i="31"/>
  <c r="V94" i="31"/>
  <c r="U94" i="31"/>
  <c r="R94" i="31"/>
  <c r="T94" i="31"/>
  <c r="S94" i="31"/>
  <c r="Q94" i="31"/>
  <c r="O94" i="31"/>
  <c r="M94" i="31"/>
  <c r="K94" i="31"/>
  <c r="I94" i="31"/>
  <c r="G94" i="31"/>
  <c r="E94" i="31"/>
  <c r="C94" i="31"/>
  <c r="Y93" i="31"/>
  <c r="X93" i="31"/>
  <c r="V93" i="31"/>
  <c r="U93" i="31"/>
  <c r="R93" i="31"/>
  <c r="T93" i="31"/>
  <c r="S93" i="31"/>
  <c r="Q93" i="31"/>
  <c r="O93" i="31"/>
  <c r="M93" i="31"/>
  <c r="K93" i="31"/>
  <c r="I93" i="31"/>
  <c r="G93" i="31"/>
  <c r="E93" i="31"/>
  <c r="C93" i="31"/>
  <c r="Y92" i="31"/>
  <c r="X92" i="31"/>
  <c r="V92" i="31"/>
  <c r="U92" i="31"/>
  <c r="R92" i="31"/>
  <c r="T92" i="31"/>
  <c r="S92" i="31"/>
  <c r="Q92" i="31"/>
  <c r="O92" i="31"/>
  <c r="M92" i="31"/>
  <c r="K92" i="31"/>
  <c r="I92" i="31"/>
  <c r="G92" i="31"/>
  <c r="E92" i="31"/>
  <c r="C92" i="31"/>
  <c r="Y91" i="31"/>
  <c r="X91" i="31"/>
  <c r="V91" i="31"/>
  <c r="U91" i="31"/>
  <c r="R91" i="31"/>
  <c r="T91" i="31"/>
  <c r="S91" i="31"/>
  <c r="Q91" i="31"/>
  <c r="O91" i="31"/>
  <c r="M91" i="31"/>
  <c r="K91" i="31"/>
  <c r="I91" i="31"/>
  <c r="G91" i="31"/>
  <c r="E91" i="31"/>
  <c r="C91" i="31"/>
  <c r="Y90" i="31"/>
  <c r="X90" i="31"/>
  <c r="V90" i="31"/>
  <c r="U90" i="31"/>
  <c r="R90" i="31"/>
  <c r="T90" i="31"/>
  <c r="S90" i="31"/>
  <c r="Q90" i="31"/>
  <c r="O90" i="31"/>
  <c r="M90" i="31"/>
  <c r="K90" i="31"/>
  <c r="I90" i="31"/>
  <c r="G90" i="31"/>
  <c r="E90" i="31"/>
  <c r="C90" i="31"/>
  <c r="Y89" i="31"/>
  <c r="X89" i="31"/>
  <c r="V89" i="31"/>
  <c r="U89" i="31"/>
  <c r="R89" i="31"/>
  <c r="T89" i="31"/>
  <c r="S89" i="31"/>
  <c r="Q89" i="31"/>
  <c r="O89" i="31"/>
  <c r="M89" i="31"/>
  <c r="K89" i="31"/>
  <c r="I89" i="31"/>
  <c r="G89" i="31"/>
  <c r="E89" i="31"/>
  <c r="C89" i="31"/>
  <c r="Y88" i="31"/>
  <c r="X88" i="31"/>
  <c r="V88" i="31"/>
  <c r="U88" i="31"/>
  <c r="R88" i="31"/>
  <c r="T88" i="31"/>
  <c r="S88" i="31"/>
  <c r="Q88" i="31"/>
  <c r="O88" i="31"/>
  <c r="M88" i="31"/>
  <c r="K88" i="31"/>
  <c r="I88" i="31"/>
  <c r="G88" i="31"/>
  <c r="E88" i="31"/>
  <c r="C88" i="31"/>
  <c r="Y87" i="31"/>
  <c r="X87" i="31"/>
  <c r="V87" i="31"/>
  <c r="U87" i="31"/>
  <c r="R87" i="31"/>
  <c r="T87" i="31"/>
  <c r="S87" i="31"/>
  <c r="Q87" i="31"/>
  <c r="O87" i="31"/>
  <c r="M87" i="31"/>
  <c r="K87" i="31"/>
  <c r="I87" i="31"/>
  <c r="G87" i="31"/>
  <c r="E87" i="31"/>
  <c r="C87" i="31"/>
  <c r="Y86" i="31"/>
  <c r="X86" i="31"/>
  <c r="V86" i="31"/>
  <c r="U86" i="31"/>
  <c r="R86" i="31"/>
  <c r="T86" i="31"/>
  <c r="S86" i="31"/>
  <c r="Q86" i="31"/>
  <c r="O86" i="31"/>
  <c r="M86" i="31"/>
  <c r="K86" i="31"/>
  <c r="I86" i="31"/>
  <c r="G86" i="31"/>
  <c r="E86" i="31"/>
  <c r="C86" i="31"/>
  <c r="Y85" i="31"/>
  <c r="X85" i="31"/>
  <c r="V85" i="31"/>
  <c r="U85" i="31"/>
  <c r="R85" i="31"/>
  <c r="T85" i="31"/>
  <c r="S85" i="31"/>
  <c r="Q85" i="31"/>
  <c r="O85" i="31"/>
  <c r="M85" i="31"/>
  <c r="K85" i="31"/>
  <c r="I85" i="31"/>
  <c r="G85" i="31"/>
  <c r="E85" i="31"/>
  <c r="C85" i="31"/>
  <c r="Y84" i="31"/>
  <c r="X84" i="31"/>
  <c r="V84" i="31"/>
  <c r="U84" i="31"/>
  <c r="R84" i="31"/>
  <c r="T84" i="31"/>
  <c r="S84" i="31"/>
  <c r="Q84" i="31"/>
  <c r="O84" i="31"/>
  <c r="M84" i="31"/>
  <c r="K84" i="31"/>
  <c r="I84" i="31"/>
  <c r="G84" i="31"/>
  <c r="E84" i="31"/>
  <c r="C84" i="31"/>
  <c r="Y83" i="31"/>
  <c r="X83" i="31"/>
  <c r="V83" i="31"/>
  <c r="U83" i="31"/>
  <c r="R83" i="31"/>
  <c r="T83" i="31"/>
  <c r="S83" i="31"/>
  <c r="Q83" i="31"/>
  <c r="O83" i="31"/>
  <c r="M83" i="31"/>
  <c r="K83" i="31"/>
  <c r="I83" i="31"/>
  <c r="G83" i="31"/>
  <c r="E83" i="31"/>
  <c r="C83" i="31"/>
  <c r="Y82" i="31"/>
  <c r="X82" i="31"/>
  <c r="V82" i="31"/>
  <c r="U82" i="31"/>
  <c r="R82" i="31"/>
  <c r="T82" i="31"/>
  <c r="S82" i="31"/>
  <c r="Q82" i="31"/>
  <c r="O82" i="31"/>
  <c r="M82" i="31"/>
  <c r="K82" i="31"/>
  <c r="I82" i="31"/>
  <c r="G82" i="31"/>
  <c r="E82" i="31"/>
  <c r="C82" i="31"/>
  <c r="Y81" i="31"/>
  <c r="X81" i="31"/>
  <c r="V81" i="31"/>
  <c r="U81" i="31"/>
  <c r="R81" i="31"/>
  <c r="T81" i="31"/>
  <c r="S81" i="31"/>
  <c r="Q81" i="31"/>
  <c r="O81" i="31"/>
  <c r="M81" i="31"/>
  <c r="K81" i="31"/>
  <c r="I81" i="31"/>
  <c r="G81" i="31"/>
  <c r="E81" i="31"/>
  <c r="C81" i="31"/>
  <c r="Y80" i="31"/>
  <c r="X80" i="31"/>
  <c r="V80" i="31"/>
  <c r="U80" i="31"/>
  <c r="R80" i="31"/>
  <c r="T80" i="31"/>
  <c r="S80" i="31"/>
  <c r="Q80" i="31"/>
  <c r="O80" i="31"/>
  <c r="M80" i="31"/>
  <c r="K80" i="31"/>
  <c r="I80" i="31"/>
  <c r="G80" i="31"/>
  <c r="E80" i="31"/>
  <c r="C80" i="31"/>
  <c r="Y79" i="31"/>
  <c r="X79" i="31"/>
  <c r="V79" i="31"/>
  <c r="U79" i="31"/>
  <c r="R79" i="31"/>
  <c r="T79" i="31"/>
  <c r="S79" i="31"/>
  <c r="Q79" i="31"/>
  <c r="O79" i="31"/>
  <c r="M79" i="31"/>
  <c r="K79" i="31"/>
  <c r="I79" i="31"/>
  <c r="G79" i="31"/>
  <c r="E79" i="31"/>
  <c r="C79" i="31"/>
  <c r="Y78" i="31"/>
  <c r="X78" i="31"/>
  <c r="V78" i="31"/>
  <c r="U78" i="31"/>
  <c r="R78" i="31"/>
  <c r="T78" i="31"/>
  <c r="S78" i="31"/>
  <c r="Q78" i="31"/>
  <c r="O78" i="31"/>
  <c r="M78" i="31"/>
  <c r="K78" i="31"/>
  <c r="I78" i="31"/>
  <c r="G78" i="31"/>
  <c r="E78" i="31"/>
  <c r="C78" i="31"/>
  <c r="Y77" i="31"/>
  <c r="X77" i="31"/>
  <c r="V77" i="31"/>
  <c r="U77" i="31"/>
  <c r="R77" i="31"/>
  <c r="T77" i="31"/>
  <c r="S77" i="31"/>
  <c r="Q77" i="31"/>
  <c r="O77" i="31"/>
  <c r="M77" i="31"/>
  <c r="K77" i="31"/>
  <c r="I77" i="31"/>
  <c r="G77" i="31"/>
  <c r="E77" i="31"/>
  <c r="C77" i="31"/>
  <c r="Y76" i="31"/>
  <c r="X76" i="31"/>
  <c r="V76" i="31"/>
  <c r="U76" i="31"/>
  <c r="R76" i="31"/>
  <c r="T76" i="31"/>
  <c r="S76" i="31"/>
  <c r="Q76" i="31"/>
  <c r="O76" i="31"/>
  <c r="M76" i="31"/>
  <c r="K76" i="31"/>
  <c r="I76" i="31"/>
  <c r="G76" i="31"/>
  <c r="E76" i="31"/>
  <c r="C76" i="31"/>
  <c r="Y75" i="31"/>
  <c r="X75" i="31"/>
  <c r="V75" i="31"/>
  <c r="U75" i="31"/>
  <c r="R75" i="31"/>
  <c r="T75" i="31"/>
  <c r="S75" i="31"/>
  <c r="Q75" i="31"/>
  <c r="O75" i="31"/>
  <c r="M75" i="31"/>
  <c r="K75" i="31"/>
  <c r="I75" i="31"/>
  <c r="G75" i="31"/>
  <c r="E75" i="31"/>
  <c r="C75" i="31"/>
  <c r="Y74" i="31"/>
  <c r="X74" i="31"/>
  <c r="V74" i="31"/>
  <c r="U74" i="31"/>
  <c r="R74" i="31"/>
  <c r="T74" i="31"/>
  <c r="S74" i="31"/>
  <c r="Q74" i="31"/>
  <c r="O74" i="31"/>
  <c r="M74" i="31"/>
  <c r="K74" i="31"/>
  <c r="I74" i="31"/>
  <c r="G74" i="31"/>
  <c r="E74" i="31"/>
  <c r="C74" i="31"/>
  <c r="Y73" i="31"/>
  <c r="X73" i="31"/>
  <c r="V73" i="31"/>
  <c r="U73" i="31"/>
  <c r="R73" i="31"/>
  <c r="T73" i="31"/>
  <c r="S73" i="31"/>
  <c r="Q73" i="31"/>
  <c r="O73" i="31"/>
  <c r="M73" i="31"/>
  <c r="K73" i="31"/>
  <c r="I73" i="31"/>
  <c r="G73" i="31"/>
  <c r="E73" i="31"/>
  <c r="C73" i="31"/>
  <c r="Y72" i="31"/>
  <c r="X72" i="31"/>
  <c r="V72" i="31"/>
  <c r="U72" i="31"/>
  <c r="R72" i="31"/>
  <c r="T72" i="31"/>
  <c r="S72" i="31"/>
  <c r="Q72" i="31"/>
  <c r="O72" i="31"/>
  <c r="M72" i="31"/>
  <c r="K72" i="31"/>
  <c r="I72" i="31"/>
  <c r="G72" i="31"/>
  <c r="E72" i="31"/>
  <c r="C72" i="31"/>
  <c r="Y71" i="31"/>
  <c r="X71" i="31"/>
  <c r="V71" i="31"/>
  <c r="U71" i="31"/>
  <c r="R71" i="31"/>
  <c r="T71" i="31"/>
  <c r="S71" i="31"/>
  <c r="Q71" i="31"/>
  <c r="O71" i="31"/>
  <c r="M71" i="31"/>
  <c r="K71" i="31"/>
  <c r="I71" i="31"/>
  <c r="G71" i="31"/>
  <c r="E71" i="31"/>
  <c r="C71" i="31"/>
  <c r="Y70" i="31"/>
  <c r="X70" i="31"/>
  <c r="V70" i="31"/>
  <c r="U70" i="31"/>
  <c r="R70" i="31"/>
  <c r="T70" i="31"/>
  <c r="S70" i="31"/>
  <c r="Q70" i="31"/>
  <c r="O70" i="31"/>
  <c r="M70" i="31"/>
  <c r="K70" i="31"/>
  <c r="I70" i="31"/>
  <c r="G70" i="31"/>
  <c r="E70" i="31"/>
  <c r="C70" i="31"/>
  <c r="Y69" i="31"/>
  <c r="X69" i="31"/>
  <c r="V69" i="31"/>
  <c r="U69" i="31"/>
  <c r="R69" i="31"/>
  <c r="T69" i="31"/>
  <c r="S69" i="31"/>
  <c r="Q69" i="31"/>
  <c r="O69" i="31"/>
  <c r="M69" i="31"/>
  <c r="K69" i="31"/>
  <c r="I69" i="31"/>
  <c r="G69" i="31"/>
  <c r="E69" i="31"/>
  <c r="C69" i="31"/>
  <c r="Y68" i="31"/>
  <c r="X68" i="31"/>
  <c r="V68" i="31"/>
  <c r="U68" i="31"/>
  <c r="R68" i="31"/>
  <c r="T68" i="31"/>
  <c r="S68" i="31"/>
  <c r="Q68" i="31"/>
  <c r="O68" i="31"/>
  <c r="M68" i="31"/>
  <c r="K68" i="31"/>
  <c r="I68" i="31"/>
  <c r="G68" i="31"/>
  <c r="E68" i="31"/>
  <c r="C68" i="31"/>
  <c r="Y67" i="31"/>
  <c r="X67" i="31"/>
  <c r="V67" i="31"/>
  <c r="U67" i="31"/>
  <c r="R67" i="31"/>
  <c r="T67" i="31"/>
  <c r="S67" i="31"/>
  <c r="Q67" i="31"/>
  <c r="O67" i="31"/>
  <c r="M67" i="31"/>
  <c r="K67" i="31"/>
  <c r="I67" i="31"/>
  <c r="G67" i="31"/>
  <c r="E67" i="31"/>
  <c r="C67" i="31"/>
  <c r="Y66" i="31"/>
  <c r="X66" i="31"/>
  <c r="V66" i="31"/>
  <c r="U66" i="31"/>
  <c r="R66" i="31"/>
  <c r="T66" i="31"/>
  <c r="S66" i="31"/>
  <c r="Q66" i="31"/>
  <c r="O66" i="31"/>
  <c r="M66" i="31"/>
  <c r="K66" i="31"/>
  <c r="I66" i="31"/>
  <c r="G66" i="31"/>
  <c r="E66" i="31"/>
  <c r="C66" i="31"/>
  <c r="Y65" i="31"/>
  <c r="X65" i="31"/>
  <c r="V65" i="31"/>
  <c r="U65" i="31"/>
  <c r="R65" i="31"/>
  <c r="T65" i="31"/>
  <c r="S65" i="31"/>
  <c r="Q65" i="31"/>
  <c r="O65" i="31"/>
  <c r="M65" i="31"/>
  <c r="K65" i="31"/>
  <c r="I65" i="31"/>
  <c r="G65" i="31"/>
  <c r="E65" i="31"/>
  <c r="C65" i="31"/>
  <c r="Y64" i="31"/>
  <c r="X64" i="31"/>
  <c r="V64" i="31"/>
  <c r="U64" i="31"/>
  <c r="R64" i="31"/>
  <c r="T64" i="31"/>
  <c r="S64" i="31"/>
  <c r="Q64" i="31"/>
  <c r="O64" i="31"/>
  <c r="M64" i="31"/>
  <c r="K64" i="31"/>
  <c r="I64" i="31"/>
  <c r="G64" i="31"/>
  <c r="E64" i="31"/>
  <c r="C64" i="31"/>
  <c r="Y63" i="31"/>
  <c r="X63" i="31"/>
  <c r="V63" i="31"/>
  <c r="U63" i="31"/>
  <c r="R63" i="31"/>
  <c r="T63" i="31"/>
  <c r="S63" i="31"/>
  <c r="Q63" i="31"/>
  <c r="O63" i="31"/>
  <c r="M63" i="31"/>
  <c r="K63" i="31"/>
  <c r="I63" i="31"/>
  <c r="G63" i="31"/>
  <c r="E63" i="31"/>
  <c r="C63" i="31"/>
  <c r="Y62" i="31"/>
  <c r="X62" i="31"/>
  <c r="V62" i="31"/>
  <c r="U62" i="31"/>
  <c r="R62" i="31"/>
  <c r="T62" i="31"/>
  <c r="S62" i="31"/>
  <c r="Q62" i="31"/>
  <c r="O62" i="31"/>
  <c r="M62" i="31"/>
  <c r="K62" i="31"/>
  <c r="I62" i="31"/>
  <c r="G62" i="31"/>
  <c r="E62" i="31"/>
  <c r="C62" i="31"/>
  <c r="Y61" i="31"/>
  <c r="X61" i="31"/>
  <c r="V61" i="31"/>
  <c r="U61" i="31"/>
  <c r="R61" i="31"/>
  <c r="T61" i="31"/>
  <c r="S61" i="31"/>
  <c r="Q61" i="31"/>
  <c r="O61" i="31"/>
  <c r="M61" i="31"/>
  <c r="K61" i="31"/>
  <c r="I61" i="31"/>
  <c r="G61" i="31"/>
  <c r="E61" i="31"/>
  <c r="C61" i="31"/>
  <c r="Y60" i="31"/>
  <c r="X60" i="31"/>
  <c r="V60" i="31"/>
  <c r="U60" i="31"/>
  <c r="R60" i="31"/>
  <c r="T60" i="31"/>
  <c r="S60" i="31"/>
  <c r="Q60" i="31"/>
  <c r="O60" i="31"/>
  <c r="M60" i="31"/>
  <c r="K60" i="31"/>
  <c r="I60" i="31"/>
  <c r="G60" i="31"/>
  <c r="E60" i="31"/>
  <c r="C60" i="31"/>
  <c r="Y59" i="31"/>
  <c r="X59" i="31"/>
  <c r="V59" i="31"/>
  <c r="U59" i="31"/>
  <c r="R59" i="31"/>
  <c r="T59" i="31"/>
  <c r="S59" i="31"/>
  <c r="Q59" i="31"/>
  <c r="O59" i="31"/>
  <c r="M59" i="31"/>
  <c r="K59" i="31"/>
  <c r="I59" i="31"/>
  <c r="G59" i="31"/>
  <c r="E59" i="31"/>
  <c r="C59" i="31"/>
  <c r="Y58" i="31"/>
  <c r="X58" i="31"/>
  <c r="V58" i="31"/>
  <c r="U58" i="31"/>
  <c r="R58" i="31"/>
  <c r="T58" i="31"/>
  <c r="S58" i="31"/>
  <c r="Q58" i="31"/>
  <c r="O58" i="31"/>
  <c r="M58" i="31"/>
  <c r="K58" i="31"/>
  <c r="I58" i="31"/>
  <c r="G58" i="31"/>
  <c r="E58" i="31"/>
  <c r="C58" i="31"/>
  <c r="Y57" i="31"/>
  <c r="X57" i="31"/>
  <c r="V57" i="31"/>
  <c r="U57" i="31"/>
  <c r="R57" i="31"/>
  <c r="T57" i="31"/>
  <c r="S57" i="31"/>
  <c r="Q57" i="31"/>
  <c r="O57" i="31"/>
  <c r="M57" i="31"/>
  <c r="K57" i="31"/>
  <c r="I57" i="31"/>
  <c r="G57" i="31"/>
  <c r="E57" i="31"/>
  <c r="C57" i="31"/>
  <c r="Y56" i="31"/>
  <c r="X56" i="31"/>
  <c r="V56" i="31"/>
  <c r="U56" i="31"/>
  <c r="R56" i="31"/>
  <c r="T56" i="31"/>
  <c r="S56" i="31"/>
  <c r="Q56" i="31"/>
  <c r="O56" i="31"/>
  <c r="M56" i="31"/>
  <c r="K56" i="31"/>
  <c r="I56" i="31"/>
  <c r="G56" i="31"/>
  <c r="E56" i="31"/>
  <c r="C56" i="31"/>
  <c r="Y55" i="31"/>
  <c r="X55" i="31"/>
  <c r="V55" i="31"/>
  <c r="U55" i="31"/>
  <c r="R55" i="31"/>
  <c r="T55" i="31"/>
  <c r="S55" i="31"/>
  <c r="Q55" i="31"/>
  <c r="O55" i="31"/>
  <c r="M55" i="31"/>
  <c r="K55" i="31"/>
  <c r="I55" i="31"/>
  <c r="G55" i="31"/>
  <c r="E55" i="31"/>
  <c r="C55" i="31"/>
  <c r="Y54" i="31"/>
  <c r="X54" i="31"/>
  <c r="V54" i="31"/>
  <c r="U54" i="31"/>
  <c r="R54" i="31"/>
  <c r="T54" i="31"/>
  <c r="S54" i="31"/>
  <c r="Q54" i="31"/>
  <c r="O54" i="31"/>
  <c r="M54" i="31"/>
  <c r="K54" i="31"/>
  <c r="I54" i="31"/>
  <c r="G54" i="31"/>
  <c r="E54" i="31"/>
  <c r="C54" i="31"/>
  <c r="Y53" i="31"/>
  <c r="X53" i="31"/>
  <c r="V53" i="31"/>
  <c r="U53" i="31"/>
  <c r="R53" i="31"/>
  <c r="T53" i="31"/>
  <c r="S53" i="31"/>
  <c r="Q53" i="31"/>
  <c r="O53" i="31"/>
  <c r="M53" i="31"/>
  <c r="K53" i="31"/>
  <c r="I53" i="31"/>
  <c r="G53" i="31"/>
  <c r="E53" i="31"/>
  <c r="C53" i="31"/>
  <c r="Y52" i="31"/>
  <c r="X52" i="31"/>
  <c r="V52" i="31"/>
  <c r="U52" i="31"/>
  <c r="R52" i="31"/>
  <c r="T52" i="31"/>
  <c r="S52" i="31"/>
  <c r="Q52" i="31"/>
  <c r="O52" i="31"/>
  <c r="M52" i="31"/>
  <c r="K52" i="31"/>
  <c r="I52" i="31"/>
  <c r="G52" i="31"/>
  <c r="E52" i="31"/>
  <c r="C52" i="31"/>
  <c r="Y51" i="31"/>
  <c r="X51" i="31"/>
  <c r="V51" i="31"/>
  <c r="U51" i="31"/>
  <c r="R51" i="31"/>
  <c r="T51" i="31"/>
  <c r="S51" i="31"/>
  <c r="Q51" i="31"/>
  <c r="O51" i="31"/>
  <c r="M51" i="31"/>
  <c r="K51" i="31"/>
  <c r="I51" i="31"/>
  <c r="G51" i="31"/>
  <c r="E51" i="31"/>
  <c r="C51" i="31"/>
  <c r="Y50" i="31"/>
  <c r="X50" i="31"/>
  <c r="V50" i="31"/>
  <c r="U50" i="31"/>
  <c r="R50" i="31"/>
  <c r="T50" i="31"/>
  <c r="S50" i="31"/>
  <c r="Q50" i="31"/>
  <c r="O50" i="31"/>
  <c r="M50" i="31"/>
  <c r="K50" i="31"/>
  <c r="I50" i="31"/>
  <c r="G50" i="31"/>
  <c r="E50" i="31"/>
  <c r="C50" i="31"/>
  <c r="Y49" i="31"/>
  <c r="X49" i="31"/>
  <c r="V49" i="31"/>
  <c r="U49" i="31"/>
  <c r="R49" i="31"/>
  <c r="T49" i="31"/>
  <c r="S49" i="31"/>
  <c r="Q49" i="31"/>
  <c r="O49" i="31"/>
  <c r="M49" i="31"/>
  <c r="K49" i="31"/>
  <c r="I49" i="31"/>
  <c r="G49" i="31"/>
  <c r="E49" i="31"/>
  <c r="C49" i="31"/>
  <c r="Y48" i="31"/>
  <c r="X48" i="31"/>
  <c r="V48" i="31"/>
  <c r="U48" i="31"/>
  <c r="R48" i="31"/>
  <c r="T48" i="31"/>
  <c r="S48" i="31"/>
  <c r="Q48" i="31"/>
  <c r="O48" i="31"/>
  <c r="M48" i="31"/>
  <c r="K48" i="31"/>
  <c r="I48" i="31"/>
  <c r="G48" i="31"/>
  <c r="E48" i="31"/>
  <c r="C48" i="31"/>
  <c r="Y47" i="31"/>
  <c r="X47" i="31"/>
  <c r="V47" i="31"/>
  <c r="U47" i="31"/>
  <c r="R47" i="31"/>
  <c r="T47" i="31"/>
  <c r="S47" i="31"/>
  <c r="Q47" i="31"/>
  <c r="O47" i="31"/>
  <c r="M47" i="31"/>
  <c r="K47" i="31"/>
  <c r="I47" i="31"/>
  <c r="G47" i="31"/>
  <c r="E47" i="31"/>
  <c r="C47" i="31"/>
  <c r="Y46" i="31"/>
  <c r="X46" i="31"/>
  <c r="V46" i="31"/>
  <c r="U46" i="31"/>
  <c r="R46" i="31"/>
  <c r="T46" i="31"/>
  <c r="S46" i="31"/>
  <c r="Q46" i="31"/>
  <c r="O46" i="31"/>
  <c r="M46" i="31"/>
  <c r="K46" i="31"/>
  <c r="I46" i="31"/>
  <c r="G46" i="31"/>
  <c r="E46" i="31"/>
  <c r="C46" i="31"/>
  <c r="Y45" i="31"/>
  <c r="X45" i="31"/>
  <c r="V45" i="31"/>
  <c r="U45" i="31"/>
  <c r="R45" i="31"/>
  <c r="T45" i="31"/>
  <c r="S45" i="31"/>
  <c r="Q45" i="31"/>
  <c r="O45" i="31"/>
  <c r="M45" i="31"/>
  <c r="K45" i="31"/>
  <c r="I45" i="31"/>
  <c r="G45" i="31"/>
  <c r="E45" i="31"/>
  <c r="C45" i="31"/>
  <c r="Y44" i="31"/>
  <c r="X44" i="31"/>
  <c r="V44" i="31"/>
  <c r="U44" i="31"/>
  <c r="R44" i="31"/>
  <c r="T44" i="31"/>
  <c r="S44" i="31"/>
  <c r="Q44" i="31"/>
  <c r="O44" i="31"/>
  <c r="M44" i="31"/>
  <c r="K44" i="31"/>
  <c r="I44" i="31"/>
  <c r="G44" i="31"/>
  <c r="E44" i="31"/>
  <c r="C44" i="31"/>
  <c r="Y43" i="31"/>
  <c r="X43" i="31"/>
  <c r="V43" i="31"/>
  <c r="U43" i="31"/>
  <c r="R43" i="31"/>
  <c r="T43" i="31"/>
  <c r="S43" i="31"/>
  <c r="Q43" i="31"/>
  <c r="O43" i="31"/>
  <c r="M43" i="31"/>
  <c r="K43" i="31"/>
  <c r="I43" i="31"/>
  <c r="G43" i="31"/>
  <c r="E43" i="31"/>
  <c r="C43" i="31"/>
  <c r="Y42" i="31"/>
  <c r="X42" i="31"/>
  <c r="V42" i="31"/>
  <c r="U42" i="31"/>
  <c r="R42" i="31"/>
  <c r="T42" i="31"/>
  <c r="S42" i="31"/>
  <c r="Q42" i="31"/>
  <c r="O42" i="31"/>
  <c r="M42" i="31"/>
  <c r="K42" i="31"/>
  <c r="I42" i="31"/>
  <c r="G42" i="31"/>
  <c r="E42" i="31"/>
  <c r="C42" i="31"/>
  <c r="Y41" i="31"/>
  <c r="X41" i="31"/>
  <c r="V41" i="31"/>
  <c r="U41" i="31"/>
  <c r="R41" i="31"/>
  <c r="T41" i="31"/>
  <c r="S41" i="31"/>
  <c r="Q41" i="31"/>
  <c r="O41" i="31"/>
  <c r="M41" i="31"/>
  <c r="K41" i="31"/>
  <c r="I41" i="31"/>
  <c r="G41" i="31"/>
  <c r="E41" i="31"/>
  <c r="C41" i="31"/>
  <c r="Y40" i="31"/>
  <c r="X40" i="31"/>
  <c r="V40" i="31"/>
  <c r="U40" i="31"/>
  <c r="R40" i="31"/>
  <c r="T40" i="31"/>
  <c r="S40" i="31"/>
  <c r="Q40" i="31"/>
  <c r="O40" i="31"/>
  <c r="M40" i="31"/>
  <c r="K40" i="31"/>
  <c r="I40" i="31"/>
  <c r="G40" i="31"/>
  <c r="E40" i="31"/>
  <c r="C40" i="31"/>
  <c r="Y39" i="31"/>
  <c r="X39" i="31"/>
  <c r="V39" i="31"/>
  <c r="U39" i="31"/>
  <c r="R39" i="31"/>
  <c r="T39" i="31"/>
  <c r="S39" i="31"/>
  <c r="Q39" i="31"/>
  <c r="O39" i="31"/>
  <c r="M39" i="31"/>
  <c r="K39" i="31"/>
  <c r="I39" i="31"/>
  <c r="G39" i="31"/>
  <c r="E39" i="31"/>
  <c r="C39" i="31"/>
  <c r="Y38" i="31"/>
  <c r="X38" i="31"/>
  <c r="V38" i="31"/>
  <c r="U38" i="31"/>
  <c r="R38" i="31"/>
  <c r="T38" i="31"/>
  <c r="S38" i="31"/>
  <c r="Q38" i="31"/>
  <c r="O38" i="31"/>
  <c r="M38" i="31"/>
  <c r="K38" i="31"/>
  <c r="I38" i="31"/>
  <c r="G38" i="31"/>
  <c r="E38" i="31"/>
  <c r="C38" i="31"/>
  <c r="J61" i="15"/>
  <c r="L47" i="15"/>
  <c r="S37" i="31"/>
  <c r="S36" i="31"/>
  <c r="S35" i="31"/>
  <c r="S34" i="31"/>
  <c r="S33" i="31"/>
  <c r="S32" i="31"/>
  <c r="S31" i="31"/>
  <c r="S30" i="31"/>
  <c r="S29" i="31"/>
  <c r="S28" i="31"/>
  <c r="S27" i="31"/>
  <c r="B27" i="31"/>
  <c r="P26" i="31"/>
  <c r="N26" i="31"/>
  <c r="L26" i="31"/>
  <c r="J26" i="31"/>
  <c r="H26" i="31"/>
  <c r="F26" i="31"/>
  <c r="D26" i="31"/>
  <c r="T25" i="31"/>
  <c r="S25" i="31"/>
  <c r="R25" i="31"/>
  <c r="B24" i="31"/>
  <c r="I23" i="31"/>
  <c r="H23" i="31"/>
  <c r="C23" i="31"/>
  <c r="B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B3" i="31"/>
  <c r="C2" i="31"/>
  <c r="B2" i="31"/>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G60" i="34"/>
  <c r="F60" i="34"/>
  <c r="E60" i="34"/>
  <c r="D60"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I49" i="34"/>
  <c r="G49" i="34"/>
  <c r="E49" i="34"/>
  <c r="C49" i="34"/>
  <c r="V48" i="34"/>
  <c r="T48" i="34"/>
  <c r="R48" i="34"/>
  <c r="P48" i="34"/>
  <c r="I48" i="34"/>
  <c r="G48" i="34"/>
  <c r="E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G7" i="34"/>
  <c r="F7" i="34"/>
  <c r="C7" i="34"/>
  <c r="D3" i="34"/>
  <c r="F2" i="34"/>
  <c r="E2" i="34"/>
  <c r="C2" i="34"/>
  <c r="B2" i="34"/>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M11" i="15"/>
  <c r="J10" i="15"/>
  <c r="M7" i="15"/>
  <c r="J6" i="15"/>
  <c r="J5" i="15"/>
  <c r="J26" i="15"/>
  <c r="J29" i="15"/>
  <c r="Q63" i="15"/>
  <c r="L61" i="15"/>
  <c r="Q64" i="15"/>
  <c r="Q73" i="15"/>
  <c r="P73" i="15"/>
  <c r="Q72" i="15"/>
  <c r="P72" i="15"/>
  <c r="F72" i="15"/>
  <c r="C54" i="15"/>
  <c r="F51" i="15"/>
  <c r="C50" i="15"/>
  <c r="C49" i="15"/>
  <c r="C61" i="15"/>
  <c r="C58" i="15"/>
  <c r="C62" i="15"/>
  <c r="C60" i="15"/>
  <c r="C65" i="15"/>
  <c r="C57" i="15"/>
  <c r="C66" i="15"/>
  <c r="C67" i="15"/>
  <c r="C59" i="15"/>
  <c r="C68" i="15"/>
  <c r="C69" i="15"/>
  <c r="C72" i="15"/>
  <c r="Q71" i="15"/>
  <c r="Q70" i="15"/>
  <c r="F70" i="15"/>
  <c r="Q69" i="15"/>
  <c r="F69" i="15"/>
  <c r="Q68" i="15"/>
  <c r="Q67" i="15"/>
  <c r="F67" i="15"/>
  <c r="Q66" i="15"/>
  <c r="F66" i="15"/>
  <c r="L52" i="15"/>
  <c r="Q65" i="15"/>
  <c r="F65" i="15"/>
  <c r="F64" i="15"/>
  <c r="F63" i="15"/>
  <c r="C63" i="15"/>
  <c r="F62" i="15"/>
  <c r="F61" i="15"/>
  <c r="Q54" i="15"/>
  <c r="Q55" i="15"/>
  <c r="Q60" i="15"/>
  <c r="P60" i="15"/>
  <c r="N60" i="15"/>
  <c r="M60" i="15"/>
  <c r="L60" i="15"/>
  <c r="K60" i="15"/>
  <c r="J60" i="15"/>
  <c r="F60" i="15"/>
  <c r="Q59" i="15"/>
  <c r="P59" i="15"/>
  <c r="L59" i="15"/>
  <c r="J59" i="15"/>
  <c r="Q58" i="15"/>
  <c r="L58" i="15"/>
  <c r="J58" i="15"/>
  <c r="Q57" i="15"/>
  <c r="L57" i="15"/>
  <c r="Q56" i="15"/>
  <c r="J56" i="15"/>
  <c r="I55" i="15"/>
  <c r="J54" i="15"/>
  <c r="J52" i="15"/>
  <c r="F52" i="15"/>
  <c r="Q45" i="15"/>
  <c r="Q46" i="15"/>
  <c r="Q51" i="15"/>
  <c r="P51" i="15"/>
  <c r="J51" i="15"/>
  <c r="Q50" i="15"/>
  <c r="J50" i="15"/>
  <c r="Q49" i="15"/>
  <c r="L49" i="15"/>
  <c r="Q48" i="15"/>
  <c r="M48" i="15"/>
  <c r="L48" i="15"/>
  <c r="Q47" i="15"/>
  <c r="D47" i="15"/>
  <c r="C47" i="15"/>
  <c r="C43" i="15"/>
  <c r="J41" i="15"/>
  <c r="J42" i="15"/>
  <c r="F42" i="15"/>
  <c r="F41" i="15"/>
  <c r="F40" i="15"/>
  <c r="J39" i="15"/>
  <c r="F38" i="15"/>
  <c r="F37" i="15"/>
  <c r="F36" i="15"/>
  <c r="J35" i="15"/>
  <c r="F35" i="15"/>
  <c r="F34" i="15"/>
  <c r="C34" i="15"/>
  <c r="F33" i="15"/>
  <c r="F32" i="15"/>
  <c r="F31" i="15"/>
  <c r="M29" i="15"/>
  <c r="M28" i="15"/>
  <c r="F28" i="15"/>
  <c r="C28" i="15"/>
  <c r="M27" i="15"/>
  <c r="C27" i="15"/>
  <c r="M26" i="15"/>
  <c r="F26" i="15"/>
  <c r="J18" i="15"/>
  <c r="J19" i="15"/>
  <c r="J17" i="15"/>
  <c r="J14" i="15"/>
  <c r="J22" i="15"/>
  <c r="J13" i="15"/>
  <c r="J23" i="15"/>
  <c r="J24" i="15"/>
  <c r="J16" i="15"/>
  <c r="J25" i="15"/>
  <c r="M24" i="15"/>
  <c r="D24" i="15"/>
  <c r="M23" i="15"/>
  <c r="F23" i="15"/>
  <c r="D23" i="15"/>
  <c r="M22" i="15"/>
  <c r="D22" i="15"/>
  <c r="M21" i="15"/>
  <c r="F21" i="15"/>
  <c r="C21" i="15"/>
  <c r="M20" i="15"/>
  <c r="J20" i="15"/>
  <c r="F20" i="15"/>
  <c r="M19" i="15"/>
  <c r="M18" i="15"/>
  <c r="F18" i="15"/>
  <c r="M17" i="15"/>
  <c r="F17" i="15"/>
  <c r="F16" i="15"/>
  <c r="J15" i="15"/>
  <c r="F15" i="15"/>
  <c r="F13" i="15"/>
  <c r="M9" i="15"/>
  <c r="F9" i="15"/>
  <c r="M8" i="15"/>
  <c r="F8" i="15"/>
  <c r="M6" i="15"/>
  <c r="F6" i="15"/>
  <c r="C2" i="15"/>
  <c r="B2" i="15"/>
  <c r="G1" i="15"/>
  <c r="F25" i="12"/>
  <c r="C11" i="12"/>
  <c r="C12" i="12"/>
  <c r="C13" i="12"/>
  <c r="D14" i="12"/>
  <c r="C14" i="12"/>
  <c r="C15" i="12"/>
  <c r="C16" i="12"/>
  <c r="D17" i="12"/>
  <c r="C17" i="12"/>
  <c r="D19" i="12"/>
  <c r="C19" i="12"/>
  <c r="D20" i="12"/>
  <c r="C20" i="12"/>
  <c r="C18" i="12"/>
  <c r="C21" i="12"/>
  <c r="C22" i="12"/>
  <c r="C7" i="12"/>
  <c r="C8" i="12"/>
  <c r="C4" i="12"/>
  <c r="C23" i="12"/>
  <c r="C27" i="12"/>
  <c r="C25" i="12"/>
  <c r="C26" i="12"/>
  <c r="D25" i="12"/>
  <c r="C30" i="12"/>
  <c r="C28" i="12"/>
  <c r="C31" i="12"/>
  <c r="C32" i="12"/>
  <c r="F31" i="12"/>
  <c r="C29" i="12"/>
  <c r="F28" i="12"/>
  <c r="D28" i="12"/>
  <c r="F24" i="12"/>
  <c r="C24" i="12"/>
  <c r="F23" i="12"/>
  <c r="F22" i="12"/>
  <c r="E20" i="12"/>
  <c r="E19" i="12"/>
  <c r="E17" i="12"/>
  <c r="F15" i="12"/>
  <c r="E14" i="12"/>
  <c r="F13" i="12"/>
  <c r="F12" i="12"/>
  <c r="F11" i="12"/>
  <c r="B3" i="12"/>
  <c r="C2" i="12"/>
  <c r="B2" i="12"/>
  <c r="F22" i="11"/>
  <c r="E18" i="1"/>
  <c r="C34" i="11"/>
  <c r="C35" i="11"/>
  <c r="C36" i="11"/>
  <c r="D37" i="11"/>
  <c r="C37" i="11"/>
  <c r="C38" i="11"/>
  <c r="C33" i="11"/>
  <c r="C42" i="11"/>
  <c r="C39" i="11"/>
  <c r="C43" i="11"/>
  <c r="C41" i="11"/>
  <c r="C44" i="11"/>
  <c r="D41" i="11"/>
  <c r="C46" i="11"/>
  <c r="C45" i="11"/>
  <c r="C49" i="11"/>
  <c r="C51" i="11"/>
  <c r="C23" i="11"/>
  <c r="D19" i="11"/>
  <c r="C19" i="11"/>
  <c r="C24" i="11"/>
  <c r="C20" i="11"/>
  <c r="C25" i="11"/>
  <c r="C22" i="11"/>
  <c r="C26" i="11"/>
  <c r="D22" i="11"/>
  <c r="C28" i="11"/>
  <c r="C27" i="11"/>
  <c r="C31" i="11"/>
  <c r="C52" i="11"/>
  <c r="C56" i="11"/>
  <c r="C57" i="11"/>
  <c r="F50" i="11"/>
  <c r="C48" i="11"/>
  <c r="C47" i="11"/>
  <c r="D45" i="11"/>
  <c r="G41" i="11"/>
  <c r="C40" i="11"/>
  <c r="F38" i="11"/>
  <c r="E37" i="11"/>
  <c r="F36" i="11"/>
  <c r="F35" i="11"/>
  <c r="F34" i="11"/>
  <c r="F30" i="11"/>
  <c r="C30" i="11"/>
  <c r="C29" i="11"/>
  <c r="F27" i="11"/>
  <c r="D27" i="11"/>
  <c r="G22" i="11"/>
  <c r="F21" i="11"/>
  <c r="C21" i="11"/>
  <c r="F20" i="11"/>
  <c r="E19" i="11"/>
  <c r="E10" i="11"/>
  <c r="D10" i="11"/>
  <c r="C10" i="11"/>
  <c r="E9" i="11"/>
  <c r="D9" i="11"/>
  <c r="C9" i="11"/>
  <c r="C8" i="11"/>
  <c r="F7" i="11"/>
  <c r="C7" i="11"/>
  <c r="C5" i="11"/>
  <c r="B3" i="11"/>
  <c r="F2" i="11"/>
  <c r="E2" i="11"/>
  <c r="C2" i="11"/>
  <c r="B2" i="11"/>
  <c r="A135" i="57"/>
  <c r="A134" i="57"/>
  <c r="D133" i="57"/>
  <c r="I115" i="57"/>
  <c r="D132" i="57"/>
  <c r="A132" i="57"/>
  <c r="D118" i="57"/>
  <c r="I114" i="57"/>
  <c r="D131" i="57"/>
  <c r="I113" i="57"/>
  <c r="D130" i="57"/>
  <c r="A130" i="57"/>
  <c r="C33" i="57"/>
  <c r="H124" i="57"/>
  <c r="D109" i="57"/>
  <c r="D115" i="57"/>
  <c r="C34" i="57"/>
  <c r="I124" i="57"/>
  <c r="D110" i="57"/>
  <c r="D116" i="57"/>
  <c r="I112" i="57"/>
  <c r="D129" i="57"/>
  <c r="I103" i="57"/>
  <c r="I111" i="57"/>
  <c r="D128" i="57"/>
  <c r="A128" i="57"/>
  <c r="D127" i="57"/>
  <c r="D126" i="57"/>
  <c r="A126" i="57"/>
  <c r="H125" i="57"/>
  <c r="B124" i="57"/>
  <c r="A124" i="57"/>
  <c r="D119" i="57"/>
  <c r="D120" i="57"/>
  <c r="C119" i="57"/>
  <c r="A119" i="57"/>
  <c r="F118" i="57"/>
  <c r="D117" i="57"/>
  <c r="C117" i="57"/>
  <c r="A117" i="57"/>
  <c r="I116" i="57"/>
  <c r="H115" i="57"/>
  <c r="F115" i="57"/>
  <c r="C115" i="57"/>
  <c r="A115" i="57"/>
  <c r="D114" i="57"/>
  <c r="C114" i="57"/>
  <c r="H113" i="57"/>
  <c r="F113" i="57"/>
  <c r="D113" i="57"/>
  <c r="C113" i="57"/>
  <c r="D112" i="57"/>
  <c r="C112" i="57"/>
  <c r="H111" i="57"/>
  <c r="F111" i="57"/>
  <c r="D111" i="57"/>
  <c r="C111" i="57"/>
  <c r="I109" i="57"/>
  <c r="H109" i="57"/>
  <c r="C109" i="57"/>
  <c r="I108" i="57"/>
  <c r="H108" i="57"/>
  <c r="K107" i="57"/>
  <c r="I107" i="57"/>
  <c r="H107" i="57"/>
  <c r="C107" i="57"/>
  <c r="I106" i="57"/>
  <c r="H106" i="57"/>
  <c r="C106" i="57"/>
  <c r="B106" i="57"/>
  <c r="C19" i="57"/>
  <c r="D19" i="57"/>
  <c r="G19" i="57"/>
  <c r="C105" i="57"/>
  <c r="I104" i="57"/>
  <c r="C104" i="57"/>
  <c r="B104" i="57"/>
  <c r="H103" i="57"/>
  <c r="D20" i="57"/>
  <c r="D103" i="57"/>
  <c r="C20" i="57"/>
  <c r="C103" i="57"/>
  <c r="H102" i="57"/>
  <c r="D102" i="57"/>
  <c r="C102" i="57"/>
  <c r="B102" i="57"/>
  <c r="D101" i="57"/>
  <c r="C101" i="57"/>
  <c r="D46" i="57"/>
  <c r="C86" i="57"/>
  <c r="C94" i="57"/>
  <c r="C92" i="57"/>
  <c r="C93" i="57"/>
  <c r="C95" i="57"/>
  <c r="C87" i="57"/>
  <c r="C96" i="57"/>
  <c r="C97" i="57"/>
  <c r="E97" i="57"/>
  <c r="E98" i="57"/>
  <c r="C98" i="57"/>
  <c r="D94" i="57"/>
  <c r="E91" i="57"/>
  <c r="D90" i="57"/>
  <c r="C90" i="57"/>
  <c r="C88" i="57"/>
  <c r="C73" i="57"/>
  <c r="C79" i="57"/>
  <c r="C74" i="57"/>
  <c r="C80" i="57"/>
  <c r="C81" i="57"/>
  <c r="E81" i="57"/>
  <c r="E82" i="57"/>
  <c r="C82" i="57"/>
  <c r="D79" i="57"/>
  <c r="H78" i="57"/>
  <c r="D78" i="57"/>
  <c r="C78" i="57"/>
  <c r="C77" i="57"/>
  <c r="C75" i="57"/>
  <c r="M50" i="57"/>
  <c r="L64" i="57"/>
  <c r="M64" i="57"/>
  <c r="L65" i="57"/>
  <c r="M65" i="57"/>
  <c r="L66" i="57"/>
  <c r="M66" i="57"/>
  <c r="L67" i="57"/>
  <c r="M67" i="57"/>
  <c r="L68" i="57"/>
  <c r="M68" i="57"/>
  <c r="L69" i="57"/>
  <c r="M69" i="57"/>
  <c r="M70" i="57"/>
  <c r="N70" i="57"/>
  <c r="D69" i="57"/>
  <c r="C65" i="57"/>
  <c r="C64" i="57"/>
  <c r="C68" i="57"/>
  <c r="C69" i="57"/>
  <c r="D54" i="57"/>
  <c r="D49" i="57"/>
  <c r="M53" i="57"/>
  <c r="D56" i="57"/>
  <c r="M54" i="57"/>
  <c r="D59" i="57"/>
  <c r="D57" i="57"/>
  <c r="M55" i="57"/>
  <c r="D60" i="57"/>
  <c r="M56" i="57"/>
  <c r="M57" i="57"/>
  <c r="N58" i="57"/>
  <c r="N60" i="57"/>
  <c r="N62" i="57"/>
  <c r="J62" i="57"/>
  <c r="N61" i="57"/>
  <c r="J60" i="57"/>
  <c r="F60" i="57"/>
  <c r="E60" i="57"/>
  <c r="N59" i="57"/>
  <c r="P58" i="57"/>
  <c r="J58" i="57"/>
  <c r="N57" i="57"/>
  <c r="K57" i="57"/>
  <c r="J57" i="57"/>
  <c r="F57" i="57"/>
  <c r="O56" i="57"/>
  <c r="N56" i="57"/>
  <c r="K56" i="57"/>
  <c r="J56" i="57"/>
  <c r="I56" i="57"/>
  <c r="F56" i="57"/>
  <c r="O55" i="57"/>
  <c r="N55" i="57"/>
  <c r="F55" i="57"/>
  <c r="D55" i="57"/>
  <c r="O54" i="57"/>
  <c r="N54" i="57"/>
  <c r="F54" i="57"/>
  <c r="O53" i="57"/>
  <c r="N53" i="57"/>
  <c r="F53" i="57"/>
  <c r="D53" i="57"/>
  <c r="K50" i="57"/>
  <c r="M49" i="57"/>
  <c r="F49" i="57"/>
  <c r="E49" i="57"/>
  <c r="M48" i="57"/>
  <c r="D36" i="57"/>
  <c r="D35" i="57"/>
  <c r="D33" i="57"/>
  <c r="C32" i="57"/>
  <c r="D29" i="57"/>
  <c r="D28" i="57"/>
  <c r="D27" i="57"/>
  <c r="C25" i="57"/>
  <c r="C24" i="57"/>
  <c r="D22" i="57"/>
  <c r="G20" i="57"/>
  <c r="H19" i="57"/>
  <c r="D18" i="57"/>
  <c r="C18" i="57"/>
  <c r="D17" i="57"/>
  <c r="C17" i="57"/>
  <c r="L4" i="57"/>
  <c r="K4" i="57"/>
  <c r="A132" i="9"/>
  <c r="A131" i="9"/>
  <c r="D130" i="9"/>
  <c r="I114" i="9"/>
  <c r="D129" i="9"/>
  <c r="A129" i="9"/>
  <c r="D115" i="9"/>
  <c r="I113" i="9"/>
  <c r="D128" i="9"/>
  <c r="I112" i="9"/>
  <c r="D127" i="9"/>
  <c r="A127" i="9"/>
  <c r="C19" i="9"/>
  <c r="D19" i="9"/>
  <c r="G19" i="9"/>
  <c r="C32" i="9"/>
  <c r="H121" i="9"/>
  <c r="D106" i="9"/>
  <c r="D112" i="9"/>
  <c r="B121" i="9"/>
  <c r="I121" i="9"/>
  <c r="D107" i="9"/>
  <c r="D113" i="9"/>
  <c r="I111" i="9"/>
  <c r="D126" i="9"/>
  <c r="I102" i="9"/>
  <c r="I110" i="9"/>
  <c r="D125" i="9"/>
  <c r="A125" i="9"/>
  <c r="D124" i="9"/>
  <c r="D123" i="9"/>
  <c r="A123" i="9"/>
  <c r="H122" i="9"/>
  <c r="D35" i="9"/>
  <c r="C35" i="9"/>
  <c r="F121" i="9"/>
  <c r="F122" i="9"/>
  <c r="C34" i="9"/>
  <c r="D121" i="9"/>
  <c r="D122" i="9"/>
  <c r="G121" i="9"/>
  <c r="E121" i="9"/>
  <c r="C121" i="9"/>
  <c r="A121" i="9"/>
  <c r="F117" i="9"/>
  <c r="D116" i="9"/>
  <c r="D117" i="9"/>
  <c r="C116" i="9"/>
  <c r="A116" i="9"/>
  <c r="I115" i="9"/>
  <c r="H114" i="9"/>
  <c r="F114" i="9"/>
  <c r="D114" i="9"/>
  <c r="C114" i="9"/>
  <c r="A114" i="9"/>
  <c r="H112" i="9"/>
  <c r="F112" i="9"/>
  <c r="C112" i="9"/>
  <c r="A112" i="9"/>
  <c r="D111" i="9"/>
  <c r="C111" i="9"/>
  <c r="H110" i="9"/>
  <c r="F110" i="9"/>
  <c r="D110" i="9"/>
  <c r="C110" i="9"/>
  <c r="D109" i="9"/>
  <c r="C109" i="9"/>
  <c r="I108" i="9"/>
  <c r="H108" i="9"/>
  <c r="D108" i="9"/>
  <c r="C108" i="9"/>
  <c r="I107" i="9"/>
  <c r="H107" i="9"/>
  <c r="K106" i="9"/>
  <c r="I106" i="9"/>
  <c r="H106" i="9"/>
  <c r="C106" i="9"/>
  <c r="I105" i="9"/>
  <c r="H105" i="9"/>
  <c r="C104" i="9"/>
  <c r="I103" i="9"/>
  <c r="C103" i="9"/>
  <c r="B103" i="9"/>
  <c r="H102" i="9"/>
  <c r="D102" i="9"/>
  <c r="C102" i="9"/>
  <c r="H101" i="9"/>
  <c r="F101" i="9"/>
  <c r="D101" i="9"/>
  <c r="C101" i="9"/>
  <c r="B101" i="9"/>
  <c r="D100" i="9"/>
  <c r="C100" i="9"/>
  <c r="D45" i="9"/>
  <c r="C85" i="9"/>
  <c r="C93" i="9"/>
  <c r="C91" i="9"/>
  <c r="C92" i="9"/>
  <c r="C94" i="9"/>
  <c r="C86" i="9"/>
  <c r="C95" i="9"/>
  <c r="C96" i="9"/>
  <c r="E96" i="9"/>
  <c r="E97" i="9"/>
  <c r="C97" i="9"/>
  <c r="D93" i="9"/>
  <c r="E90" i="9"/>
  <c r="D89" i="9"/>
  <c r="C89" i="9"/>
  <c r="C87" i="9"/>
  <c r="C72" i="9"/>
  <c r="C78" i="9"/>
  <c r="C73" i="9"/>
  <c r="C79" i="9"/>
  <c r="C80" i="9"/>
  <c r="E80" i="9"/>
  <c r="E81" i="9"/>
  <c r="C81" i="9"/>
  <c r="D78" i="9"/>
  <c r="H77" i="9"/>
  <c r="D77" i="9"/>
  <c r="C77" i="9"/>
  <c r="C76" i="9"/>
  <c r="C74" i="9"/>
  <c r="M49" i="9"/>
  <c r="L63" i="9"/>
  <c r="M63" i="9"/>
  <c r="L64" i="9"/>
  <c r="M64" i="9"/>
  <c r="L65" i="9"/>
  <c r="M65" i="9"/>
  <c r="L66" i="9"/>
  <c r="M66" i="9"/>
  <c r="L67" i="9"/>
  <c r="M67" i="9"/>
  <c r="L68" i="9"/>
  <c r="M68" i="9"/>
  <c r="M69" i="9"/>
  <c r="N69" i="9"/>
  <c r="D68" i="9"/>
  <c r="C64" i="9"/>
  <c r="C63" i="9"/>
  <c r="C67" i="9"/>
  <c r="C68" i="9"/>
  <c r="D53" i="9"/>
  <c r="D48" i="9"/>
  <c r="M52" i="9"/>
  <c r="D55" i="9"/>
  <c r="M53" i="9"/>
  <c r="D58" i="9"/>
  <c r="D56" i="9"/>
  <c r="M54" i="9"/>
  <c r="D59" i="9"/>
  <c r="M55" i="9"/>
  <c r="M56" i="9"/>
  <c r="N57" i="9"/>
  <c r="N59" i="9"/>
  <c r="N61" i="9"/>
  <c r="J61" i="9"/>
  <c r="N60" i="9"/>
  <c r="J59" i="9"/>
  <c r="F59" i="9"/>
  <c r="E59" i="9"/>
  <c r="N58" i="9"/>
  <c r="P57" i="9"/>
  <c r="J57" i="9"/>
  <c r="N56" i="9"/>
  <c r="K56" i="9"/>
  <c r="J56" i="9"/>
  <c r="F56" i="9"/>
  <c r="O55" i="9"/>
  <c r="N55" i="9"/>
  <c r="K55" i="9"/>
  <c r="J55" i="9"/>
  <c r="I55" i="9"/>
  <c r="F55" i="9"/>
  <c r="O54" i="9"/>
  <c r="N54" i="9"/>
  <c r="F54" i="9"/>
  <c r="D54" i="9"/>
  <c r="O53" i="9"/>
  <c r="N53" i="9"/>
  <c r="F53" i="9"/>
  <c r="O52" i="9"/>
  <c r="N52" i="9"/>
  <c r="F52" i="9"/>
  <c r="D52" i="9"/>
  <c r="K49" i="9"/>
  <c r="M48" i="9"/>
  <c r="F48" i="9"/>
  <c r="E48" i="9"/>
  <c r="M47" i="9"/>
  <c r="M46" i="9"/>
  <c r="D34" i="9"/>
  <c r="F33" i="9"/>
  <c r="D32" i="9"/>
  <c r="B32" i="9"/>
  <c r="D29" i="9"/>
  <c r="D28" i="9"/>
  <c r="D27" i="9"/>
  <c r="C25" i="9"/>
  <c r="C24" i="9"/>
  <c r="D22" i="9"/>
  <c r="H19" i="9"/>
  <c r="D18" i="9"/>
  <c r="C18" i="9"/>
  <c r="D17" i="9"/>
  <c r="C17" i="9"/>
  <c r="L4" i="9"/>
  <c r="K4" i="9"/>
  <c r="A2" i="9"/>
  <c r="F23" i="62"/>
  <c r="E23" i="62"/>
  <c r="F22" i="62"/>
  <c r="E22" i="62"/>
  <c r="F21" i="62"/>
  <c r="E21" i="62"/>
  <c r="F20" i="62"/>
  <c r="E20" i="62"/>
  <c r="F19" i="62"/>
  <c r="E19" i="62"/>
  <c r="F18" i="62"/>
  <c r="E18" i="62"/>
  <c r="F17" i="62"/>
  <c r="E17" i="62"/>
  <c r="F16" i="62"/>
  <c r="E16" i="62"/>
  <c r="F15" i="62"/>
  <c r="E15" i="62"/>
  <c r="I14" i="62"/>
  <c r="H14" i="62"/>
  <c r="G14" i="62"/>
  <c r="D14" i="62"/>
  <c r="F14" i="62"/>
  <c r="B14" i="62"/>
  <c r="E14" i="62"/>
  <c r="C14" i="62"/>
  <c r="B8" i="62"/>
  <c r="D8" i="62"/>
  <c r="B1" i="62"/>
  <c r="C8" i="62"/>
  <c r="B7" i="62"/>
  <c r="D7" i="62"/>
  <c r="C7" i="62"/>
  <c r="B6" i="62"/>
  <c r="D6" i="62"/>
  <c r="C6" i="62"/>
  <c r="B5" i="62"/>
  <c r="D5" i="62"/>
  <c r="C5" i="62"/>
  <c r="B3" i="62"/>
  <c r="B2" i="62"/>
  <c r="C24" i="20"/>
  <c r="C22" i="20"/>
  <c r="C21" i="20"/>
  <c r="G20" i="20"/>
  <c r="C20" i="20"/>
  <c r="G19" i="20"/>
  <c r="G18" i="20"/>
  <c r="C18" i="20"/>
  <c r="C17" i="20"/>
  <c r="G16" i="20"/>
  <c r="C16" i="20"/>
  <c r="G15" i="20"/>
  <c r="C15" i="20"/>
  <c r="E40" i="1"/>
  <c r="B40" i="1"/>
  <c r="A40" i="1"/>
  <c r="A39" i="1"/>
  <c r="A38" i="1"/>
  <c r="A37" i="1"/>
  <c r="A36" i="1"/>
  <c r="A34" i="1"/>
  <c r="B33" i="1"/>
  <c r="E31" i="1"/>
  <c r="F30" i="1"/>
  <c r="E29" i="1"/>
  <c r="A29" i="1"/>
  <c r="B25" i="1"/>
  <c r="B24" i="1"/>
  <c r="B23" i="1"/>
  <c r="H20" i="1"/>
  <c r="E20" i="1"/>
  <c r="D20" i="1"/>
  <c r="F19" i="1"/>
  <c r="E19" i="1"/>
  <c r="D19" i="1"/>
  <c r="F18" i="1"/>
  <c r="D18" i="1"/>
  <c r="E15" i="1"/>
  <c r="B14" i="1"/>
  <c r="B13" i="1"/>
  <c r="B6" i="1"/>
  <c r="B2" i="1"/>
  <c r="E30" i="4"/>
  <c r="F16" i="4"/>
  <c r="J15" i="4"/>
  <c r="J14" i="4"/>
  <c r="J13" i="4"/>
  <c r="G8" i="4"/>
  <c r="C7" i="4"/>
  <c r="I6" i="4"/>
  <c r="I5" i="4"/>
  <c r="B2" i="48"/>
  <c r="B11" i="48"/>
  <c r="E3" i="4"/>
  <c r="B9" i="48"/>
  <c r="C3" i="4"/>
  <c r="I1" i="4"/>
  <c r="B1" i="4"/>
  <c r="C53" i="10"/>
  <c r="C51" i="10"/>
  <c r="B51" i="10"/>
  <c r="H24" i="48"/>
  <c r="D24" i="48"/>
  <c r="H23" i="48"/>
  <c r="D23" i="48"/>
  <c r="F22" i="48"/>
  <c r="H22" i="48"/>
  <c r="B22" i="48"/>
  <c r="D22" i="48"/>
  <c r="F21" i="48"/>
  <c r="H21" i="48"/>
  <c r="D21" i="48"/>
  <c r="F17" i="48"/>
  <c r="F16" i="48"/>
  <c r="H16" i="48"/>
  <c r="B16" i="48"/>
  <c r="D16" i="48"/>
  <c r="F15" i="48"/>
  <c r="H15" i="48"/>
  <c r="B15" i="48"/>
  <c r="D15" i="48"/>
  <c r="F14" i="48"/>
  <c r="H14" i="48"/>
  <c r="B14" i="48"/>
  <c r="D14" i="48"/>
  <c r="F13" i="48"/>
  <c r="H13" i="48"/>
  <c r="B13" i="48"/>
  <c r="D13" i="48"/>
  <c r="F11" i="48"/>
  <c r="H11" i="48"/>
  <c r="D11" i="48"/>
  <c r="F10" i="48"/>
  <c r="H10" i="48"/>
  <c r="B10" i="48"/>
  <c r="D10" i="48"/>
  <c r="F9" i="48"/>
  <c r="H9" i="48"/>
  <c r="D9" i="48"/>
  <c r="F8" i="48"/>
  <c r="H8" i="48"/>
  <c r="B8" i="48"/>
  <c r="D8" i="48"/>
  <c r="F7" i="48"/>
  <c r="H7" i="48"/>
  <c r="B7" i="48"/>
  <c r="D7" i="48"/>
  <c r="F6" i="48"/>
  <c r="H6" i="48"/>
  <c r="B6" i="48"/>
  <c r="D6" i="48"/>
  <c r="F5" i="48"/>
  <c r="H5" i="48"/>
  <c r="B5" i="48"/>
  <c r="D5" i="48"/>
  <c r="F4" i="48"/>
  <c r="H4" i="48"/>
  <c r="B4" i="48"/>
  <c r="D4" i="48"/>
  <c r="A19" i="55"/>
  <c r="A18" i="55"/>
  <c r="A16" i="55"/>
  <c r="A15" i="55"/>
  <c r="A14" i="55"/>
  <c r="A13" i="55"/>
  <c r="B5" i="55"/>
  <c r="A5" i="55"/>
  <c r="B4" i="55"/>
  <c r="A4" i="55"/>
  <c r="A14" i="52"/>
  <c r="D13" i="52"/>
  <c r="D12" i="52"/>
  <c r="A12" i="52"/>
  <c r="D11" i="52"/>
  <c r="D10" i="52"/>
  <c r="A10" i="52"/>
  <c r="D9" i="52"/>
  <c r="D8" i="52"/>
  <c r="A8" i="52"/>
  <c r="D7" i="52"/>
  <c r="D6" i="52"/>
  <c r="A6" i="52"/>
  <c r="H5" i="52"/>
  <c r="I4" i="52"/>
  <c r="H4" i="52"/>
  <c r="C4" i="52"/>
  <c r="B4" i="52"/>
  <c r="A4" i="52"/>
  <c r="D2" i="52"/>
  <c r="A1" i="52"/>
  <c r="B45" i="50"/>
  <c r="D44" i="50"/>
  <c r="D42" i="50"/>
  <c r="D43" i="50"/>
  <c r="C42" i="50"/>
  <c r="B42" i="50"/>
  <c r="D41" i="50"/>
  <c r="D39" i="50"/>
  <c r="D40" i="50"/>
  <c r="C39" i="50"/>
  <c r="B39" i="50"/>
  <c r="D38" i="50"/>
  <c r="D36" i="50"/>
  <c r="D37" i="50"/>
  <c r="C36" i="50"/>
  <c r="B36" i="50"/>
  <c r="D35" i="50"/>
  <c r="C35" i="50"/>
  <c r="D34" i="50"/>
  <c r="C34" i="50"/>
  <c r="D33" i="50"/>
  <c r="C33" i="50"/>
  <c r="D32" i="50"/>
  <c r="D31" i="50"/>
  <c r="B31" i="50"/>
  <c r="D30" i="50"/>
  <c r="D28" i="50"/>
  <c r="D29" i="50"/>
  <c r="D23" i="50"/>
  <c r="D21" i="50"/>
  <c r="D22" i="50"/>
  <c r="C21" i="50"/>
  <c r="B21" i="50"/>
  <c r="D20" i="50"/>
  <c r="D18" i="50"/>
  <c r="D19" i="50"/>
  <c r="C18" i="50"/>
  <c r="B18" i="50"/>
  <c r="D17" i="50"/>
  <c r="D15" i="50"/>
  <c r="D16" i="50"/>
  <c r="C15" i="50"/>
  <c r="B15" i="50"/>
  <c r="D14" i="50"/>
  <c r="C14" i="50"/>
  <c r="D13" i="50"/>
  <c r="C13" i="50"/>
  <c r="D12" i="50"/>
  <c r="C12" i="50"/>
  <c r="D11" i="50"/>
  <c r="D10" i="50"/>
  <c r="C10" i="50"/>
  <c r="B10" i="50"/>
  <c r="D9" i="50"/>
  <c r="D7" i="50"/>
  <c r="D8" i="50"/>
  <c r="C7" i="50"/>
  <c r="C6" i="50"/>
  <c r="B6" i="50"/>
  <c r="A4" i="50"/>
  <c r="A2" i="50"/>
  <c r="A18" i="54"/>
  <c r="A16" i="54"/>
  <c r="A14" i="54"/>
  <c r="A13" i="54"/>
  <c r="A10" i="54"/>
  <c r="A8" i="54"/>
  <c r="A6" i="54"/>
  <c r="A4" i="54"/>
  <c r="A3" i="54"/>
  <c r="B21" i="49"/>
  <c r="B18" i="49"/>
  <c r="B12" i="49"/>
  <c r="B9" i="49"/>
  <c r="B68" i="60"/>
  <c r="B67" i="60"/>
  <c r="B66" i="60"/>
  <c r="B65" i="60"/>
  <c r="B64" i="60"/>
  <c r="B63" i="60"/>
  <c r="B62" i="60"/>
  <c r="B61" i="60"/>
  <c r="B60" i="60"/>
  <c r="B59" i="60"/>
  <c r="B58" i="60"/>
  <c r="B57" i="60"/>
  <c r="B56" i="60"/>
  <c r="B55" i="60"/>
  <c r="B54" i="60"/>
  <c r="B53" i="60"/>
  <c r="B52" i="60"/>
  <c r="B51" i="60"/>
  <c r="B50" i="60"/>
  <c r="B49" i="60"/>
  <c r="B48" i="60"/>
  <c r="B47" i="60"/>
  <c r="B46" i="60"/>
  <c r="B45" i="60"/>
  <c r="B44" i="60"/>
  <c r="B43" i="60"/>
  <c r="B36" i="60"/>
  <c r="B35" i="60"/>
  <c r="B34" i="60"/>
  <c r="B33" i="60"/>
  <c r="B32" i="60"/>
  <c r="B31" i="60"/>
  <c r="B30" i="60"/>
  <c r="B29" i="60"/>
  <c r="B28" i="60"/>
  <c r="B27" i="60"/>
  <c r="B26" i="60"/>
  <c r="B25" i="60"/>
  <c r="B24" i="60"/>
  <c r="B23" i="60"/>
  <c r="B22" i="60"/>
  <c r="B21" i="60"/>
  <c r="B20" i="60"/>
  <c r="B19" i="60"/>
  <c r="B18" i="60"/>
  <c r="B17" i="60"/>
  <c r="B16" i="60"/>
  <c r="B15" i="60"/>
  <c r="B14" i="60"/>
  <c r="B13" i="60"/>
  <c r="B12" i="60"/>
  <c r="B10" i="60"/>
  <c r="B9" i="60"/>
  <c r="B8" i="60"/>
  <c r="B7" i="60"/>
  <c r="B6" i="60"/>
  <c r="B5" i="60"/>
  <c r="B4" i="60"/>
  <c r="B3" i="60"/>
  <c r="B2" i="60"/>
  <c r="V25" i="31"/>
  <c r="C35" i="57"/>
  <c r="D124" i="57"/>
  <c r="D4" i="52"/>
  <c r="B37" i="60"/>
  <c r="E124" i="57"/>
  <c r="E4" i="52"/>
  <c r="B38" i="60"/>
  <c r="D125" i="57"/>
  <c r="D5" i="52"/>
  <c r="B39" i="60"/>
  <c r="Y25" i="31"/>
  <c r="C36" i="57"/>
  <c r="F124" i="57"/>
  <c r="F4" i="52"/>
  <c r="B40" i="60"/>
  <c r="G124" i="57"/>
  <c r="G4" i="52"/>
  <c r="B41" i="60"/>
  <c r="F125" i="57"/>
  <c r="F5" i="52"/>
  <c r="B42" i="60"/>
  <c r="U27" i="31"/>
  <c r="U28" i="31"/>
  <c r="U29" i="31"/>
  <c r="U30" i="31"/>
  <c r="U31" i="31"/>
  <c r="U32" i="31"/>
  <c r="U33" i="31"/>
  <c r="U34" i="31"/>
  <c r="U35" i="31"/>
  <c r="U36" i="31"/>
  <c r="U37" i="31"/>
  <c r="U25" i="31"/>
  <c r="X27" i="31"/>
  <c r="X28" i="31"/>
  <c r="X29" i="31"/>
  <c r="X30" i="31"/>
  <c r="X31" i="31"/>
  <c r="X32" i="31"/>
  <c r="X33" i="31"/>
  <c r="X34" i="31"/>
  <c r="X35" i="31"/>
  <c r="X36" i="31"/>
  <c r="X37" i="31"/>
  <c r="X25" i="3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<sst xmlns="http://schemas.openxmlformats.org/spreadsheetml/2006/main" count="6926" uniqueCount="2386">
  <si>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</si>
  <si>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</si>
  <si>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</si>
  <si>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</si>
  <si>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</si>
  <si>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</si>
  <si>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</si>
  <si>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</si>
  <si>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</si>
  <si>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</si>
  <si>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</si>
  <si>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</si>
  <si>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</si>
  <si>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</si>
  <si>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</si>
  <si>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</si>
  <si>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</si>
  <si>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</si>
  <si>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</si>
  <si>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</si>
  <si>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</si>
  <si>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</si>
  <si>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</si>
  <si>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</si>
  <si>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</si>
  <si>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</si>
  <si>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</si>
  <si>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</si>
  <si>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</si>
  <si>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</si>
  <si>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</si>
  <si>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</si>
  <si>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</si>
  <si>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</si>
  <si>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</si>
  <si>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</si>
  <si>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</si>
  <si>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</si>
  <si>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</si>
  <si>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</si>
  <si>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</si>
  <si>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</si>
  <si>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</si>
  <si>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</si>
  <si>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</si>
  <si>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</si>
  <si>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</si>
  <si>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</si>
  <si>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</si>
  <si>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</si>
  <si>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</si>
  <si>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</si>
  <si>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</si>
  <si>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</si>
  <si>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</si>
  <si>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</si>
  <si>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</si>
  <si>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</si>
  <si>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</si>
  <si>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</si>
  <si>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</si>
  <si>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</si>
  <si>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</si>
  <si>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</si>
  <si>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</si>
  <si>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</si>
  <si>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</si>
  <si>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</si>
  <si>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</si>
  <si>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</si>
  <si>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</si>
  <si>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</si>
  <si>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</si>
  <si>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</si>
  <si>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</si>
  <si>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</si>
  <si>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</si>
  <si>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</si>
  <si>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</si>
  <si>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</si>
  <si>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</si>
  <si>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</si>
  <si>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</si>
  <si>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</si>
  <si>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</si>
  <si>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</si>
  <si>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</si>
  <si>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</si>
  <si>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</si>
  <si>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</si>
  <si>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</si>
  <si>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</si>
  <si>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</si>
  <si>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</si>
  <si>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</si>
  <si>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</si>
  <si>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</si>
  <si>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</si>
  <si>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</si>
  <si>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</si>
  <si>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</si>
  <si>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</si>
  <si>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</si>
  <si>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</si>
  <si>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</si>
  <si>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</si>
  <si>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</si>
  <si>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</si>
  <si>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</si>
  <si>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</si>
  <si>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</si>
  <si>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</si>
  <si>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</si>
  <si>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</si>
  <si>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</si>
  <si>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</si>
  <si>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</si>
  <si>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</si>
  <si>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</si>
  <si>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</si>
  <si>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</si>
  <si>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</si>
  <si>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</si>
  <si>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</si>
  <si>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</si>
  <si>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</si>
  <si>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</si>
  <si>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</si>
  <si>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</si>
  <si>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</si>
  <si>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</si>
  <si>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</si>
  <si>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</si>
  <si>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</si>
  <si>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</si>
  <si>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</si>
  <si>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</si>
  <si>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</si>
  <si>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</si>
  <si>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</si>
  <si>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</si>
  <si>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</si>
  <si>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</si>
  <si>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</si>
  <si>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</si>
  <si>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</si>
  <si>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</si>
  <si>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</si>
  <si>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</si>
  <si>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</si>
  <si>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</si>
  <si>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</si>
  <si>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</si>
  <si>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</si>
  <si>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</si>
  <si>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</si>
  <si>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</si>
  <si>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</si>
  <si>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</si>
  <si>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</si>
  <si>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</si>
  <si>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</si>
  <si>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</si>
  <si>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</si>
  <si>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</si>
  <si>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</si>
  <si>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</si>
  <si>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</si>
  <si>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</si>
  <si>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</si>
  <si>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</si>
  <si>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</si>
  <si>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</si>
  <si>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</si>
  <si>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</si>
  <si>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</si>
  <si>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</si>
  <si>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</si>
  <si>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</si>
  <si>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</si>
  <si>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</si>
  <si>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</si>
  <si>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</si>
  <si>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</si>
  <si>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</si>
  <si>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</si>
  <si>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</si>
  <si>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</si>
  <si>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</si>
  <si>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</si>
  <si>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</si>
  <si>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</si>
  <si>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</si>
  <si>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</si>
  <si>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</si>
  <si>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</si>
  <si>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</si>
  <si>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</si>
  <si>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</si>
  <si>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</si>
  <si>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</si>
  <si>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</si>
  <si>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</si>
  <si>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</si>
  <si>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</si>
  <si>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</si>
  <si>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</si>
  <si>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</si>
  <si>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</si>
  <si>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</si>
  <si>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</si>
  <si>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</si>
  <si>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</si>
  <si>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</si>
  <si>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</si>
  <si>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</si>
  <si>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</si>
  <si>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</si>
  <si>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</si>
  <si>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</si>
  <si>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</si>
  <si>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</si>
  <si>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</si>
  <si>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</si>
  <si>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</si>
  <si>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</si>
  <si>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</si>
  <si>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</si>
  <si>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</si>
  <si>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</si>
  <si>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</si>
  <si>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</si>
  <si>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</si>
  <si>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</si>
  <si>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</si>
  <si>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</si>
  <si>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</si>
  <si>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</si>
  <si>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</si>
  <si>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</si>
  <si>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</si>
  <si>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</si>
  <si>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</si>
  <si>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</si>
  <si>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</si>
  <si>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</si>
  <si>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</si>
  <si>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</si>
  <si>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</si>
  <si>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</si>
  <si>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</si>
  <si>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</si>
  <si>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</si>
  <si>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</si>
  <si>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</si>
  <si>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</si>
  <si>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</si>
  <si>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</si>
  <si>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</si>
  <si>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</si>
  <si>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</si>
  <si>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</si>
  <si>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</si>
  <si>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</si>
  <si>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</si>
  <si>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</si>
  <si>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</si>
  <si>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</si>
  <si>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</si>
  <si>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</si>
  <si>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</si>
  <si>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</si>
  <si>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</si>
  <si>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</si>
  <si>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</si>
  <si>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</si>
  <si>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</si>
  <si>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</si>
  <si>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</si>
  <si>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</si>
  <si>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</si>
  <si>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</si>
  <si>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</si>
  <si>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</si>
  <si>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</si>
  <si>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</si>
  <si>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</si>
  <si>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</si>
  <si>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</si>
  <si>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</si>
  <si>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</si>
  <si>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</si>
  <si>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</si>
  <si>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</si>
  <si>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</si>
  <si>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</si>
  <si>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</si>
  <si>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</si>
  <si>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</si>
  <si>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</si>
  <si>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</si>
  <si>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</si>
  <si>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</si>
  <si>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</si>
  <si>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</si>
  <si>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</si>
  <si>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</si>
  <si>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</si>
  <si>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</si>
  <si>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</si>
  <si>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</si>
  <si>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</si>
  <si>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</si>
  <si>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</si>
  <si>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</si>
  <si>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</si>
  <si>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</si>
  <si>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</si>
  <si>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</si>
  <si>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</si>
  <si>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</si>
  <si>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</si>
  <si>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</si>
  <si>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</si>
  <si>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</si>
  <si>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</si>
  <si>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</si>
  <si>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</si>
  <si>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</si>
  <si>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</si>
  <si>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</si>
  <si>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</si>
  <si>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</si>
  <si>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</si>
  <si>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</si>
  <si>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</si>
  <si>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</si>
  <si>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</si>
  <si>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</si>
  <si>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</si>
  <si>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</si>
  <si>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</si>
  <si>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</si>
  <si>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</si>
  <si>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</si>
  <si>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</si>
  <si>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</si>
  <si>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</si>
  <si>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</si>
  <si>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</si>
  <si>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</si>
  <si>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</si>
  <si>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</si>
  <si>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</si>
  <si>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</si>
  <si>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</si>
  <si>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</si>
  <si>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t>二级</t>
  </si>
  <si>
    <r>
      <rPr>
        <sz val="10"/>
        <color indexed="8"/>
        <rFont val="宋体"/>
        <family val="3"/>
        <charset val="134"/>
      </rPr>
      <t>格局户型</t>
    </r>
  </si>
  <si>
    <r>
      <rPr>
        <sz val="10"/>
        <color indexed="8"/>
        <rFont val="宋体"/>
        <family val="3"/>
        <charset val="134"/>
      </rPr>
      <t>区片编号</t>
    </r>
  </si>
  <si>
    <t>Ⅱ—09</t>
  </si>
  <si>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</si>
  <si>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</si>
  <si>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</si>
  <si>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</si>
  <si>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</si>
  <si>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</si>
  <si>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</si>
  <si>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</si>
  <si>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</si>
  <si>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</si>
  <si>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</si>
  <si>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</si>
  <si>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是</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</si>
  <si>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</si>
  <si>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</si>
  <si>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</si>
  <si>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</si>
  <si>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</si>
  <si>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</si>
  <si>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</si>
  <si>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</si>
  <si>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</si>
  <si>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</si>
  <si>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</si>
  <si>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</si>
  <si>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</si>
  <si>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</si>
  <si>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</si>
  <si>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</si>
  <si>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</si>
  <si>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</si>
  <si>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</si>
  <si>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</si>
  <si>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</si>
  <si>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</si>
  <si>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</si>
  <si>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</si>
  <si>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</si>
  <si>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</si>
  <si>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</si>
  <si>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</si>
  <si>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</si>
  <si>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</si>
  <si>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</si>
  <si>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</si>
  <si>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</si>
  <si>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</si>
  <si>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</si>
  <si>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</si>
  <si>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</si>
  <si>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</si>
  <si>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</si>
  <si>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</si>
  <si>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</si>
  <si>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</si>
  <si>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</si>
  <si>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</si>
  <si>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</si>
  <si>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</si>
  <si>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</si>
  <si>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</si>
  <si>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</si>
  <si>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</si>
  <si>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</si>
  <si>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</si>
  <si>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</si>
  <si>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</si>
  <si>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</si>
  <si>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</si>
  <si>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</si>
  <si>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</si>
  <si>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</si>
  <si>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</si>
  <si>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</si>
  <si>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</si>
  <si>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</si>
  <si>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</si>
  <si>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</si>
  <si>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</si>
  <si>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</si>
  <si>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</si>
  <si>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</si>
  <si>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</si>
  <si>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</si>
  <si>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</si>
  <si>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</si>
  <si>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</si>
  <si>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</si>
  <si>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</si>
  <si>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</si>
  <si>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</si>
  <si>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</si>
  <si>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</si>
  <si>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</si>
  <si>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</si>
  <si>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</si>
  <si>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</si>
  <si>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</si>
  <si>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</si>
  <si>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</si>
  <si>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</si>
  <si>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</si>
  <si>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</si>
  <si>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</si>
  <si>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</si>
  <si>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</si>
  <si>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</si>
  <si>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</si>
  <si>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</si>
  <si>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</si>
  <si>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</si>
  <si>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</si>
  <si>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</si>
  <si>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</si>
  <si>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</si>
  <si>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</si>
  <si>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</si>
  <si>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</si>
  <si>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</si>
  <si>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</si>
  <si>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</si>
  <si>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</si>
  <si>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</si>
  <si>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</si>
  <si>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</si>
  <si>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</si>
  <si>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</si>
  <si>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</si>
  <si>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</si>
  <si>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</si>
  <si>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</si>
  <si>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</si>
  <si>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</si>
  <si>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</si>
  <si>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</si>
  <si>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</si>
  <si>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</si>
  <si>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</si>
  <si>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</si>
  <si>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</si>
  <si>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</si>
  <si>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</si>
  <si>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</si>
  <si>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</si>
  <si>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</si>
  <si>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</si>
  <si>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</si>
  <si>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</si>
  <si>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</si>
  <si>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</si>
  <si>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</si>
  <si>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无租约</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</si>
  <si>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</si>
  <si>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</si>
  <si>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</si>
  <si>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</si>
  <si>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</si>
  <si>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</si>
  <si>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</si>
  <si>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</si>
  <si>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</si>
  <si>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</si>
  <si>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</si>
  <si>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</si>
  <si>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</si>
  <si>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</si>
  <si>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</si>
  <si>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</si>
  <si>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</si>
  <si>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</si>
  <si>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</si>
  <si>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</si>
  <si>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</si>
  <si>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</si>
  <si>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</si>
  <si>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</si>
  <si>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</si>
  <si>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</si>
  <si>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</si>
  <si>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</si>
  <si>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</si>
  <si>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</si>
  <si>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</si>
  <si>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</si>
  <si>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</si>
  <si>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</si>
  <si>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</si>
  <si>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</si>
  <si>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</si>
  <si>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</si>
  <si>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</si>
  <si>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</si>
  <si>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</si>
  <si>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</si>
  <si>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</si>
  <si>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</si>
  <si>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</si>
  <si>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</si>
  <si>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</si>
  <si>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</si>
  <si>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估价对象周边居住用地比例、居住小区规模和社区发展完善程度，综合评价居住社区成熟度一般</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</si>
  <si>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</si>
  <si>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</si>
  <si>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</si>
  <si>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</si>
  <si>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</si>
  <si>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</si>
  <si>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</si>
  <si>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</si>
  <si>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</si>
  <si>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</si>
  <si>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</si>
  <si>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</si>
  <si>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</si>
  <si>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</si>
  <si>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</si>
  <si>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</si>
  <si>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</si>
  <si>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</si>
  <si>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</si>
  <si>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</si>
  <si>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</si>
  <si>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</si>
  <si>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</si>
  <si>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</si>
  <si>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</si>
  <si>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</si>
  <si>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</si>
  <si>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</si>
  <si>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</si>
  <si>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</si>
  <si>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</si>
  <si>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</si>
  <si>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</si>
  <si>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</si>
  <si>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</si>
  <si>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</si>
  <si>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</si>
  <si>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</si>
  <si>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</si>
  <si>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</si>
  <si>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</si>
  <si>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</si>
  <si>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</si>
  <si>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</si>
  <si>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</si>
  <si>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</si>
  <si>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</si>
  <si>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</si>
  <si>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</si>
  <si>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</si>
  <si>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</si>
  <si>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</si>
  <si>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</si>
  <si>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</si>
  <si>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</si>
  <si>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</si>
  <si>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</si>
  <si>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</si>
  <si>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</si>
  <si>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</si>
  <si>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</si>
  <si>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</si>
  <si>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</si>
  <si>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</si>
  <si>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</si>
  <si>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</si>
  <si>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</si>
  <si>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</si>
  <si>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</si>
  <si>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</si>
  <si>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</si>
  <si>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</si>
  <si>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</si>
  <si>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</si>
  <si>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</si>
  <si>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</si>
  <si>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</si>
  <si>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</si>
  <si>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</si>
  <si>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</si>
  <si>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</si>
  <si>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</si>
  <si>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</si>
  <si>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</si>
  <si>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t>收益法收益比率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</si>
  <si>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</si>
  <si>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</si>
  <si>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</si>
  <si>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</si>
  <si>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</si>
  <si>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</si>
  <si>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</si>
  <si>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</si>
  <si>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</si>
  <si>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</si>
  <si>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</si>
  <si>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</si>
  <si>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</si>
  <si>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</si>
  <si>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</si>
  <si>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</si>
  <si>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</si>
  <si>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</si>
  <si>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</si>
  <si>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</si>
  <si>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</si>
  <si>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</si>
  <si>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</si>
  <si>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</si>
  <si>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</si>
  <si>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</si>
  <si>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</si>
  <si>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</si>
  <si>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</si>
  <si>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</si>
  <si>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</si>
  <si>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</si>
  <si>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</si>
  <si>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</si>
  <si>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</si>
  <si>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</si>
  <si>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</si>
  <si>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</si>
  <si>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</si>
  <si>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</si>
  <si>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</si>
  <si>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</si>
  <si>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</si>
  <si>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</si>
  <si>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</si>
  <si>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</si>
  <si>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</si>
  <si>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</si>
  <si>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</si>
  <si>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</si>
  <si>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</si>
  <si>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</si>
  <si>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</si>
  <si>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</si>
  <si>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</si>
  <si>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</si>
  <si>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</si>
  <si>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</si>
  <si>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</si>
  <si>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</si>
  <si>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</si>
  <si>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</si>
  <si>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</si>
  <si>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</si>
  <si>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</si>
  <si>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</si>
  <si>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</si>
  <si>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</si>
  <si>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</si>
  <si>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</si>
  <si>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</si>
  <si>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</si>
  <si>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</si>
  <si>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</si>
  <si>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</si>
  <si>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</si>
  <si>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</si>
  <si>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</si>
  <si>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</si>
  <si>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</si>
  <si>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</si>
  <si>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</si>
  <si>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</si>
  <si>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</si>
  <si>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</si>
  <si>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</si>
  <si>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</si>
  <si>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</si>
  <si>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</si>
  <si>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</si>
  <si>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</si>
  <si>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</si>
  <si>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</si>
  <si>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</si>
  <si>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</si>
  <si>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</si>
  <si>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</si>
  <si>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</si>
  <si>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</si>
  <si>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</si>
  <si>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</si>
  <si>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</si>
  <si>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</si>
  <si>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</si>
  <si>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</si>
  <si>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</si>
  <si>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</si>
  <si>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</si>
  <si>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</si>
  <si>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</si>
  <si>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</si>
  <si>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</si>
  <si>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</si>
  <si>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</si>
  <si>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</si>
  <si>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</si>
  <si>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</si>
  <si>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</si>
  <si>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</si>
  <si>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</si>
  <si>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</si>
  <si>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</si>
  <si>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</si>
  <si>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</si>
  <si>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</si>
  <si>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</si>
  <si>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</si>
  <si>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</si>
  <si>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</si>
  <si>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</si>
  <si>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</si>
  <si>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</si>
  <si>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</si>
  <si>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</si>
  <si>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</si>
  <si>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</si>
  <si>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</si>
  <si>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</si>
  <si>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</si>
  <si>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</si>
  <si>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</si>
  <si>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</si>
  <si>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</si>
  <si>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</si>
  <si>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</si>
  <si>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</si>
  <si>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</si>
  <si>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</si>
  <si>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</si>
  <si>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</si>
  <si>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</si>
  <si>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</si>
  <si>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</si>
  <si>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</si>
  <si>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</si>
  <si>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</si>
  <si>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</si>
  <si>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</si>
  <si>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</si>
  <si>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</si>
  <si>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</si>
  <si>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</si>
  <si>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</si>
  <si>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</si>
  <si>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</si>
  <si>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</si>
  <si>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</si>
  <si>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</si>
  <si>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</si>
  <si>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</si>
  <si>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</si>
  <si>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t>典型户型修正</t>
  </si>
  <si>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</si>
  <si>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</si>
  <si>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</si>
  <si>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</si>
  <si>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</si>
  <si>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</si>
  <si>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</si>
  <si>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</si>
  <si>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</si>
  <si>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</si>
  <si>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</si>
  <si>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</si>
  <si>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</si>
  <si>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</si>
  <si>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</si>
  <si>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</si>
  <si>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</si>
  <si>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</si>
  <si>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</si>
  <si>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</si>
  <si>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</si>
  <si>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</si>
  <si>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</si>
  <si>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</si>
  <si>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</si>
  <si>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</si>
  <si>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</si>
  <si>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</si>
  <si>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</si>
  <si>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</si>
  <si>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</si>
  <si>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</si>
  <si>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</si>
  <si>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</si>
  <si>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</si>
  <si>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</si>
  <si>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</si>
  <si>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</si>
  <si>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</si>
  <si>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</si>
  <si>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</si>
  <si>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</si>
  <si>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</si>
  <si>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</si>
  <si>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</si>
  <si>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</si>
  <si>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</si>
  <si>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</si>
  <si>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</si>
  <si>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</si>
  <si>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</si>
  <si>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</si>
  <si>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</si>
  <si>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</si>
  <si>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</si>
  <si>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</si>
  <si>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</si>
  <si>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</si>
  <si>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</si>
  <si>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</si>
  <si>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</si>
  <si>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</si>
  <si>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</si>
  <si>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</si>
  <si>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</si>
  <si>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</si>
  <si>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</si>
  <si>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</si>
  <si>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</si>
  <si>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</si>
  <si>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</si>
  <si>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</si>
  <si>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</si>
  <si>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</si>
  <si>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</si>
  <si>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</si>
  <si>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</si>
  <si>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</si>
  <si>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</si>
  <si>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</si>
  <si>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</si>
  <si>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</si>
  <si>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</si>
  <si>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</si>
  <si>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</si>
  <si>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</si>
  <si>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</si>
  <si>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</si>
  <si>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</si>
  <si>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</si>
  <si>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</si>
  <si>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</si>
  <si>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</si>
  <si>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</si>
  <si>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</si>
  <si>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</si>
  <si>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</si>
  <si>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</si>
  <si>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</si>
  <si>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</si>
  <si>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</si>
  <si>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</si>
  <si>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</si>
  <si>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</si>
  <si>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</si>
  <si>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</si>
  <si>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</si>
  <si>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</si>
  <si>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</si>
  <si>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</si>
  <si>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</si>
  <si>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</si>
  <si>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</si>
  <si>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</si>
  <si>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</si>
  <si>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</si>
  <si>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</si>
  <si>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</si>
  <si>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</si>
  <si>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</si>
  <si>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</si>
  <si>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</si>
  <si>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</si>
  <si>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</si>
  <si>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</si>
  <si>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</si>
  <si>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</si>
  <si>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</si>
  <si>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</si>
  <si>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</si>
  <si>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</si>
  <si>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</si>
  <si>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</si>
  <si>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</si>
  <si>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</si>
  <si>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</si>
  <si>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</si>
  <si>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</si>
  <si>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</si>
  <si>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</si>
  <si>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</si>
  <si>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</si>
  <si>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</si>
  <si>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</si>
  <si>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</si>
  <si>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</si>
  <si>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</si>
  <si>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</si>
  <si>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</si>
  <si>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</si>
  <si>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</si>
  <si>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</si>
  <si>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</si>
  <si>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</si>
  <si>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</si>
  <si>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</si>
  <si>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</si>
  <si>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</si>
  <si>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</si>
  <si>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</si>
  <si>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</si>
  <si>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</si>
  <si>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</si>
  <si>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</si>
  <si>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</si>
  <si>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</si>
  <si>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</si>
  <si>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</si>
  <si>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</si>
  <si>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</si>
  <si>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</si>
  <si>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</si>
  <si>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</si>
  <si>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t>仅计算典型户型</t>
  </si>
  <si>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</si>
  <si>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</si>
  <si>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</si>
  <si>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</si>
  <si>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</si>
  <si>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</si>
  <si>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</si>
  <si>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</si>
  <si>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</si>
  <si>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</si>
  <si>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</si>
  <si>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</si>
  <si>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</si>
  <si>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</si>
  <si>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</si>
  <si>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</si>
  <si>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</si>
  <si>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</si>
  <si>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</si>
  <si>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</si>
  <si>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</si>
  <si>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</si>
  <si>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</si>
  <si>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</si>
  <si>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</si>
  <si>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</si>
  <si>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</si>
  <si>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</si>
  <si>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</si>
  <si>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</si>
  <si>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</si>
  <si>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</si>
  <si>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</si>
  <si>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</si>
  <si>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</si>
  <si>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</si>
  <si>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</si>
  <si>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</si>
  <si>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</si>
  <si>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</si>
  <si>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</si>
  <si>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</si>
  <si>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</si>
  <si>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</si>
  <si>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</si>
  <si>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</si>
  <si>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</si>
  <si>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</si>
  <si>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</si>
  <si>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</si>
  <si>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</si>
  <si>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</si>
  <si>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</si>
  <si>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</si>
  <si>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</si>
  <si>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</si>
  <si>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</si>
  <si>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</si>
  <si>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</si>
  <si>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</si>
  <si>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</si>
  <si>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</si>
  <si>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</si>
  <si>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</si>
  <si>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</si>
  <si>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</si>
  <si>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</si>
  <si>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</si>
  <si>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</si>
  <si>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</si>
  <si>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</si>
  <si>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</si>
  <si>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</si>
  <si>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</si>
  <si>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</si>
  <si>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</si>
  <si>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</si>
  <si>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</si>
  <si>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</si>
  <si>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</si>
  <si>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</si>
  <si>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</si>
  <si>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</si>
  <si>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</si>
  <si>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</si>
  <si>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</si>
  <si>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</si>
  <si>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</si>
  <si>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</si>
  <si>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</si>
  <si>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</si>
  <si>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</si>
  <si>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</si>
  <si>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</si>
  <si>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</si>
  <si>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</si>
  <si>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</si>
  <si>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</si>
  <si>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</si>
  <si>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设定收益年期(n)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</si>
  <si>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</si>
  <si>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</si>
  <si>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</si>
  <si>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</si>
  <si>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</si>
  <si>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</si>
  <si>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</si>
  <si>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</si>
  <si>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</si>
  <si>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</si>
  <si>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</si>
  <si>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</si>
  <si>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</si>
  <si>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</si>
  <si>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</si>
  <si>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</si>
  <si>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</si>
  <si>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</si>
  <si>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</si>
  <si>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</si>
  <si>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</si>
  <si>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</si>
  <si>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</si>
  <si>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</si>
  <si>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</si>
  <si>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</si>
  <si>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</si>
  <si>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</si>
  <si>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</si>
  <si>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</si>
  <si>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</si>
  <si>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</si>
  <si>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</si>
  <si>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</si>
  <si>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</si>
  <si>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</si>
  <si>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</si>
  <si>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</si>
  <si>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</si>
  <si>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</si>
  <si>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</si>
  <si>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</si>
  <si>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</si>
  <si>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</si>
  <si>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</si>
  <si>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</si>
  <si>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</si>
  <si>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</si>
  <si>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</si>
  <si>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</si>
  <si>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</si>
  <si>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</si>
  <si>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</si>
  <si>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</si>
  <si>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</si>
  <si>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</si>
  <si>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</si>
  <si>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</si>
  <si>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</si>
  <si>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</si>
  <si>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</si>
  <si>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</si>
  <si>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</si>
  <si>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</si>
  <si>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</si>
  <si>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</si>
  <si>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</si>
  <si>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</si>
  <si>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</si>
  <si>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</si>
  <si>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</si>
  <si>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</si>
  <si>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</si>
  <si>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</si>
  <si>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</si>
  <si>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</si>
  <si>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</si>
  <si>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</si>
  <si>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</si>
  <si>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</si>
  <si>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</si>
  <si>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</si>
  <si>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</si>
  <si>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</si>
  <si>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</si>
  <si>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</si>
  <si>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</si>
  <si>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</si>
  <si>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</si>
  <si>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</si>
  <si>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</si>
  <si>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</si>
  <si>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</si>
  <si>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</si>
  <si>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</si>
  <si>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</si>
  <si>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</si>
  <si>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</si>
  <si>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</si>
  <si>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</si>
  <si>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</si>
  <si>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</si>
  <si>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</si>
  <si>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</si>
  <si>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</si>
  <si>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</si>
  <si>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</si>
  <si>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</si>
  <si>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</si>
  <si>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</si>
  <si>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</si>
  <si>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</si>
  <si>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</si>
  <si>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</si>
  <si>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</si>
  <si>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</si>
  <si>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</si>
  <si>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</si>
  <si>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</si>
  <si>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</si>
  <si>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</si>
  <si>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</si>
  <si>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</si>
  <si>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</si>
  <si>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</si>
  <si>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</si>
  <si>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</si>
  <si>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</si>
  <si>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</si>
  <si>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</si>
  <si>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</si>
  <si>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</si>
  <si>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</si>
  <si>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</si>
  <si>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</si>
  <si>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</si>
  <si>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</si>
  <si>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</si>
  <si>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</si>
  <si>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</si>
  <si>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</si>
  <si>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</si>
  <si>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</si>
  <si>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</si>
  <si>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</si>
  <si>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</si>
  <si>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</si>
  <si>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</si>
  <si>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</si>
  <si>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</si>
  <si>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</si>
  <si>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</si>
  <si>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</si>
  <si>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</si>
  <si>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t>庄胜广场</t>
  </si>
  <si>
    <t>富卓广场</t>
  </si>
  <si>
    <t>宣武门大街6号</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</si>
  <si>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</si>
  <si>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</si>
  <si>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</si>
  <si>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</si>
  <si>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</si>
  <si>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</si>
  <si>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</si>
  <si>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</si>
  <si>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</si>
  <si>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</si>
  <si>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</si>
  <si>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</si>
  <si>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</si>
  <si>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</si>
  <si>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20-30（含）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</si>
  <si>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</si>
  <si>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</si>
  <si>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</si>
  <si>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</si>
  <si>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好</t>
  </si>
  <si>
    <t>七通</t>
  </si>
  <si>
    <t>主干道</t>
  </si>
  <si>
    <r>
      <rPr>
        <sz val="11"/>
        <color indexed="8"/>
        <rFont val="宋体"/>
        <family val="3"/>
        <charset val="134"/>
      </rPr>
      <t>楼层</t>
    </r>
  </si>
  <si>
    <t>高区</t>
  </si>
  <si>
    <t>中区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</si>
  <si>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</si>
  <si>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</si>
  <si>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</si>
  <si>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t>标准写字楼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</si>
  <si>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</si>
  <si>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</si>
  <si>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</si>
  <si>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公共部分装修</t>
    </r>
  </si>
  <si>
    <t>精装修</t>
  </si>
  <si>
    <r>
      <rPr>
        <sz val="11"/>
        <color indexed="8"/>
        <rFont val="宋体"/>
        <family val="3"/>
        <charset val="134"/>
      </rPr>
      <t>成新度</t>
    </r>
  </si>
  <si>
    <r>
      <rPr>
        <sz val="11"/>
        <color indexed="8"/>
        <rFont val="宋体"/>
        <family val="3"/>
        <charset val="134"/>
      </rPr>
      <t>写字楼等级</t>
    </r>
  </si>
  <si>
    <t>甲</t>
  </si>
  <si>
    <r>
      <rPr>
        <sz val="11"/>
        <color indexed="8"/>
        <rFont val="宋体"/>
        <family val="3"/>
        <charset val="134"/>
      </rPr>
      <t>物业管理</t>
    </r>
  </si>
  <si>
    <t>专业物业管理</t>
  </si>
  <si>
    <r>
      <rPr>
        <sz val="11"/>
        <color indexed="8"/>
        <rFont val="宋体"/>
        <family val="3"/>
        <charset val="134"/>
      </rPr>
      <t>市政基础设施</t>
    </r>
  </si>
  <si>
    <t>五通</t>
  </si>
  <si>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</si>
  <si>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</si>
  <si>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</si>
  <si>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</si>
  <si>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</si>
  <si>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</si>
  <si>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</si>
  <si>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</si>
  <si>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</si>
  <si>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</si>
  <si>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</si>
  <si>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</si>
  <si>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</si>
  <si>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</si>
  <si>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</si>
  <si>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</si>
  <si>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</si>
  <si>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</si>
  <si>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</si>
  <si>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</si>
  <si>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</si>
  <si>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</si>
  <si>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</si>
  <si>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</si>
  <si>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</si>
  <si>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高速路</t>
  </si>
  <si>
    <t>快速路</t>
  </si>
  <si>
    <t>次干道</t>
  </si>
  <si>
    <t>支路</t>
  </si>
  <si>
    <t>低区</t>
  </si>
  <si>
    <t>普通装修</t>
  </si>
  <si>
    <t>简单装修</t>
  </si>
  <si>
    <t>毛坯</t>
  </si>
  <si>
    <t>普通物业管理</t>
  </si>
  <si>
    <t>六通</t>
  </si>
  <si>
    <t>四通</t>
  </si>
  <si>
    <t>三通</t>
  </si>
  <si>
    <r>
      <rPr>
        <sz val="11"/>
        <rFont val="宋体"/>
        <family val="3"/>
        <charset val="134"/>
      </rPr>
      <t>层高</t>
    </r>
  </si>
  <si>
    <r>
      <rPr>
        <sz val="11"/>
        <color indexed="8"/>
        <rFont val="宋体"/>
        <family val="3"/>
        <charset val="134"/>
      </rPr>
      <t>单套建筑面积</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</si>
  <si>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</si>
  <si>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</si>
  <si>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</si>
  <si>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</si>
  <si>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</si>
  <si>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t>装修</t>
  </si>
  <si>
    <t>简装</t>
  </si>
  <si>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</si>
  <si>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</si>
  <si>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</si>
  <si>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</si>
  <si>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</si>
  <si>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</si>
  <si>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</si>
  <si>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</si>
  <si>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</si>
  <si>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</si>
  <si>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</si>
  <si>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</si>
  <si>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</si>
  <si>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</si>
  <si>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</si>
  <si>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</si>
  <si>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</si>
  <si>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</si>
  <si>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</si>
  <si>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</si>
  <si>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</si>
  <si>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</si>
  <si>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t>14层1408</t>
  </si>
  <si>
    <t>12层1214</t>
  </si>
  <si>
    <t>12层1222</t>
  </si>
  <si>
    <t>12层1223</t>
  </si>
  <si>
    <t>12层1224</t>
  </si>
  <si>
    <t>12层1225</t>
  </si>
  <si>
    <t>12层1226</t>
  </si>
  <si>
    <t>12层1213</t>
  </si>
  <si>
    <t>14层1410</t>
  </si>
  <si>
    <t>15层1503</t>
  </si>
  <si>
    <t>15层1504</t>
  </si>
  <si>
    <r>
      <rPr>
        <b/>
        <sz val="16"/>
        <rFont val="宋体"/>
        <family val="3"/>
        <charset val="134"/>
      </rPr>
      <t>住宅</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</si>
  <si>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</si>
  <si>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</si>
  <si>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</si>
  <si>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</si>
  <si>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</si>
  <si>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</si>
  <si>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</si>
  <si>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</si>
  <si>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</si>
  <si>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</si>
  <si>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</si>
  <si>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</si>
  <si>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</si>
  <si>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</si>
  <si>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</si>
  <si>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</si>
  <si>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</si>
  <si>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</si>
  <si>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</si>
  <si>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</si>
  <si>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</si>
  <si>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</si>
  <si>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</si>
  <si>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</si>
  <si>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</si>
  <si>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</si>
  <si>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</si>
  <si>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</si>
  <si>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</si>
  <si>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</si>
  <si>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</si>
  <si>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</si>
  <si>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</si>
  <si>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</si>
  <si>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</si>
  <si>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</si>
  <si>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</si>
  <si>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</si>
  <si>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</si>
  <si>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</si>
  <si>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</si>
  <si>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</si>
  <si>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</si>
  <si>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</si>
  <si>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</si>
  <si>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</si>
  <si>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</si>
  <si>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</si>
  <si>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</si>
  <si>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</si>
  <si>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</si>
  <si>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</si>
  <si>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</si>
  <si>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</si>
  <si>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</si>
  <si>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</si>
  <si>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</si>
  <si>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</si>
  <si>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</si>
  <si>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</si>
  <si>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</si>
  <si>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</si>
  <si>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</si>
  <si>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</si>
  <si>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</si>
  <si>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</si>
  <si>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</si>
  <si>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</si>
  <si>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</si>
  <si>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</si>
  <si>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</si>
  <si>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</si>
  <si>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</si>
  <si>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</si>
  <si>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</si>
  <si>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</si>
  <si>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</si>
  <si>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</si>
  <si>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</si>
  <si>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</si>
  <si>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</si>
  <si>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</si>
  <si>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</si>
  <si>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</si>
  <si>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</si>
  <si>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</si>
  <si>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</si>
  <si>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</si>
  <si>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</si>
  <si>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</si>
  <si>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</si>
  <si>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</si>
  <si>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</si>
  <si>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</si>
  <si>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</si>
  <si>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</si>
  <si>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</si>
  <si>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</si>
  <si>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</si>
  <si>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</si>
  <si>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</si>
  <si>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</si>
  <si>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</si>
  <si>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</si>
  <si>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</si>
  <si>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</si>
  <si>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</si>
  <si>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</si>
  <si>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</si>
  <si>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</si>
  <si>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</si>
  <si>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</si>
  <si>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</si>
  <si>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</si>
  <si>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</si>
  <si>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</si>
  <si>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</si>
  <si>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</si>
  <si>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</si>
  <si>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</si>
  <si>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</si>
  <si>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</si>
  <si>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</si>
  <si>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</si>
  <si>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</si>
  <si>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</si>
  <si>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</si>
  <si>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</si>
  <si>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</si>
  <si>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</si>
  <si>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</si>
  <si>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</si>
  <si>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</si>
  <si>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</si>
  <si>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</si>
  <si>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</si>
  <si>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</si>
  <si>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</si>
  <si>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</si>
  <si>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</si>
  <si>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</si>
  <si>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</si>
  <si>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</si>
  <si>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</si>
  <si>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</si>
  <si>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</si>
  <si>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</si>
  <si>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</si>
  <si>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</si>
  <si>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</si>
  <si>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</si>
  <si>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</si>
  <si>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</si>
  <si>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</si>
  <si>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</si>
  <si>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</si>
  <si>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</si>
  <si>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</si>
  <si>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</si>
  <si>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</si>
  <si>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</si>
  <si>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</si>
  <si>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</si>
  <si>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</si>
  <si>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</si>
  <si>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</si>
  <si>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</si>
  <si>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</si>
  <si>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</si>
  <si>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</si>
  <si>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</si>
  <si>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</si>
  <si>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</si>
  <si>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</si>
  <si>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</si>
  <si>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</si>
  <si>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</si>
  <si>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</si>
  <si>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</si>
  <si>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</si>
  <si>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</si>
  <si>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</si>
  <si>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</si>
  <si>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</si>
  <si>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</si>
  <si>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</si>
  <si>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</si>
  <si>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</si>
  <si>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</si>
  <si>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</si>
  <si>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</si>
  <si>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</si>
  <si>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</si>
  <si>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</si>
  <si>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</si>
  <si>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</si>
  <si>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</si>
  <si>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</si>
  <si>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</si>
  <si>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</si>
  <si>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</si>
  <si>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</si>
  <si>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</si>
  <si>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</si>
  <si>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</si>
  <si>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</si>
  <si>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</si>
  <si>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</si>
  <si>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</si>
  <si>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</si>
  <si>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</si>
  <si>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</si>
  <si>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</si>
  <si>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</si>
  <si>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</si>
  <si>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</si>
  <si>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</si>
  <si>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</si>
  <si>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</si>
  <si>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</si>
  <si>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</si>
  <si>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</si>
  <si>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</si>
  <si>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</si>
  <si>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</si>
  <si>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</si>
  <si>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</si>
  <si>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</si>
  <si>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</si>
  <si>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</si>
  <si>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</si>
  <si>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</si>
  <si>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</si>
  <si>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</si>
  <si>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</si>
  <si>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</si>
  <si>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</si>
  <si>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</si>
  <si>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</si>
  <si>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</si>
  <si>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</si>
  <si>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</si>
  <si>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</si>
  <si>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</si>
  <si>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</si>
  <si>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</si>
  <si>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</si>
  <si>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</si>
  <si>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</si>
  <si>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</si>
  <si>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</si>
  <si>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</si>
  <si>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</si>
  <si>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</si>
  <si>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</si>
  <si>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</si>
  <si>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</si>
  <si>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</si>
  <si>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</si>
  <si>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</si>
  <si>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</si>
  <si>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</si>
  <si>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</si>
  <si>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</si>
  <si>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</si>
  <si>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</si>
  <si>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</si>
  <si>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</si>
  <si>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</si>
  <si>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</si>
  <si>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</si>
  <si>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</si>
  <si>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</si>
  <si>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</si>
  <si>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</si>
  <si>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</si>
  <si>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</si>
  <si>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</si>
  <si>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</si>
  <si>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</si>
  <si>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住宅</t>
  </si>
  <si>
    <t>工业</t>
  </si>
  <si>
    <t>级别</t>
  </si>
  <si>
    <t>区片编号</t>
  </si>
  <si>
    <t>一级</t>
  </si>
  <si>
    <t>Ⅰ—01</t>
  </si>
  <si>
    <t>Ⅰ—02</t>
  </si>
  <si>
    <t>Ⅰ—03</t>
  </si>
  <si>
    <t>Ⅰ—04</t>
  </si>
  <si>
    <t>Ⅰ—05</t>
  </si>
  <si>
    <t>Ⅱ—01</t>
  </si>
  <si>
    <t>Ⅱ—02</t>
  </si>
  <si>
    <t>Ⅱ—03</t>
  </si>
  <si>
    <t>Ⅱ—04</t>
  </si>
  <si>
    <t>Ⅱ—05</t>
  </si>
  <si>
    <t>Ⅱ—06</t>
  </si>
  <si>
    <t>Ⅱ—07</t>
  </si>
  <si>
    <t>Ⅱ—08</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</si>
  <si>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</si>
  <si>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</si>
  <si>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</si>
  <si>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</si>
  <si>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</si>
  <si>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</si>
  <si>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</si>
  <si>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</si>
  <si>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</si>
  <si>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</si>
  <si>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</si>
  <si>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</si>
  <si>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</si>
  <si>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</si>
  <si>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</si>
  <si>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</si>
  <si>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</si>
  <si>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</si>
  <si>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</si>
  <si>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</si>
  <si>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</si>
  <si>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</si>
  <si>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</si>
  <si>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</si>
  <si>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</si>
  <si>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</si>
  <si>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</si>
  <si>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</si>
  <si>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</si>
  <si>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</si>
  <si>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</si>
  <si>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</si>
  <si>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</si>
  <si>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</si>
  <si>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</si>
  <si>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</si>
  <si>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</si>
  <si>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</si>
  <si>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</si>
  <si>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</si>
  <si>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</si>
  <si>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</si>
  <si>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</si>
  <si>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</si>
  <si>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</si>
  <si>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</si>
  <si>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</si>
  <si>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</si>
  <si>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</si>
  <si>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</si>
  <si>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</si>
  <si>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</si>
  <si>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</si>
  <si>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</si>
  <si>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</si>
  <si>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</si>
  <si>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</si>
  <si>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</si>
  <si>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</si>
  <si>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</si>
  <si>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</si>
  <si>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</si>
  <si>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</si>
  <si>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</si>
  <si>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</si>
  <si>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</si>
  <si>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</si>
  <si>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</si>
  <si>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</si>
  <si>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</si>
  <si>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</si>
  <si>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</si>
  <si>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</si>
  <si>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</si>
  <si>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</si>
  <si>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</si>
  <si>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</si>
  <si>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</si>
  <si>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</si>
  <si>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</si>
  <si>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</si>
  <si>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</si>
  <si>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</si>
  <si>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</si>
  <si>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</si>
  <si>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</si>
  <si>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</si>
  <si>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</si>
  <si>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</si>
  <si>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</si>
  <si>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</si>
  <si>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</si>
  <si>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</si>
  <si>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</si>
  <si>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</si>
  <si>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</si>
  <si>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</si>
  <si>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</si>
  <si>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</si>
  <si>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</si>
  <si>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</si>
  <si>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</si>
  <si>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</si>
  <si>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</si>
  <si>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</si>
  <si>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</si>
  <si>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</si>
  <si>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</si>
  <si>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</si>
  <si>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</si>
  <si>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</si>
  <si>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</si>
  <si>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</si>
  <si>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</si>
  <si>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</si>
  <si>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</si>
  <si>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</si>
  <si>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</si>
  <si>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</si>
  <si>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</si>
  <si>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</si>
  <si>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</si>
  <si>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</si>
  <si>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</si>
  <si>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</si>
  <si>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</si>
  <si>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</si>
  <si>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</si>
  <si>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</si>
  <si>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</si>
  <si>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</si>
  <si>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</si>
  <si>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</si>
  <si>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</si>
  <si>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</si>
  <si>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</si>
  <si>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</si>
  <si>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</si>
  <si>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</si>
  <si>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</si>
  <si>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</si>
  <si>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</si>
  <si>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</si>
  <si>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</si>
  <si>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</si>
  <si>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</si>
  <si>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</si>
  <si>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</si>
  <si>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</si>
  <si>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</si>
  <si>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</si>
  <si>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</si>
  <si>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</si>
  <si>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</si>
  <si>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</si>
  <si>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</si>
  <si>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</si>
  <si>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</si>
  <si>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</si>
  <si>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</si>
  <si>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</si>
  <si>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</si>
  <si>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</si>
  <si>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</si>
  <si>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</si>
  <si>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</si>
  <si>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</si>
  <si>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</si>
  <si>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</si>
  <si>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</si>
  <si>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</si>
  <si>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</si>
  <si>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</si>
  <si>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</si>
  <si>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</si>
  <si>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</si>
  <si>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</si>
  <si>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</si>
  <si>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</si>
  <si>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</si>
  <si>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</si>
  <si>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</si>
  <si>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</si>
  <si>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</si>
  <si>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</si>
  <si>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</si>
  <si>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</si>
  <si>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</si>
  <si>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</si>
  <si>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</si>
  <si>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</si>
  <si>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</si>
  <si>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</si>
  <si>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</si>
  <si>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</si>
  <si>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</si>
  <si>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</si>
  <si>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</si>
  <si>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</si>
  <si>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</si>
  <si>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</si>
  <si>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</si>
  <si>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</si>
  <si>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</si>
  <si>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</si>
  <si>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</si>
  <si>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</si>
  <si>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</si>
  <si>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</si>
  <si>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</si>
  <si>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</si>
  <si>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</si>
  <si>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</si>
  <si>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</si>
  <si>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</si>
  <si>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</si>
  <si>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</si>
  <si>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</si>
  <si>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</si>
  <si>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</si>
  <si>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</si>
  <si>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</si>
  <si>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</si>
  <si>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</si>
  <si>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</si>
  <si>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</si>
  <si>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</si>
  <si>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</si>
  <si>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</si>
  <si>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</si>
  <si>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</si>
  <si>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</si>
  <si>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</si>
  <si>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</si>
  <si>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</si>
  <si>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</si>
  <si>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</si>
  <si>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</si>
  <si>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</si>
  <si>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</si>
  <si>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</si>
  <si>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</si>
  <si>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</si>
  <si>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</si>
  <si>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</si>
  <si>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</si>
  <si>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</si>
  <si>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</si>
  <si>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</si>
  <si>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</si>
  <si>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</si>
  <si>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</si>
  <si>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</si>
  <si>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</si>
  <si>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</si>
  <si>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</si>
  <si>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</si>
  <si>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</si>
  <si>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</si>
  <si>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</si>
  <si>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</si>
  <si>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</si>
  <si>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</si>
  <si>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</si>
  <si>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</si>
  <si>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</si>
  <si>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</si>
  <si>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</si>
  <si>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</si>
  <si>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</si>
  <si>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</si>
  <si>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</si>
  <si>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</si>
  <si>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</si>
  <si>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</si>
  <si>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</si>
  <si>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</si>
  <si>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</si>
  <si>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</si>
  <si>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</si>
  <si>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</si>
  <si>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</si>
  <si>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</si>
  <si>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</si>
  <si>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</si>
  <si>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</si>
  <si>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</si>
  <si>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</si>
  <si>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</si>
  <si>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</si>
  <si>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</si>
  <si>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</si>
  <si>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</si>
  <si>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</si>
  <si>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</si>
  <si>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</si>
  <si>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</si>
  <si>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</si>
  <si>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</si>
  <si>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</si>
  <si>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</si>
  <si>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</si>
  <si>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</si>
  <si>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</si>
  <si>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</si>
  <si>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</si>
  <si>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</si>
  <si>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</si>
  <si>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</si>
  <si>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</si>
  <si>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</si>
  <si>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</si>
  <si>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</si>
  <si>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</si>
  <si>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</si>
  <si>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</si>
  <si>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</si>
  <si>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</si>
  <si>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</si>
  <si>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</si>
  <si>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</si>
  <si>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</si>
  <si>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</si>
  <si>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</si>
  <si>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</si>
  <si>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</si>
  <si>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</si>
  <si>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</si>
  <si>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</si>
  <si>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</si>
  <si>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</si>
  <si>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</si>
  <si>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</si>
  <si>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</si>
  <si>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</si>
  <si>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</si>
  <si>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</si>
  <si>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</si>
  <si>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</si>
  <si>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</si>
  <si>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</si>
  <si>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</si>
  <si>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</si>
  <si>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</si>
  <si>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</si>
  <si>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</si>
  <si>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</si>
  <si>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</si>
  <si>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</si>
  <si>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</si>
  <si>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</si>
  <si>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</si>
  <si>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</si>
  <si>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</si>
  <si>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</si>
  <si>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</si>
  <si>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</si>
  <si>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</si>
  <si>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</si>
  <si>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</si>
  <si>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</si>
  <si>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</si>
  <si>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</si>
  <si>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</si>
  <si>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</si>
  <si>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</si>
  <si>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</si>
  <si>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</si>
  <si>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</si>
  <si>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</si>
  <si>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</si>
  <si>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</si>
  <si>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</si>
  <si>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</si>
  <si>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</si>
  <si>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</si>
  <si>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</si>
  <si>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</si>
  <si>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</si>
  <si>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</si>
  <si>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</si>
  <si>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</si>
  <si>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</si>
  <si>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</si>
  <si>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</si>
  <si>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</si>
  <si>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</si>
  <si>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</si>
  <si>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</si>
  <si>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</si>
  <si>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</si>
  <si>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</si>
  <si>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</si>
  <si>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</si>
  <si>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</si>
  <si>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</si>
  <si>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</si>
  <si>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</si>
  <si>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</si>
  <si>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</si>
  <si>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</si>
  <si>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</si>
  <si>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</si>
  <si>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</si>
  <si>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</si>
  <si>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</si>
  <si>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</si>
  <si>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</si>
  <si>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</si>
  <si>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</si>
  <si>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</si>
  <si>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</si>
  <si>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</si>
  <si>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</si>
  <si>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</si>
  <si>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</si>
  <si>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</si>
  <si>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</si>
  <si>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</si>
  <si>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</si>
  <si>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</si>
  <si>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</si>
  <si>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</si>
  <si>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</si>
  <si>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</si>
  <si>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</si>
  <si>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</si>
  <si>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</si>
  <si>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</si>
  <si>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</si>
  <si>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</si>
  <si>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</si>
  <si>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</si>
  <si>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</si>
  <si>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</si>
  <si>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</si>
  <si>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</si>
  <si>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</si>
  <si>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</si>
  <si>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</si>
  <si>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</si>
  <si>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</si>
  <si>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</si>
  <si>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</si>
  <si>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</si>
  <si>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</si>
  <si>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</si>
  <si>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</si>
  <si>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</si>
  <si>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</si>
  <si>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</si>
  <si>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</si>
  <si>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</si>
  <si>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</si>
  <si>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</si>
  <si>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</si>
  <si>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</si>
  <si>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</si>
  <si>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</si>
  <si>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</si>
  <si>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</si>
  <si>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</si>
  <si>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</si>
  <si>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</si>
  <si>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</si>
  <si>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</si>
  <si>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</si>
  <si>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</si>
  <si>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</si>
  <si>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</si>
  <si>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</si>
  <si>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</si>
  <si>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</si>
  <si>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</si>
  <si>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</si>
  <si>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</si>
  <si>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</si>
  <si>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</si>
  <si>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</si>
  <si>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</si>
  <si>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</si>
  <si>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</si>
  <si>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</si>
  <si>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</si>
  <si>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</si>
  <si>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</si>
  <si>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</si>
  <si>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</si>
  <si>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</si>
  <si>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</si>
  <si>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</si>
  <si>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</si>
  <si>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</si>
  <si>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</si>
  <si>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</si>
  <si>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</si>
  <si>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</si>
  <si>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</si>
  <si>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</si>
  <si>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</si>
  <si>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</si>
  <si>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</si>
  <si>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</si>
  <si>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</si>
  <si>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</si>
  <si>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</si>
  <si>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</si>
  <si>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</si>
  <si>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</si>
  <si>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</si>
  <si>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</si>
  <si>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</si>
  <si>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</si>
  <si>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</si>
  <si>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</si>
  <si>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</si>
  <si>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</si>
  <si>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</si>
  <si>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</si>
  <si>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</si>
  <si>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</si>
  <si>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</si>
  <si>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</si>
  <si>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</si>
  <si>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</si>
  <si>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</si>
  <si>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</si>
  <si>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</si>
  <si>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</si>
  <si>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</si>
  <si>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</si>
  <si>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</si>
  <si>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</si>
  <si>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</si>
  <si>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</si>
  <si>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</si>
  <si>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</si>
  <si>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</si>
  <si>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</si>
  <si>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</si>
  <si>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</si>
  <si>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</si>
  <si>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</si>
  <si>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</si>
  <si>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</si>
  <si>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</si>
  <si>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</si>
  <si>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</si>
  <si>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</si>
  <si>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</si>
  <si>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</si>
  <si>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</si>
  <si>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</si>
  <si>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</si>
  <si>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</si>
  <si>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</si>
  <si>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</si>
  <si>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</si>
  <si>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</si>
  <si>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</si>
  <si>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</si>
  <si>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</si>
  <si>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</si>
  <si>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</si>
  <si>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</si>
  <si>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</si>
  <si>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</si>
  <si>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</si>
  <si>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</si>
  <si>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</si>
  <si>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</si>
  <si>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</si>
  <si>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</si>
  <si>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</si>
  <si>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</si>
  <si>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</si>
  <si>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</si>
  <si>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</si>
  <si>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</si>
  <si>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</si>
  <si>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</si>
  <si>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</si>
  <si>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</si>
  <si>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</si>
  <si>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</si>
  <si>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</si>
  <si>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</si>
  <si>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</si>
  <si>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</si>
  <si>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</si>
  <si>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</si>
  <si>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</si>
  <si>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2019-3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</si>
  <si>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</si>
  <si>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</si>
  <si>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</si>
  <si>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</si>
  <si>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</si>
  <si>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</si>
  <si>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</si>
  <si>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</si>
  <si>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</si>
  <si>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</si>
  <si>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</si>
  <si>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</si>
  <si>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</si>
  <si>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</si>
  <si>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</si>
  <si>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</si>
  <si>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</si>
  <si>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</si>
  <si>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</si>
  <si>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</si>
  <si>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</si>
  <si>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</si>
  <si>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</si>
  <si>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</si>
  <si>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</si>
  <si>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</si>
  <si>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</si>
  <si>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</si>
  <si>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</si>
  <si>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</si>
  <si>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</si>
  <si>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</si>
  <si>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</si>
  <si>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</si>
  <si>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</si>
  <si>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</si>
  <si>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</si>
  <si>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</si>
  <si>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</si>
  <si>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</si>
  <si>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</si>
  <si>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</si>
  <si>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</si>
  <si>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</si>
  <si>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</si>
  <si>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</si>
  <si>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</si>
  <si>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</si>
  <si>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</si>
  <si>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</si>
  <si>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</si>
  <si>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</si>
  <si>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</si>
  <si>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</si>
  <si>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</si>
  <si>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</si>
  <si>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</si>
  <si>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</si>
  <si>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</si>
  <si>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</si>
  <si>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</si>
  <si>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</si>
  <si>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</si>
  <si>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</si>
  <si>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</si>
  <si>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</si>
  <si>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</si>
  <si>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</si>
  <si>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</si>
  <si>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</si>
  <si>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</si>
  <si>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</si>
  <si>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</si>
  <si>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</si>
  <si>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</si>
  <si>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</si>
  <si>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</si>
  <si>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</si>
  <si>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</si>
  <si>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</si>
  <si>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</si>
  <si>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</si>
  <si>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</si>
  <si>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</si>
  <si>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</si>
  <si>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</si>
  <si>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</si>
  <si>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</si>
  <si>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</si>
  <si>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</si>
  <si>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</si>
  <si>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</si>
  <si>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</si>
  <si>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</si>
  <si>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</si>
  <si>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</si>
  <si>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</si>
  <si>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</si>
  <si>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</si>
  <si>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</si>
  <si>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</si>
  <si>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</si>
  <si>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</si>
  <si>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</si>
  <si>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</si>
  <si>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</si>
  <si>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</si>
  <si>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</si>
  <si>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</si>
  <si>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位置/类型</t>
  </si>
  <si>
    <t>7层708</t>
  </si>
  <si>
    <t>7层728</t>
  </si>
  <si>
    <t>7层731</t>
  </si>
  <si>
    <t>7层732</t>
  </si>
  <si>
    <t>7层734</t>
  </si>
  <si>
    <t>7层735</t>
  </si>
  <si>
    <t>11层1132</t>
  </si>
  <si>
    <t>15层1510</t>
  </si>
  <si>
    <t>15层1516</t>
  </si>
  <si>
    <t>土地面积</t>
    <phoneticPr fontId="205" type="noConversion"/>
  </si>
  <si>
    <t>合计</t>
    <phoneticPr fontId="205" type="noConversion"/>
  </si>
  <si>
    <t>——</t>
    <phoneticPr fontId="205" type="noConversion"/>
  </si>
  <si>
    <r>
      <t>12</t>
    </r>
    <r>
      <rPr>
        <sz val="10"/>
        <rFont val="宋体"/>
        <family val="3"/>
        <charset val="134"/>
      </rPr>
      <t>层</t>
    </r>
    <r>
      <rPr>
        <sz val="10"/>
        <rFont val="Arial"/>
        <family val="2"/>
      </rPr>
      <t>1222</t>
    </r>
    <phoneticPr fontId="205" type="noConversion"/>
  </si>
  <si>
    <r>
      <t>12</t>
    </r>
    <r>
      <rPr>
        <sz val="10"/>
        <rFont val="宋体"/>
        <family val="3"/>
        <charset val="134"/>
      </rPr>
      <t>层</t>
    </r>
    <r>
      <rPr>
        <sz val="10"/>
        <rFont val="Arial"/>
        <family val="2"/>
      </rPr>
      <t>1213</t>
    </r>
    <phoneticPr fontId="20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</si>
</sst>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0_ "/>
    <numFmt numFmtId="177" formatCode="yyyy/m/d;@"/>
    <numFmt numFmtId="178" formatCode="0_ "/>
    <numFmt numFmtId="179" formatCode="0.00_ "/>
    <numFmt numFmtId="180" formatCode="0_);[Red]\(0\)"/>
    <numFmt numFmtId="181" formatCode="0.0%"/>
    <numFmt numFmtId="182" formatCode="[DBNum2][$-804]General"/>
    <numFmt numFmtId="183" formatCode="0.0_ "/>
    <numFmt numFmtId="184" formatCode="0.000_ "/>
    <numFmt numFmtId="185" formatCode="yyyy&quot;年&quot;m&quot;月&quot;;@"/>
    <numFmt numFmtId="186" formatCode="0.0_);[Red]\(0.0\)"/>
    <numFmt numFmtId="187" formatCode="yyyy&quot;年&quot;m&quot;月&quot;d&quot;日&quot;;@"/>
    <numFmt numFmtId="188" formatCode="0.00_);[Red]\(0.00\)"/>
    <numFmt numFmtId="189" formatCode="0.000_);[Red]\(0.000\)"/>
    <numFmt numFmtId="190" formatCode="0.000%"/>
    <numFmt numFmtId="191" formatCode="[$-F800]dddd\,\ mmmm\ dd\,\ yyyy"/>
    <numFmt numFmtId="192" formatCode="0_ ;[Red]\-0\ "/>
    <numFmt numFmtId="193" formatCode="0.0000%"/>
    <numFmt numFmtId="194" formatCode="0;_쐀"/>
    <numFmt numFmtId="195" formatCode="[DBNum1][$-804]yyyy&quot;年&quot;m&quot;月&quot;d&quot;日&quot;;@"/>
  </numFmts>
  <fonts count="206">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sz val="10"/>
      <color indexed="8"/>
      <name val="宋体"/>
      <family val="3"/>
      <charset val="134"/>
    </font>
    <font>
      <b/>
      <sz val="12"/>
      <color indexed="8"/>
      <name val="Arial"/>
      <family val="2"/>
    </font>
    <font>
      <sz val="11"/>
      <color theme="9" tint="-0.249977111117893"/>
      <name val="宋体"/>
      <family val="3"/>
      <charset val="134"/>
    </font>
    <font>
      <sz val="11"/>
      <color indexed="8"/>
      <name val="宋体"/>
      <family val="3"/>
      <charset val="134"/>
    </font>
    <font>
      <sz val="11"/>
      <name val="宋体"/>
      <family val="3"/>
      <charset val="134"/>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i/>
      <sz val="10"/>
      <color indexed="8"/>
      <name val="宋体"/>
      <family val="3"/>
      <charset val="134"/>
    </font>
    <font>
      <vertAlign val="subscript"/>
      <sz val="10"/>
      <color indexed="8"/>
      <name val="宋体"/>
      <family val="3"/>
      <charset val="134"/>
    </font>
    <font>
      <b/>
      <sz val="10"/>
      <color indexed="10"/>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sz val="10"/>
      <color indexed="8"/>
      <name val="宋体"/>
      <family val="3"/>
      <charset val="134"/>
      <scheme val="minor"/>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6"/>
      <name val="宋体"/>
      <family val="3"/>
      <charset val="134"/>
    </font>
    <font>
      <sz val="10"/>
      <name val="宋体"/>
      <family val="3"/>
      <charset val="134"/>
    </font>
    <font>
      <b/>
      <sz val="9"/>
      <name val="宋体"/>
      <family val="3"/>
      <charset val="134"/>
    </font>
    <font>
      <sz val="9"/>
      <name val="宋体"/>
      <family val="3"/>
      <charset val="134"/>
    </font>
    <font>
      <sz val="11"/>
      <name val="宋体"/>
      <family val="3"/>
      <charset val="134"/>
      <scheme val="minor"/>
    </font>
    <font>
      <sz val="14"/>
      <name val="楷体_GB2312"/>
      <family val="3"/>
      <charset val="134"/>
    </font>
    <font>
      <sz val="11"/>
      <name val="楷体_GB2312"/>
      <family val="3"/>
      <charset val="134"/>
    </font>
    <font>
      <sz val="10"/>
      <color theme="1"/>
      <name val="宋体"/>
      <family val="3"/>
      <charset val="134"/>
    </font>
    <font>
      <b/>
      <sz val="10"/>
      <name val="宋体"/>
      <family val="3"/>
      <charset val="134"/>
    </font>
    <font>
      <b/>
      <sz val="10"/>
      <color rgb="FFFF0000"/>
      <name val="宋体"/>
      <family val="3"/>
      <charset val="134"/>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22"/>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9" fillId="0" borderId="0"/>
    <xf numFmtId="0" fontId="139" fillId="0" borderId="0">
      <alignment vertical="center"/>
    </xf>
    <xf numFmtId="0" fontId="139" fillId="0" borderId="0">
      <alignment vertical="center"/>
    </xf>
    <xf numFmtId="0" fontId="108" fillId="0" borderId="0"/>
    <xf numFmtId="0" fontId="109" fillId="0" borderId="0">
      <alignment vertical="center"/>
    </xf>
    <xf numFmtId="0" fontId="139" fillId="0" borderId="0">
      <alignment vertical="center"/>
    </xf>
    <xf numFmtId="0" fontId="109" fillId="0" borderId="0">
      <alignment vertical="center"/>
    </xf>
    <xf numFmtId="0" fontId="109" fillId="0" borderId="0">
      <alignment vertical="center"/>
    </xf>
    <xf numFmtId="0" fontId="109" fillId="0" borderId="0">
      <alignment vertical="center"/>
    </xf>
    <xf numFmtId="0" fontId="109" fillId="0" borderId="0"/>
    <xf numFmtId="0" fontId="83" fillId="0" borderId="0"/>
    <xf numFmtId="0" fontId="109" fillId="0" borderId="0">
      <alignment vertical="center"/>
    </xf>
    <xf numFmtId="0" fontId="109" fillId="0" borderId="0">
      <alignment vertical="center"/>
    </xf>
  </cellStyleXfs>
  <cellXfs count="3118">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7"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78"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79"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pplyProtection="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80" fontId="16" fillId="5" borderId="0" xfId="3" applyNumberFormat="1" applyFont="1" applyFill="1" applyBorder="1" applyAlignment="1">
      <alignment horizontal="center" vertical="center"/>
    </xf>
    <xf numFmtId="180"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80" fontId="17" fillId="0" borderId="0" xfId="3" applyNumberFormat="1" applyFont="1" applyAlignment="1" applyProtection="1">
      <alignment horizontal="center" vertical="center"/>
    </xf>
    <xf numFmtId="0" fontId="24" fillId="6" borderId="23" xfId="3" applyFont="1" applyFill="1" applyBorder="1" applyAlignment="1" applyProtection="1">
      <alignment horizontal="center" vertical="center" wrapText="1"/>
    </xf>
    <xf numFmtId="0" fontId="24" fillId="7" borderId="22" xfId="3" applyFont="1" applyFill="1" applyBorder="1" applyAlignment="1" applyProtection="1">
      <alignment horizontal="center" vertical="center" wrapText="1"/>
    </xf>
    <xf numFmtId="180" fontId="15" fillId="6" borderId="23" xfId="3" applyNumberFormat="1" applyFont="1" applyFill="1" applyBorder="1" applyAlignment="1">
      <alignment horizontal="center" vertical="center" wrapText="1"/>
    </xf>
    <xf numFmtId="180" fontId="15" fillId="6" borderId="24" xfId="3" applyNumberFormat="1" applyFont="1" applyFill="1" applyBorder="1" applyAlignment="1">
      <alignment horizontal="center" vertical="center" wrapText="1"/>
    </xf>
    <xf numFmtId="180" fontId="17" fillId="0" borderId="0" xfId="3" applyNumberFormat="1" applyFont="1" applyAlignment="1">
      <alignment horizontal="center" vertical="center"/>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80" fontId="15" fillId="6" borderId="22" xfId="3" applyNumberFormat="1" applyFont="1" applyFill="1" applyBorder="1" applyAlignment="1">
      <alignment horizontal="center" vertical="center" wrapText="1"/>
    </xf>
    <xf numFmtId="180"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80"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80" fontId="15" fillId="6" borderId="29" xfId="3" applyNumberFormat="1" applyFont="1" applyFill="1" applyBorder="1" applyAlignment="1">
      <alignment horizontal="center" vertical="center" wrapText="1"/>
    </xf>
    <xf numFmtId="180" fontId="15" fillId="6" borderId="31" xfId="3" applyNumberFormat="1" applyFont="1" applyFill="1" applyBorder="1" applyAlignment="1">
      <alignment horizontal="center" vertical="center" wrapText="1"/>
    </xf>
    <xf numFmtId="180" fontId="17" fillId="5" borderId="0" xfId="3" applyNumberFormat="1" applyFont="1" applyFill="1" applyAlignment="1">
      <alignment horizontal="center" vertical="center"/>
    </xf>
    <xf numFmtId="180"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24" fillId="4" borderId="22" xfId="3" applyFont="1" applyFill="1" applyBorder="1" applyAlignment="1" applyProtection="1">
      <alignment horizontal="center" vertical="center" wrapText="1"/>
    </xf>
    <xf numFmtId="0" fontId="24" fillId="4" borderId="34"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8" borderId="22" xfId="3" applyFont="1" applyFill="1" applyBorder="1" applyAlignment="1" applyProtection="1">
      <alignment horizontal="center" vertical="center" wrapText="1"/>
      <protection locked="0"/>
    </xf>
    <xf numFmtId="0" fontId="25" fillId="8" borderId="34" xfId="3" applyFont="1" applyFill="1" applyBorder="1" applyAlignment="1" applyProtection="1">
      <alignment horizontal="center" vertical="center" wrapText="1"/>
      <protection locked="0"/>
    </xf>
    <xf numFmtId="10" fontId="16" fillId="5" borderId="35" xfId="3" applyNumberFormat="1" applyFont="1" applyFill="1" applyBorder="1" applyAlignment="1">
      <alignment vertical="center"/>
    </xf>
    <xf numFmtId="0" fontId="24" fillId="6" borderId="36" xfId="3" applyFont="1" applyFill="1" applyBorder="1" applyAlignment="1" applyProtection="1">
      <alignment horizontal="center" vertical="center" wrapText="1"/>
    </xf>
    <xf numFmtId="0" fontId="17" fillId="0" borderId="0" xfId="3" applyFont="1" applyProtection="1">
      <alignment vertical="center"/>
    </xf>
    <xf numFmtId="10" fontId="17" fillId="0" borderId="19" xfId="3" applyNumberFormat="1" applyFont="1" applyBorder="1" applyProtection="1">
      <alignment vertical="center"/>
    </xf>
    <xf numFmtId="10" fontId="17" fillId="0" borderId="0" xfId="3" applyNumberFormat="1" applyFont="1" applyProtection="1">
      <alignment vertical="center"/>
    </xf>
    <xf numFmtId="0" fontId="24" fillId="7" borderId="34" xfId="3" applyFont="1" applyFill="1" applyBorder="1" applyAlignment="1" applyProtection="1">
      <alignment horizontal="center" vertical="center" wrapText="1"/>
    </xf>
    <xf numFmtId="10" fontId="17" fillId="0" borderId="37" xfId="3" applyNumberFormat="1" applyFont="1" applyBorder="1">
      <alignment vertical="center"/>
    </xf>
    <xf numFmtId="10" fontId="17" fillId="0" borderId="38" xfId="3" applyNumberFormat="1" applyFont="1" applyBorder="1">
      <alignment vertical="center"/>
    </xf>
    <xf numFmtId="10" fontId="17" fillId="0" borderId="19" xfId="3" applyNumberFormat="1" applyFont="1" applyBorder="1">
      <alignment vertical="center"/>
    </xf>
    <xf numFmtId="10" fontId="17" fillId="0" borderId="0" xfId="3" applyNumberFormat="1" applyFont="1">
      <alignment vertical="center"/>
    </xf>
    <xf numFmtId="0" fontId="24" fillId="6" borderId="34" xfId="3" applyFont="1" applyFill="1" applyBorder="1" applyAlignment="1" applyProtection="1">
      <alignment horizontal="center" vertical="center" wrapText="1"/>
    </xf>
    <xf numFmtId="10" fontId="17" fillId="0" borderId="0" xfId="3" applyNumberFormat="1" applyFont="1" applyBorder="1">
      <alignment vertical="center"/>
    </xf>
    <xf numFmtId="10" fontId="17" fillId="0" borderId="35" xfId="3" applyNumberFormat="1" applyFont="1" applyBorder="1">
      <alignment vertical="center"/>
    </xf>
    <xf numFmtId="10" fontId="17" fillId="0" borderId="39" xfId="3" applyNumberFormat="1" applyFont="1" applyBorder="1">
      <alignment vertical="center"/>
    </xf>
    <xf numFmtId="0" fontId="24" fillId="6" borderId="40" xfId="3" applyFont="1" applyFill="1" applyBorder="1" applyAlignment="1" applyProtection="1">
      <alignment horizontal="center" vertical="center" wrapText="1"/>
    </xf>
    <xf numFmtId="0" fontId="24" fillId="7" borderId="36" xfId="3" applyFont="1" applyFill="1" applyBorder="1" applyAlignment="1" applyProtection="1">
      <alignment horizontal="center" vertical="center" wrapText="1"/>
    </xf>
    <xf numFmtId="0" fontId="17" fillId="7" borderId="36" xfId="3" applyFont="1" applyFill="1"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40" xfId="3" applyFont="1" applyFill="1" applyBorder="1" applyAlignment="1" applyProtection="1">
      <alignment horizontal="center" vertical="center" wrapText="1"/>
    </xf>
    <xf numFmtId="0" fontId="24" fillId="7" borderId="41" xfId="3" applyFont="1" applyFill="1" applyBorder="1" applyAlignment="1" applyProtection="1">
      <alignment horizontal="center" vertical="center" wrapText="1"/>
    </xf>
    <xf numFmtId="10" fontId="17" fillId="0" borderId="42" xfId="3" applyNumberFormat="1" applyFont="1" applyBorder="1">
      <alignment vertical="center"/>
    </xf>
    <xf numFmtId="10" fontId="17" fillId="0" borderId="18" xfId="3" applyNumberFormat="1" applyFont="1" applyBorder="1">
      <alignment vertical="center"/>
    </xf>
    <xf numFmtId="0" fontId="24" fillId="6" borderId="43" xfId="3" applyFont="1" applyFill="1" applyBorder="1" applyAlignment="1" applyProtection="1">
      <alignment horizontal="center" vertical="center" wrapText="1"/>
    </xf>
    <xf numFmtId="10" fontId="17" fillId="9" borderId="19" xfId="3" applyNumberFormat="1" applyFont="1" applyFill="1" applyBorder="1">
      <alignment vertical="center"/>
    </xf>
    <xf numFmtId="10" fontId="17" fillId="9" borderId="0" xfId="3" applyNumberFormat="1" applyFont="1" applyFill="1">
      <alignment vertical="center"/>
    </xf>
    <xf numFmtId="10" fontId="17" fillId="9" borderId="35" xfId="3" applyNumberFormat="1" applyFont="1" applyFill="1" applyBorder="1">
      <alignment vertical="center"/>
    </xf>
    <xf numFmtId="10" fontId="17" fillId="9" borderId="39" xfId="3" applyNumberFormat="1" applyFont="1" applyFill="1" applyBorder="1">
      <alignment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0" fontId="17" fillId="0" borderId="0" xfId="3" applyFont="1" applyAlignment="1" applyProtection="1">
      <alignment horizontal="center" vertical="center"/>
    </xf>
    <xf numFmtId="178" fontId="17" fillId="0" borderId="0" xfId="3" applyNumberFormat="1" applyFont="1">
      <alignment vertical="center"/>
    </xf>
    <xf numFmtId="181" fontId="17" fillId="0" borderId="19" xfId="3" applyNumberFormat="1" applyFont="1" applyBorder="1">
      <alignment vertical="center"/>
    </xf>
    <xf numFmtId="181" fontId="17" fillId="0" borderId="0" xfId="3" applyNumberFormat="1" applyFont="1">
      <alignment vertical="center"/>
    </xf>
    <xf numFmtId="0" fontId="17" fillId="0" borderId="0" xfId="3" applyFont="1" applyFill="1" applyAlignment="1">
      <alignment horizontal="center" vertical="center"/>
    </xf>
    <xf numFmtId="178" fontId="17" fillId="3" borderId="0" xfId="3" applyNumberFormat="1" applyFont="1" applyFill="1">
      <alignment vertical="center"/>
    </xf>
    <xf numFmtId="10" fontId="17" fillId="3" borderId="35" xfId="3" applyNumberFormat="1" applyFont="1" applyFill="1" applyBorder="1">
      <alignment vertical="center"/>
    </xf>
    <xf numFmtId="10" fontId="17" fillId="3" borderId="39"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78" fontId="17" fillId="0" borderId="18" xfId="3" applyNumberFormat="1" applyFont="1" applyBorder="1">
      <alignment vertical="center"/>
    </xf>
    <xf numFmtId="10" fontId="17" fillId="0" borderId="18" xfId="3" applyNumberFormat="1" applyFont="1" applyBorder="1" applyAlignment="1">
      <alignment horizontal="center" vertical="center"/>
    </xf>
    <xf numFmtId="183" fontId="17" fillId="0" borderId="0" xfId="3" applyNumberFormat="1" applyFont="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Alignment="1" applyProtection="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15" fillId="7" borderId="44" xfId="3" applyFont="1" applyFill="1" applyBorder="1" applyAlignment="1">
      <alignment horizontal="center" vertical="center" wrapText="1"/>
    </xf>
    <xf numFmtId="0" fontId="15" fillId="7" borderId="45" xfId="3" applyFont="1" applyFill="1" applyBorder="1" applyAlignment="1">
      <alignment horizontal="center" vertical="center" wrapText="1"/>
    </xf>
    <xf numFmtId="178" fontId="17" fillId="9" borderId="0" xfId="3" applyNumberFormat="1" applyFont="1" applyFill="1" applyAlignment="1">
      <alignment horizontal="center"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78"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0" fontId="17" fillId="9" borderId="42" xfId="3" applyNumberFormat="1" applyFont="1" applyFill="1" applyBorder="1">
      <alignment vertical="center"/>
    </xf>
    <xf numFmtId="10" fontId="17" fillId="9" borderId="18" xfId="3" applyNumberFormat="1" applyFont="1" applyFill="1" applyBorder="1">
      <alignment vertical="center"/>
    </xf>
    <xf numFmtId="184" fontId="17" fillId="0" borderId="0" xfId="3" applyNumberFormat="1" applyFont="1" applyAlignment="1">
      <alignment horizontal="center" vertical="center"/>
    </xf>
    <xf numFmtId="184" fontId="17" fillId="0" borderId="19" xfId="3" applyNumberFormat="1" applyFont="1" applyBorder="1" applyAlignment="1">
      <alignment horizontal="center" vertical="center"/>
    </xf>
    <xf numFmtId="184" fontId="17" fillId="3" borderId="0" xfId="3" applyNumberFormat="1" applyFont="1" applyFill="1" applyAlignment="1">
      <alignment horizontal="center" vertical="center"/>
    </xf>
    <xf numFmtId="0" fontId="17" fillId="3" borderId="19" xfId="3" applyFont="1" applyFill="1" applyBorder="1">
      <alignment vertical="center"/>
    </xf>
    <xf numFmtId="184" fontId="18" fillId="0" borderId="0" xfId="3" applyNumberFormat="1" applyFont="1" applyAlignment="1">
      <alignment horizontal="center" vertical="center"/>
    </xf>
    <xf numFmtId="184" fontId="18" fillId="0" borderId="19" xfId="3" applyNumberFormat="1" applyFont="1" applyBorder="1" applyAlignment="1">
      <alignment horizontal="center" vertical="center"/>
    </xf>
    <xf numFmtId="183" fontId="17" fillId="0" borderId="18" xfId="3" applyNumberFormat="1" applyFont="1" applyBorder="1" applyAlignment="1">
      <alignment horizontal="center" vertical="center"/>
    </xf>
    <xf numFmtId="183"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79"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79"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1"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79"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76"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76"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1" fontId="23" fillId="2" borderId="54" xfId="0" applyNumberFormat="1" applyFont="1" applyFill="1" applyBorder="1" applyAlignment="1" applyProtection="1">
      <alignment horizontal="center" vertical="center" wrapText="1"/>
    </xf>
    <xf numFmtId="181"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76" fontId="23" fillId="2" borderId="52" xfId="0" applyNumberFormat="1" applyFont="1" applyFill="1" applyBorder="1" applyAlignment="1" applyProtection="1">
      <alignment horizontal="center" vertical="center" wrapText="1"/>
    </xf>
    <xf numFmtId="176"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76"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76"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76"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78" fontId="43" fillId="0" borderId="7" xfId="0" applyNumberFormat="1" applyFont="1" applyFill="1" applyBorder="1" applyAlignment="1" applyProtection="1">
      <alignment horizontal="center" vertical="center" wrapText="1"/>
      <protection locked="0"/>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7"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0"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79"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78" fontId="18" fillId="0" borderId="7" xfId="8" applyNumberFormat="1" applyFont="1" applyFill="1" applyBorder="1" applyAlignment="1" applyProtection="1">
      <alignment horizontal="center" vertical="center"/>
    </xf>
    <xf numFmtId="178" fontId="18" fillId="2" borderId="7" xfId="8" applyNumberFormat="1" applyFont="1" applyFill="1" applyBorder="1" applyAlignment="1" applyProtection="1">
      <alignment horizontal="center" vertical="center"/>
    </xf>
    <xf numFmtId="176"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0" fontId="17" fillId="2" borderId="7" xfId="0" applyNumberFormat="1" applyFont="1" applyFill="1" applyBorder="1" applyAlignment="1" applyProtection="1">
      <alignment horizontal="center" vertical="center"/>
    </xf>
    <xf numFmtId="176" fontId="17" fillId="2" borderId="7" xfId="0" applyNumberFormat="1" applyFont="1" applyFill="1" applyBorder="1" applyAlignment="1" applyProtection="1">
      <alignment horizontal="center" vertical="center"/>
    </xf>
    <xf numFmtId="178" fontId="18" fillId="2" borderId="7" xfId="0" applyNumberFormat="1" applyFont="1" applyFill="1" applyBorder="1" applyAlignment="1" applyProtection="1">
      <alignment horizontal="center" vertical="center"/>
    </xf>
    <xf numFmtId="176" fontId="18" fillId="2" borderId="7" xfId="0" applyNumberFormat="1" applyFont="1" applyFill="1" applyBorder="1" applyAlignment="1" applyProtection="1">
      <alignment horizontal="center" vertical="center" wrapText="1"/>
    </xf>
    <xf numFmtId="180" fontId="17" fillId="2" borderId="16" xfId="0" applyNumberFormat="1" applyFont="1" applyFill="1" applyBorder="1" applyAlignment="1" applyProtection="1">
      <alignment horizontal="center" vertical="center" wrapText="1"/>
    </xf>
    <xf numFmtId="179"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79"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78"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0"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7"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7"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7"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0"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0"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0"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0"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79" fontId="23" fillId="0" borderId="7" xfId="9" applyNumberFormat="1" applyFont="1" applyFill="1" applyBorder="1" applyAlignment="1" applyProtection="1">
      <alignment horizontal="center"/>
      <protection locked="0"/>
    </xf>
    <xf numFmtId="178"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78"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38" xfId="0" applyNumberFormat="1" applyFont="1" applyFill="1" applyBorder="1" applyAlignment="1" applyProtection="1">
      <alignment horizontal="center" vertical="center"/>
    </xf>
    <xf numFmtId="181"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2" borderId="0" xfId="0" applyNumberFormat="1" applyFont="1" applyFill="1" applyBorder="1" applyAlignment="1" applyProtection="1">
      <alignment horizontal="center" vertical="center"/>
      <protection locked="0"/>
    </xf>
    <xf numFmtId="181"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81"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1"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1"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1"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1"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81" fontId="43" fillId="2" borderId="0" xfId="0" applyNumberFormat="1" applyFont="1" applyFill="1" applyBorder="1" applyAlignment="1" applyProtection="1">
      <alignment vertical="center" wrapText="1"/>
      <protection locked="0"/>
    </xf>
    <xf numFmtId="186" fontId="43" fillId="2" borderId="14" xfId="0" applyNumberFormat="1" applyFont="1" applyFill="1" applyBorder="1" applyAlignment="1" applyProtection="1">
      <alignment horizontal="center"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186" fontId="59" fillId="2" borderId="0" xfId="0" applyNumberFormat="1" applyFont="1" applyFill="1" applyAlignment="1" applyProtection="1">
      <alignment horizontal="center" vertical="center"/>
      <protection locked="0"/>
    </xf>
    <xf numFmtId="181"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8"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5" fontId="42" fillId="2" borderId="90" xfId="0" applyNumberFormat="1" applyFont="1" applyFill="1" applyBorder="1" applyAlignment="1" applyProtection="1">
      <alignment horizontal="center" vertical="center" wrapText="1"/>
    </xf>
    <xf numFmtId="185"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86" fontId="61" fillId="2" borderId="117" xfId="0" applyNumberFormat="1" applyFont="1" applyFill="1" applyBorder="1" applyAlignment="1" applyProtection="1">
      <alignment horizontal="center" vertical="center"/>
    </xf>
    <xf numFmtId="181"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81" fontId="61" fillId="2" borderId="0" xfId="0" applyNumberFormat="1" applyFont="1" applyFill="1" applyBorder="1" applyAlignment="1" applyProtection="1">
      <alignment vertical="center"/>
    </xf>
    <xf numFmtId="181" fontId="42" fillId="2" borderId="0" xfId="0" applyNumberFormat="1" applyFont="1" applyFill="1" applyBorder="1" applyAlignment="1" applyProtection="1">
      <alignment vertical="center" wrapText="1"/>
    </xf>
    <xf numFmtId="181"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1"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1" fontId="58" fillId="2" borderId="0" xfId="0" applyNumberFormat="1" applyFont="1" applyFill="1" applyBorder="1" applyAlignment="1" applyProtection="1">
      <alignment horizontal="center" vertical="center" wrapText="1"/>
    </xf>
    <xf numFmtId="181"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6" fontId="43" fillId="12" borderId="14" xfId="0" applyNumberFormat="1" applyFont="1" applyFill="1" applyBorder="1" applyAlignment="1" applyProtection="1">
      <alignment horizontal="center" vertical="center"/>
      <protection locked="0"/>
    </xf>
    <xf numFmtId="181" fontId="43" fillId="2" borderId="0" xfId="0" applyNumberFormat="1" applyFont="1" applyFill="1" applyBorder="1" applyAlignment="1" applyProtection="1">
      <alignment vertical="center" wrapText="1"/>
    </xf>
    <xf numFmtId="186" fontId="43" fillId="12" borderId="14" xfId="0" applyNumberFormat="1" applyFont="1" applyFill="1" applyBorder="1" applyAlignment="1" applyProtection="1">
      <alignment horizontal="center" vertical="center" wrapText="1"/>
      <protection locked="0"/>
    </xf>
    <xf numFmtId="186" fontId="43" fillId="12" borderId="7" xfId="0" applyNumberFormat="1" applyFont="1" applyFill="1" applyBorder="1" applyAlignment="1" applyProtection="1">
      <alignment horizontal="center" vertical="center" wrapText="1"/>
      <protection locked="0"/>
    </xf>
    <xf numFmtId="181" fontId="43" fillId="2" borderId="0" xfId="0" applyNumberFormat="1" applyFont="1" applyFill="1" applyAlignment="1" applyProtection="1">
      <alignment horizontal="center" vertical="center"/>
    </xf>
    <xf numFmtId="181"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5"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56" fillId="2" borderId="0" xfId="0" applyFont="1" applyFill="1" applyAlignment="1" applyProtection="1">
      <alignment horizontal="center" vertical="center"/>
      <protection locked="0"/>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2" fillId="11" borderId="97" xfId="0" applyNumberFormat="1" applyFont="1" applyFill="1" applyBorder="1" applyAlignment="1" applyProtection="1">
      <alignment horizontal="center" vertical="center" wrapText="1"/>
      <protection locked="0"/>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21"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42" fillId="0" borderId="122" xfId="0" applyNumberFormat="1" applyFont="1" applyFill="1" applyBorder="1" applyAlignment="1" applyProtection="1">
      <alignment horizontal="center" vertical="center"/>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6" fontId="45" fillId="2" borderId="0" xfId="0" applyNumberFormat="1" applyFont="1" applyFill="1" applyBorder="1" applyAlignment="1" applyProtection="1">
      <alignment horizontal="center" vertical="center"/>
      <protection locked="0"/>
    </xf>
    <xf numFmtId="181"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6" fontId="42" fillId="2" borderId="68" xfId="0" applyNumberFormat="1" applyFont="1" applyFill="1" applyBorder="1" applyAlignment="1" applyProtection="1">
      <alignment horizontal="center" vertical="center" wrapText="1"/>
    </xf>
    <xf numFmtId="186"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6" fontId="43" fillId="2" borderId="93" xfId="0" applyNumberFormat="1" applyFont="1" applyFill="1" applyBorder="1" applyAlignment="1" applyProtection="1">
      <alignment horizontal="center" vertical="center"/>
    </xf>
    <xf numFmtId="186" fontId="43" fillId="2" borderId="93" xfId="0" applyNumberFormat="1" applyFont="1" applyFill="1" applyBorder="1" applyAlignment="1" applyProtection="1">
      <alignment horizontal="center" vertical="center" wrapText="1"/>
    </xf>
    <xf numFmtId="186"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3"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4"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3"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3"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5"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76"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3" fontId="54" fillId="2" borderId="8" xfId="0" applyNumberFormat="1" applyFont="1" applyFill="1" applyBorder="1" applyAlignment="1" applyProtection="1">
      <alignment horizontal="center" vertical="center"/>
    </xf>
    <xf numFmtId="183"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3"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23"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76" fillId="0" borderId="126" xfId="0" applyNumberFormat="1" applyFont="1" applyFill="1" applyBorder="1" applyAlignment="1" applyProtection="1">
      <alignment horizontal="center" vertical="center" wrapText="1"/>
      <protection locked="0"/>
    </xf>
    <xf numFmtId="0" fontId="76" fillId="0" borderId="127" xfId="0" applyNumberFormat="1" applyFont="1" applyFill="1" applyBorder="1" applyAlignment="1" applyProtection="1">
      <alignment horizontal="center" vertical="center" wrapText="1"/>
      <protection locked="0"/>
    </xf>
    <xf numFmtId="0" fontId="76" fillId="0" borderId="128"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2" borderId="129" xfId="0" applyNumberFormat="1" applyFont="1" applyFill="1" applyBorder="1" applyAlignment="1" applyProtection="1">
      <alignment horizontal="center" vertical="center" wrapText="1"/>
    </xf>
    <xf numFmtId="0" fontId="49" fillId="2" borderId="130" xfId="0" applyNumberFormat="1" applyFont="1" applyFill="1" applyBorder="1" applyAlignment="1" applyProtection="1">
      <alignment horizontal="center" vertical="center" wrapText="1"/>
    </xf>
    <xf numFmtId="0" fontId="23" fillId="2" borderId="131"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23" fillId="0" borderId="131" xfId="0" applyNumberFormat="1" applyFont="1" applyFill="1" applyBorder="1" applyAlignment="1" applyProtection="1">
      <alignment horizontal="center" vertical="center" wrapText="1"/>
      <protection locked="0"/>
    </xf>
    <xf numFmtId="0" fontId="49" fillId="0" borderId="57" xfId="0" applyNumberFormat="1" applyFont="1" applyFill="1" applyBorder="1" applyAlignment="1" applyProtection="1">
      <alignment horizontal="center" vertical="center" wrapText="1"/>
      <protection locked="0"/>
    </xf>
    <xf numFmtId="0" fontId="75" fillId="2" borderId="132"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23" fillId="0" borderId="7" xfId="0" applyFont="1" applyBorder="1" applyProtection="1">
      <alignment vertical="center"/>
      <protection locked="0"/>
    </xf>
    <xf numFmtId="0" fontId="23" fillId="0" borderId="7" xfId="0" applyFont="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left" vertical="center" wrapText="1"/>
      <protection locked="0"/>
    </xf>
    <xf numFmtId="0" fontId="49" fillId="0" borderId="133" xfId="0" applyNumberFormat="1" applyFont="1" applyFill="1" applyBorder="1" applyAlignment="1" applyProtection="1">
      <alignment horizontal="center" vertical="center" wrapText="1"/>
      <protection locked="0"/>
    </xf>
    <xf numFmtId="0" fontId="23" fillId="2" borderId="134"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5" xfId="0" applyFont="1" applyFill="1" applyBorder="1" applyAlignment="1" applyProtection="1">
      <alignment horizontal="center" vertical="center"/>
      <protection locked="0"/>
    </xf>
    <xf numFmtId="0"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wrapText="1"/>
      <protection locked="0"/>
    </xf>
    <xf numFmtId="0" fontId="23" fillId="0" borderId="134"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7" xfId="0" applyNumberFormat="1" applyFont="1" applyFill="1" applyBorder="1" applyAlignment="1" applyProtection="1">
      <alignment horizontal="center" vertical="center" wrapText="1"/>
      <protection locked="0"/>
    </xf>
    <xf numFmtId="0" fontId="49" fillId="0" borderId="138"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39" xfId="0" applyNumberFormat="1" applyFont="1" applyFill="1" applyBorder="1" applyAlignment="1" applyProtection="1">
      <alignment horizontal="center" vertical="center" wrapText="1"/>
    </xf>
    <xf numFmtId="0" fontId="23" fillId="2" borderId="140"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protection locked="0"/>
    </xf>
    <xf numFmtId="0" fontId="49" fillId="0" borderId="138" xfId="0" applyFont="1" applyFill="1" applyBorder="1" applyAlignment="1" applyProtection="1">
      <alignment horizontal="center" vertical="center"/>
      <protection locked="0"/>
    </xf>
    <xf numFmtId="0" fontId="49" fillId="2" borderId="138" xfId="0" applyNumberFormat="1" applyFont="1" applyFill="1" applyBorder="1" applyAlignment="1" applyProtection="1">
      <alignment horizontal="center" vertical="center" wrapText="1"/>
    </xf>
    <xf numFmtId="0" fontId="23" fillId="0" borderId="139"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4"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54" fillId="2" borderId="141" xfId="0" applyFont="1" applyFill="1" applyBorder="1" applyAlignment="1" applyProtection="1">
      <alignment horizontal="center" vertical="center"/>
      <protection locked="0"/>
    </xf>
    <xf numFmtId="0" fontId="79" fillId="0" borderId="66" xfId="0" applyNumberFormat="1" applyFont="1" applyFill="1" applyBorder="1" applyAlignment="1" applyProtection="1">
      <alignment horizontal="center" vertical="center" wrapText="1"/>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80" fillId="11" borderId="6" xfId="0" applyNumberFormat="1" applyFont="1" applyFill="1" applyBorder="1" applyAlignment="1" applyProtection="1">
      <alignment horizontal="center" vertical="center" wrapText="1"/>
      <protection locked="0"/>
    </xf>
    <xf numFmtId="0" fontId="61" fillId="2" borderId="14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79" fillId="0" borderId="107"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center" vertical="center" wrapText="1"/>
      <protection locked="0"/>
    </xf>
    <xf numFmtId="0" fontId="80" fillId="0" borderId="107" xfId="0" applyNumberFormat="1" applyFont="1" applyFill="1" applyBorder="1" applyAlignment="1" applyProtection="1">
      <alignment horizontal="center" vertical="center" wrapText="1"/>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8" fontId="3" fillId="0" borderId="7" xfId="0" applyNumberFormat="1" applyFont="1" applyFill="1" applyBorder="1" applyAlignment="1">
      <alignment horizontal="center" vertical="center"/>
    </xf>
    <xf numFmtId="0" fontId="83"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3"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78"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4"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78"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6"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8" fontId="46" fillId="2" borderId="39" xfId="0" applyNumberFormat="1" applyFont="1" applyFill="1" applyBorder="1" applyAlignment="1" applyProtection="1"/>
    <xf numFmtId="0" fontId="56" fillId="2" borderId="0" xfId="0" applyFont="1" applyFill="1" applyAlignment="1" applyProtection="1">
      <alignment vertical="center"/>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8"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1" fontId="75"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5"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1" fontId="75"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5"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4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1" fontId="75" fillId="2" borderId="108" xfId="0" applyNumberFormat="1" applyFont="1" applyFill="1" applyBorder="1" applyAlignment="1" applyProtection="1">
      <alignment horizontal="center" vertical="center"/>
    </xf>
    <xf numFmtId="49" fontId="75" fillId="2" borderId="97"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1"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1" fontId="75"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1"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1"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1"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1" fontId="49" fillId="2" borderId="93"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0"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9"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9" fontId="75" fillId="2" borderId="11" xfId="0" applyNumberFormat="1" applyFont="1" applyFill="1" applyBorder="1" applyAlignment="1" applyProtection="1">
      <alignment horizontal="center" vertical="center"/>
    </xf>
    <xf numFmtId="179"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1" fontId="75"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81" fontId="75"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1"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79" fontId="74"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79" fontId="89"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0"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1" fontId="75"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81"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1" fontId="49"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3" fillId="2" borderId="145" xfId="0" applyFont="1" applyFill="1" applyBorder="1" applyAlignment="1" applyProtection="1">
      <alignment vertical="center" wrapText="1"/>
    </xf>
    <xf numFmtId="0" fontId="93" fillId="2" borderId="92"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3"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1"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2" xfId="0" applyFont="1" applyFill="1" applyBorder="1" applyAlignment="1" applyProtection="1">
      <alignment horizontal="center" vertical="center" wrapText="1"/>
    </xf>
    <xf numFmtId="0" fontId="93" fillId="2" borderId="9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92"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0" fontId="49" fillId="12" borderId="0" xfId="0" applyNumberFormat="1" applyFont="1" applyFill="1" applyAlignment="1" applyProtection="1">
      <alignment horizontal="center"/>
      <protection locked="0"/>
    </xf>
    <xf numFmtId="0" fontId="77"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7" fillId="3" borderId="0" xfId="9" applyFont="1" applyFill="1" applyBorder="1" applyAlignment="1" applyProtection="1">
      <alignment vertical="center"/>
      <protection locked="0"/>
    </xf>
    <xf numFmtId="0" fontId="77" fillId="2" borderId="0" xfId="9" applyFont="1" applyFill="1" applyBorder="1" applyAlignment="1" applyProtection="1">
      <alignment vertical="center"/>
      <protection locked="0"/>
    </xf>
    <xf numFmtId="0" fontId="77" fillId="2" borderId="0" xfId="9" applyFont="1" applyFill="1" applyBorder="1" applyAlignment="1" applyProtection="1">
      <alignment vertical="center"/>
    </xf>
    <xf numFmtId="0" fontId="77" fillId="2" borderId="66" xfId="0" applyFont="1" applyFill="1" applyBorder="1" applyAlignment="1" applyProtection="1"/>
    <xf numFmtId="0" fontId="77" fillId="2" borderId="67" xfId="0" applyFont="1" applyFill="1" applyBorder="1" applyAlignment="1" applyProtection="1"/>
    <xf numFmtId="180"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0" fontId="49" fillId="0" borderId="7" xfId="0" applyNumberFormat="1" applyFont="1" applyFill="1" applyBorder="1" applyAlignment="1" applyProtection="1">
      <alignment horizontal="center"/>
      <protection locked="0"/>
    </xf>
    <xf numFmtId="180" fontId="49" fillId="2" borderId="7" xfId="0" applyNumberFormat="1" applyFont="1" applyFill="1" applyBorder="1" applyAlignment="1" applyProtection="1">
      <alignment horizontal="center"/>
      <protection locked="0"/>
    </xf>
    <xf numFmtId="188"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0" fontId="17" fillId="0" borderId="7" xfId="0" applyNumberFormat="1" applyFont="1" applyFill="1" applyBorder="1" applyAlignment="1" applyProtection="1">
      <alignment horizontal="center"/>
      <protection locked="0"/>
    </xf>
    <xf numFmtId="180" fontId="17" fillId="2" borderId="7" xfId="0" applyNumberFormat="1" applyFont="1" applyFill="1" applyBorder="1" applyAlignment="1" applyProtection="1">
      <alignment horizontal="center"/>
      <protection locked="0"/>
    </xf>
    <xf numFmtId="0" fontId="77" fillId="2" borderId="71" xfId="0" applyFont="1" applyFill="1" applyBorder="1" applyAlignment="1" applyProtection="1"/>
    <xf numFmtId="0" fontId="64" fillId="2" borderId="13" xfId="0" applyFont="1" applyFill="1" applyBorder="1" applyAlignment="1" applyProtection="1"/>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78" fontId="49" fillId="2" borderId="7" xfId="0" applyNumberFormat="1" applyFont="1" applyFill="1" applyBorder="1" applyAlignment="1" applyProtection="1">
      <alignment horizontal="center" vertical="center"/>
    </xf>
    <xf numFmtId="179" fontId="49" fillId="2" borderId="7" xfId="9" applyNumberFormat="1" applyFont="1" applyFill="1" applyBorder="1" applyAlignment="1" applyProtection="1">
      <alignment horizontal="center"/>
    </xf>
    <xf numFmtId="181"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78" fontId="49" fillId="2" borderId="7" xfId="9" applyNumberFormat="1" applyFont="1" applyFill="1" applyBorder="1" applyAlignment="1" applyProtection="1">
      <alignment horizontal="center"/>
    </xf>
    <xf numFmtId="178"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78" fontId="64" fillId="2" borderId="7" xfId="9" applyNumberFormat="1" applyFont="1" applyFill="1" applyBorder="1" applyAlignment="1" applyProtection="1">
      <alignment horizontal="center"/>
    </xf>
    <xf numFmtId="0" fontId="64" fillId="2" borderId="7" xfId="9" applyFont="1" applyFill="1" applyBorder="1" applyAlignment="1" applyProtection="1"/>
    <xf numFmtId="178"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8" fontId="64" fillId="2" borderId="7" xfId="9" applyNumberFormat="1" applyFont="1" applyFill="1" applyBorder="1" applyAlignment="1" applyProtection="1">
      <alignment vertical="center"/>
    </xf>
    <xf numFmtId="0" fontId="42" fillId="2" borderId="15" xfId="0" applyFont="1" applyFill="1" applyBorder="1" applyAlignment="1" applyProtection="1"/>
    <xf numFmtId="178" fontId="64" fillId="2" borderId="0" xfId="0" applyNumberFormat="1" applyFont="1" applyFill="1" applyBorder="1" applyAlignment="1" applyProtection="1">
      <alignment horizontal="center"/>
    </xf>
    <xf numFmtId="178"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6" fontId="49" fillId="2" borderId="14"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vertical="center"/>
    </xf>
    <xf numFmtId="178"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8"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78"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8" fontId="49" fillId="2" borderId="7" xfId="0" applyNumberFormat="1" applyFont="1" applyFill="1" applyBorder="1" applyAlignment="1" applyProtection="1">
      <alignment horizontal="center" vertical="center" wrapText="1"/>
    </xf>
    <xf numFmtId="178"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8" fontId="64" fillId="2" borderId="7" xfId="0" applyNumberFormat="1" applyFont="1" applyFill="1" applyBorder="1" applyAlignment="1" applyProtection="1">
      <alignment horizontal="center"/>
    </xf>
    <xf numFmtId="0" fontId="64" fillId="2" borderId="7" xfId="0" applyFont="1" applyFill="1" applyBorder="1" applyAlignment="1" applyProtection="1"/>
    <xf numFmtId="178"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8" fontId="64" fillId="2" borderId="13" xfId="0" applyNumberFormat="1" applyFont="1" applyFill="1" applyBorder="1" applyAlignment="1" applyProtection="1"/>
    <xf numFmtId="178"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0" fontId="77" fillId="2" borderId="10" xfId="0" applyNumberFormat="1" applyFont="1" applyFill="1" applyBorder="1" applyAlignment="1" applyProtection="1">
      <alignment horizontal="center"/>
    </xf>
    <xf numFmtId="0" fontId="77" fillId="2" borderId="56" xfId="0" applyFont="1" applyFill="1" applyBorder="1" applyAlignment="1" applyProtection="1"/>
    <xf numFmtId="0" fontId="77" fillId="2" borderId="68" xfId="0" applyFont="1" applyFill="1" applyBorder="1" applyAlignment="1" applyProtection="1"/>
    <xf numFmtId="0" fontId="69" fillId="10" borderId="0" xfId="0" applyFont="1" applyFill="1" applyAlignment="1" applyProtection="1">
      <protection locked="0"/>
    </xf>
    <xf numFmtId="0" fontId="77" fillId="2" borderId="93" xfId="0" applyFont="1" applyFill="1" applyBorder="1" applyAlignment="1" applyProtection="1"/>
    <xf numFmtId="0" fontId="64" fillId="10" borderId="0" xfId="0" applyFont="1" applyFill="1" applyAlignment="1" applyProtection="1">
      <protection locked="0"/>
    </xf>
    <xf numFmtId="180"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8"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8"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78"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78"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78"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78" fontId="23" fillId="0" borderId="7" xfId="9" applyNumberFormat="1" applyFont="1" applyFill="1" applyBorder="1" applyAlignment="1" applyProtection="1">
      <alignment horizontal="center" vertical="center"/>
      <protection locked="0"/>
    </xf>
    <xf numFmtId="179"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78"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78"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6" fillId="2" borderId="6" xfId="9" applyNumberFormat="1" applyFont="1" applyFill="1" applyBorder="1" applyAlignment="1" applyProtection="1">
      <alignment horizontal="left"/>
    </xf>
    <xf numFmtId="0" fontId="96" fillId="2" borderId="13" xfId="9" applyFont="1" applyFill="1" applyBorder="1" applyAlignment="1" applyProtection="1"/>
    <xf numFmtId="178" fontId="96" fillId="2" borderId="7" xfId="9" applyNumberFormat="1" applyFont="1" applyFill="1" applyBorder="1" applyAlignment="1" applyProtection="1">
      <alignment horizontal="center" vertical="center"/>
    </xf>
    <xf numFmtId="179" fontId="96"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79"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xf>
    <xf numFmtId="183" fontId="23" fillId="2" borderId="7" xfId="0" applyNumberFormat="1" applyFont="1" applyFill="1" applyBorder="1" applyAlignment="1" applyProtection="1">
      <alignment horizontal="center" vertical="center"/>
    </xf>
    <xf numFmtId="179"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1"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93"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78"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79"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1" fontId="99" fillId="2" borderId="92"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9" fontId="49" fillId="2" borderId="0" xfId="0" applyNumberFormat="1" applyFont="1" applyFill="1" applyAlignment="1" applyProtection="1">
      <alignment horizontal="center" vertical="center"/>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8"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38" xfId="0" applyFont="1" applyFill="1" applyBorder="1" applyAlignment="1" applyProtection="1">
      <alignment horizontal="center" vertical="center" wrapText="1"/>
    </xf>
    <xf numFmtId="0" fontId="103" fillId="10" borderId="91" xfId="0" applyFont="1" applyFill="1" applyBorder="1" applyAlignment="1" applyProtection="1">
      <alignment vertical="center" wrapText="1"/>
    </xf>
    <xf numFmtId="181" fontId="49"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03" fillId="10" borderId="58" xfId="0" applyFont="1" applyFill="1" applyBorder="1" applyAlignment="1" applyProtection="1">
      <alignment vertical="center" wrapText="1"/>
    </xf>
    <xf numFmtId="0" fontId="103" fillId="10" borderId="39"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8"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78" fontId="23" fillId="0" borderId="7" xfId="0" applyNumberFormat="1" applyFont="1" applyFill="1" applyBorder="1" applyAlignment="1" applyProtection="1">
      <alignment horizontal="center" vertical="center" wrapText="1"/>
      <protection locked="0"/>
    </xf>
    <xf numFmtId="49" fontId="75"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78"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78"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78"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4" fontId="23" fillId="2" borderId="7" xfId="0" applyNumberFormat="1" applyFont="1" applyFill="1" applyBorder="1" applyAlignment="1" applyProtection="1">
      <alignment horizontal="center" vertical="center" wrapText="1"/>
    </xf>
    <xf numFmtId="10" fontId="75"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5" fillId="2" borderId="6" xfId="0" applyNumberFormat="1" applyFont="1" applyFill="1" applyBorder="1" applyAlignment="1" applyProtection="1">
      <alignment vertical="center" wrapText="1"/>
    </xf>
    <xf numFmtId="181"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4"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4" fillId="2" borderId="7"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wrapText="1"/>
    </xf>
    <xf numFmtId="0" fontId="93" fillId="2" borderId="7" xfId="0" applyFont="1" applyFill="1" applyBorder="1" applyAlignment="1" applyProtection="1">
      <alignment vertical="center"/>
    </xf>
    <xf numFmtId="0" fontId="94" fillId="2" borderId="12" xfId="0" applyFont="1" applyFill="1" applyBorder="1" applyAlignment="1" applyProtection="1">
      <alignment horizontal="center" vertical="center" wrapText="1"/>
    </xf>
    <xf numFmtId="0" fontId="94" fillId="2" borderId="61" xfId="0" applyFont="1" applyFill="1" applyBorder="1" applyAlignment="1" applyProtection="1">
      <alignment horizontal="center" vertical="center" wrapText="1"/>
    </xf>
    <xf numFmtId="0" fontId="93" fillId="2" borderId="7" xfId="0" applyFont="1" applyFill="1" applyBorder="1" applyAlignment="1" applyProtection="1">
      <alignment vertical="center" shrinkToFit="1"/>
    </xf>
    <xf numFmtId="0" fontId="93" fillId="2" borderId="13" xfId="0" applyFont="1" applyFill="1" applyBorder="1" applyAlignment="1" applyProtection="1">
      <alignment vertical="center"/>
    </xf>
    <xf numFmtId="0" fontId="69" fillId="2" borderId="13" xfId="0" applyFont="1" applyFill="1" applyBorder="1" applyProtection="1">
      <alignment vertical="center"/>
    </xf>
    <xf numFmtId="0" fontId="94" fillId="2" borderId="93" xfId="0" applyFont="1" applyFill="1" applyBorder="1" applyAlignment="1" applyProtection="1">
      <alignment vertical="center" wrapText="1"/>
    </xf>
    <xf numFmtId="0" fontId="69" fillId="2" borderId="0" xfId="0" applyFont="1" applyFill="1" applyBorder="1" applyProtection="1">
      <alignment vertical="center"/>
    </xf>
    <xf numFmtId="0" fontId="77" fillId="2" borderId="7" xfId="0" applyFont="1" applyFill="1" applyBorder="1" applyAlignment="1" applyProtection="1">
      <alignment horizontal="center" vertical="center" wrapText="1"/>
    </xf>
    <xf numFmtId="0" fontId="93" fillId="2" borderId="58" xfId="0" applyFont="1" applyFill="1" applyBorder="1" applyAlignment="1" applyProtection="1">
      <alignment vertical="center"/>
    </xf>
    <xf numFmtId="0" fontId="94" fillId="2" borderId="13" xfId="0" applyFont="1" applyFill="1" applyBorder="1" applyAlignment="1" applyProtection="1">
      <alignment vertical="center" wrapText="1"/>
    </xf>
    <xf numFmtId="0" fontId="94" fillId="2" borderId="94" xfId="0" applyFont="1" applyFill="1" applyBorder="1" applyAlignment="1" applyProtection="1">
      <alignment vertical="center" wrapText="1"/>
    </xf>
    <xf numFmtId="0" fontId="94" fillId="2" borderId="7" xfId="0" applyFont="1" applyFill="1" applyBorder="1" applyAlignment="1" applyProtection="1">
      <alignment vertical="center" shrinkToFit="1"/>
    </xf>
    <xf numFmtId="0" fontId="93" fillId="2" borderId="56" xfId="0" applyFont="1" applyFill="1" applyBorder="1" applyAlignment="1" applyProtection="1">
      <alignment vertical="center"/>
    </xf>
    <xf numFmtId="0" fontId="94" fillId="2" borderId="56" xfId="0" applyFont="1" applyFill="1" applyBorder="1" applyAlignment="1" applyProtection="1">
      <alignment vertical="center" wrapText="1"/>
    </xf>
    <xf numFmtId="0" fontId="94"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3"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7"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92"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1"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1"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7"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7" fillId="2" borderId="7" xfId="4" applyFont="1" applyFill="1" applyBorder="1" applyAlignment="1">
      <alignment horizontal="center" vertical="center" wrapText="1"/>
    </xf>
    <xf numFmtId="0" fontId="107" fillId="0" borderId="0" xfId="4" applyFont="1" applyBorder="1" applyAlignment="1">
      <alignment horizontal="left" vertical="center" wrapText="1"/>
    </xf>
    <xf numFmtId="0" fontId="108" fillId="0" borderId="0" xfId="4" applyBorder="1"/>
    <xf numFmtId="14" fontId="107" fillId="2" borderId="7" xfId="4" applyNumberFormat="1" applyFont="1" applyFill="1" applyBorder="1" applyAlignment="1">
      <alignment horizontal="center" vertical="center" wrapText="1"/>
    </xf>
    <xf numFmtId="0" fontId="107" fillId="7" borderId="7" xfId="4" applyFont="1" applyFill="1" applyBorder="1" applyAlignment="1" applyProtection="1">
      <alignment horizontal="center" vertical="center" wrapText="1"/>
      <protection locked="0"/>
    </xf>
    <xf numFmtId="0" fontId="108" fillId="2" borderId="7" xfId="4" applyFill="1" applyBorder="1" applyAlignment="1">
      <alignment vertical="center"/>
    </xf>
    <xf numFmtId="0" fontId="107" fillId="2" borderId="12" xfId="4" applyFont="1" applyFill="1" applyBorder="1" applyAlignment="1">
      <alignment horizontal="center" vertical="center" wrapText="1"/>
    </xf>
    <xf numFmtId="0" fontId="109" fillId="3" borderId="7" xfId="4" applyFont="1" applyFill="1" applyBorder="1" applyProtection="1">
      <protection locked="0"/>
    </xf>
    <xf numFmtId="0" fontId="109" fillId="2" borderId="7" xfId="4" applyFont="1" applyFill="1" applyBorder="1"/>
    <xf numFmtId="0" fontId="108" fillId="0" borderId="7" xfId="4" applyBorder="1" applyProtection="1">
      <protection locked="0"/>
    </xf>
    <xf numFmtId="0" fontId="107" fillId="0" borderId="7" xfId="4"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0"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10"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10"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79" fontId="49" fillId="0" borderId="0" xfId="0" applyNumberFormat="1" applyFont="1" applyAlignment="1" applyProtection="1">
      <alignment vertical="center"/>
      <protection locked="0"/>
    </xf>
    <xf numFmtId="179" fontId="49"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79"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79"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79"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78"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4" fontId="43" fillId="2" borderId="6" xfId="9" applyNumberFormat="1" applyFont="1" applyFill="1" applyBorder="1" applyAlignment="1" applyProtection="1">
      <alignment horizontal="left" vertical="center" wrapText="1"/>
    </xf>
    <xf numFmtId="178"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87"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79" fontId="42" fillId="2" borderId="6" xfId="0" applyNumberFormat="1" applyFont="1" applyFill="1" applyBorder="1" applyAlignment="1" applyProtection="1">
      <alignment horizontal="left" vertical="center" wrapText="1"/>
    </xf>
    <xf numFmtId="179"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84" fontId="43" fillId="2" borderId="8" xfId="9"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81"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1" fontId="42" fillId="0" borderId="11" xfId="0" applyNumberFormat="1" applyFont="1" applyFill="1" applyBorder="1" applyAlignment="1" applyProtection="1">
      <alignment horizontal="center" vertical="center"/>
      <protection locked="0"/>
    </xf>
    <xf numFmtId="178" fontId="49" fillId="0" borderId="5" xfId="9" applyNumberFormat="1" applyFont="1" applyFill="1" applyBorder="1" applyAlignment="1" applyProtection="1">
      <alignment horizontal="center" vertical="center"/>
      <protection locked="0"/>
    </xf>
    <xf numFmtId="179"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88" fontId="43" fillId="2" borderId="3" xfId="9" applyNumberFormat="1" applyFont="1" applyFill="1" applyBorder="1" applyAlignment="1" applyProtection="1">
      <alignment vertical="center" wrapText="1"/>
    </xf>
    <xf numFmtId="188"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88" fontId="43" fillId="2" borderId="6" xfId="9" applyNumberFormat="1" applyFont="1" applyFill="1" applyBorder="1" applyAlignment="1" applyProtection="1">
      <alignment vertical="center" wrapText="1"/>
    </xf>
    <xf numFmtId="188" fontId="42" fillId="0" borderId="8" xfId="9" applyNumberFormat="1" applyFont="1" applyFill="1" applyBorder="1" applyAlignment="1" applyProtection="1">
      <alignment horizontal="center" vertical="center"/>
      <protection locked="0"/>
    </xf>
    <xf numFmtId="181"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8" fontId="43" fillId="2" borderId="57" xfId="9" applyNumberFormat="1" applyFont="1" applyFill="1" applyBorder="1" applyAlignment="1" applyProtection="1">
      <alignment vertical="center" wrapText="1"/>
    </xf>
    <xf numFmtId="188" fontId="42" fillId="0" borderId="61" xfId="9"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88" fontId="43" fillId="2" borderId="9" xfId="9" applyNumberFormat="1" applyFont="1" applyFill="1" applyBorder="1" applyAlignment="1" applyProtection="1">
      <alignment vertical="center" wrapText="1"/>
    </xf>
    <xf numFmtId="188" fontId="43" fillId="2" borderId="11" xfId="9" applyNumberFormat="1" applyFont="1" applyFill="1" applyBorder="1" applyAlignment="1" applyProtection="1">
      <alignment horizontal="center" vertical="center"/>
    </xf>
    <xf numFmtId="188" fontId="42" fillId="2" borderId="6" xfId="9" applyNumberFormat="1" applyFont="1" applyFill="1" applyBorder="1" applyAlignment="1" applyProtection="1">
      <alignment vertical="center" wrapText="1"/>
    </xf>
    <xf numFmtId="188" fontId="43" fillId="2" borderId="5" xfId="9" applyNumberFormat="1" applyFont="1" applyFill="1" applyBorder="1" applyAlignment="1" applyProtection="1">
      <alignment horizontal="center" vertical="center"/>
    </xf>
    <xf numFmtId="181" fontId="49" fillId="0" borderId="11" xfId="0" applyNumberFormat="1" applyFont="1" applyFill="1" applyBorder="1" applyAlignment="1" applyProtection="1">
      <alignment horizontal="center" vertical="center"/>
      <protection locked="0"/>
    </xf>
    <xf numFmtId="188" fontId="43" fillId="2" borderId="72" xfId="9" applyNumberFormat="1" applyFont="1" applyFill="1" applyBorder="1" applyAlignment="1" applyProtection="1">
      <alignment horizontal="center" vertical="center"/>
    </xf>
    <xf numFmtId="179"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1" fontId="71" fillId="2" borderId="0" xfId="0" applyNumberFormat="1" applyFont="1" applyFill="1" applyAlignment="1" applyProtection="1">
      <alignment horizontal="center" vertical="center"/>
    </xf>
    <xf numFmtId="190"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79"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79"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79" fontId="42" fillId="2" borderId="61" xfId="0" applyNumberFormat="1" applyFont="1" applyFill="1" applyBorder="1" applyAlignment="1" applyProtection="1">
      <alignment horizontal="center" vertical="center"/>
    </xf>
    <xf numFmtId="183"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90" fontId="42" fillId="0" borderId="8" xfId="0" applyNumberFormat="1" applyFont="1" applyBorder="1" applyAlignment="1" applyProtection="1">
      <alignment horizontal="center" vertical="center"/>
      <protection locked="0"/>
    </xf>
    <xf numFmtId="181"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2" fillId="0" borderId="7" xfId="0" applyFont="1" applyBorder="1" applyAlignment="1">
      <alignment horizontal="center" vertical="center" wrapText="1"/>
    </xf>
    <xf numFmtId="0" fontId="112"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5" fillId="2" borderId="154" xfId="0" applyFont="1" applyFill="1" applyBorder="1" applyAlignment="1" applyProtection="1">
      <alignment horizontal="left" vertical="center"/>
    </xf>
    <xf numFmtId="0" fontId="75"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5" fillId="2" borderId="155" xfId="0" applyFont="1" applyFill="1" applyBorder="1" applyAlignment="1" applyProtection="1">
      <alignment vertical="center" wrapText="1"/>
    </xf>
    <xf numFmtId="17" fontId="75"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2"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4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87"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5"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5" fillId="2" borderId="85" xfId="0" applyFont="1" applyFill="1" applyBorder="1" applyAlignment="1" applyProtection="1">
      <alignment horizontal="center" vertical="center" wrapText="1"/>
    </xf>
    <xf numFmtId="0" fontId="75" fillId="2" borderId="63" xfId="0" applyFont="1" applyFill="1" applyBorder="1" applyAlignment="1" applyProtection="1">
      <alignment horizontal="center"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horizontal="right" vertical="center"/>
    </xf>
    <xf numFmtId="0" fontId="75" fillId="2" borderId="81" xfId="0" applyFont="1" applyFill="1" applyBorder="1" applyAlignment="1" applyProtection="1">
      <alignment horizontal="center" vertical="center" wrapText="1"/>
    </xf>
    <xf numFmtId="0" fontId="75" fillId="3" borderId="63" xfId="0" applyFont="1" applyFill="1" applyBorder="1" applyAlignment="1" applyProtection="1">
      <alignment horizontal="center" vertical="center" wrapText="1"/>
      <protection locked="0"/>
    </xf>
    <xf numFmtId="0" fontId="75"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7"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7"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5" fillId="0" borderId="0" xfId="0" applyNumberFormat="1" applyFont="1" applyAlignment="1" applyProtection="1">
      <alignment horizontal="center" vertical="center" wrapText="1"/>
    </xf>
    <xf numFmtId="0" fontId="75"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9" fillId="0" borderId="0" xfId="12" applyFill="1">
      <alignment vertical="center"/>
    </xf>
    <xf numFmtId="0" fontId="113" fillId="0" borderId="0" xfId="12" applyFont="1">
      <alignment vertical="center"/>
    </xf>
    <xf numFmtId="0" fontId="114" fillId="0" borderId="0" xfId="12" applyFont="1">
      <alignment vertical="center"/>
    </xf>
    <xf numFmtId="0" fontId="109" fillId="0" borderId="0" xfId="12">
      <alignment vertical="center"/>
    </xf>
    <xf numFmtId="0" fontId="1" fillId="0" borderId="0" xfId="12" applyFont="1" applyAlignment="1">
      <alignment horizontal="right" vertical="center"/>
    </xf>
    <xf numFmtId="14" fontId="115" fillId="0" borderId="0" xfId="12" applyNumberFormat="1" applyFont="1" applyAlignment="1">
      <alignment horizontal="left" vertical="center"/>
    </xf>
    <xf numFmtId="0" fontId="35" fillId="0" borderId="0" xfId="12" applyFont="1">
      <alignment vertical="center"/>
    </xf>
    <xf numFmtId="0" fontId="116" fillId="3" borderId="12" xfId="12" applyFont="1" applyFill="1" applyBorder="1" applyAlignment="1">
      <alignment vertical="center"/>
    </xf>
    <xf numFmtId="0" fontId="117" fillId="0" borderId="7" xfId="12" applyFont="1" applyBorder="1" applyAlignment="1">
      <alignment horizontal="right" vertical="center"/>
    </xf>
    <xf numFmtId="0" fontId="117" fillId="0" borderId="13" xfId="12" applyFont="1" applyBorder="1" applyAlignment="1">
      <alignment horizontal="right" vertical="center"/>
    </xf>
    <xf numFmtId="0" fontId="117" fillId="0" borderId="13" xfId="12" applyFont="1" applyBorder="1" applyAlignment="1">
      <alignment vertical="center"/>
    </xf>
    <xf numFmtId="0" fontId="117" fillId="0" borderId="7" xfId="12" applyFont="1" applyFill="1" applyBorder="1" applyAlignment="1">
      <alignment horizontal="right" vertical="center"/>
    </xf>
    <xf numFmtId="0" fontId="117" fillId="0" borderId="7" xfId="12" applyFont="1" applyFill="1" applyBorder="1">
      <alignment vertical="center"/>
    </xf>
    <xf numFmtId="191" fontId="117" fillId="0" borderId="7" xfId="12" applyNumberFormat="1" applyFont="1" applyFill="1" applyBorder="1" applyAlignment="1">
      <alignment horizontal="right" vertical="center"/>
    </xf>
    <xf numFmtId="191" fontId="95" fillId="0" borderId="7" xfId="12" applyNumberFormat="1" applyFont="1" applyFill="1" applyBorder="1" applyAlignment="1">
      <alignment horizontal="right" vertical="center"/>
    </xf>
    <xf numFmtId="187" fontId="117" fillId="0" borderId="7" xfId="12" applyNumberFormat="1" applyFont="1" applyFill="1" applyBorder="1" applyAlignment="1">
      <alignment horizontal="right" vertical="center"/>
    </xf>
    <xf numFmtId="0" fontId="95" fillId="0" borderId="0" xfId="12" applyFont="1" applyFill="1">
      <alignment vertical="center"/>
    </xf>
    <xf numFmtId="191" fontId="117" fillId="0" borderId="13" xfId="12" applyNumberFormat="1" applyFont="1" applyFill="1" applyBorder="1" applyAlignment="1">
      <alignment horizontal="right" vertical="center"/>
    </xf>
    <xf numFmtId="0" fontId="117" fillId="0" borderId="162" xfId="12" applyFont="1" applyFill="1" applyBorder="1">
      <alignment vertical="center"/>
    </xf>
    <xf numFmtId="0" fontId="117" fillId="0" borderId="7" xfId="12" applyFont="1" applyFill="1" applyBorder="1" applyAlignment="1">
      <alignment horizontal="left" vertical="center"/>
    </xf>
    <xf numFmtId="187" fontId="117" fillId="0" borderId="12" xfId="12" applyNumberFormat="1" applyFont="1" applyFill="1" applyBorder="1" applyAlignment="1">
      <alignment horizontal="right" vertical="center"/>
    </xf>
    <xf numFmtId="0" fontId="117" fillId="0" borderId="7" xfId="12" applyFont="1" applyBorder="1" applyAlignment="1">
      <alignment horizontal="center" vertical="center"/>
    </xf>
    <xf numFmtId="0" fontId="116" fillId="0" borderId="7" xfId="12" applyFont="1" applyFill="1" applyBorder="1" applyAlignment="1">
      <alignment vertical="center"/>
    </xf>
    <xf numFmtId="0" fontId="114" fillId="0" borderId="7" xfId="12" applyFont="1" applyBorder="1">
      <alignment vertical="center"/>
    </xf>
    <xf numFmtId="0" fontId="1" fillId="0" borderId="7" xfId="12" applyFont="1" applyBorder="1">
      <alignment vertical="center"/>
    </xf>
    <xf numFmtId="187" fontId="117" fillId="0" borderId="7" xfId="0" applyNumberFormat="1" applyFont="1" applyFill="1" applyBorder="1" applyAlignment="1">
      <alignment horizontal="right" vertical="center"/>
    </xf>
    <xf numFmtId="14" fontId="114" fillId="0" borderId="7" xfId="12" applyNumberFormat="1" applyFont="1" applyBorder="1">
      <alignment vertical="center"/>
    </xf>
    <xf numFmtId="0" fontId="118" fillId="0" borderId="7" xfId="12" applyFont="1" applyBorder="1">
      <alignment vertical="center"/>
    </xf>
    <xf numFmtId="187" fontId="118" fillId="0" borderId="7" xfId="0" applyNumberFormat="1" applyFont="1" applyFill="1" applyBorder="1" applyAlignment="1">
      <alignment horizontal="right" vertical="center"/>
    </xf>
    <xf numFmtId="14" fontId="109" fillId="0" borderId="0" xfId="12" applyNumberFormat="1">
      <alignment vertical="center"/>
    </xf>
    <xf numFmtId="0" fontId="95" fillId="0" borderId="0" xfId="0" applyFont="1" applyProtection="1">
      <alignment vertical="center"/>
    </xf>
    <xf numFmtId="0" fontId="77" fillId="0" borderId="0" xfId="0" applyFont="1" applyProtection="1">
      <alignment vertical="center"/>
    </xf>
    <xf numFmtId="0" fontId="97" fillId="0" borderId="0" xfId="0" applyFont="1" applyProtection="1">
      <alignment vertical="center"/>
    </xf>
    <xf numFmtId="0" fontId="77"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119"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2" fillId="0" borderId="0" xfId="0" applyFont="1" applyProtection="1">
      <alignment vertical="center"/>
    </xf>
    <xf numFmtId="0" fontId="22" fillId="0" borderId="0" xfId="0" applyFont="1">
      <alignment vertical="center"/>
    </xf>
    <xf numFmtId="0" fontId="120" fillId="0" borderId="0" xfId="0" applyFont="1" applyBorder="1" applyAlignment="1">
      <alignment horizontal="left" vertical="center"/>
    </xf>
    <xf numFmtId="0" fontId="121"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21" fillId="0" borderId="39" xfId="0" applyFont="1" applyBorder="1" applyAlignment="1">
      <alignment horizontal="justify" vertical="center" wrapText="1"/>
    </xf>
    <xf numFmtId="0" fontId="121" fillId="0" borderId="0" xfId="0" applyFont="1" applyBorder="1" applyAlignment="1">
      <alignment horizontal="right" vertical="center" wrapText="1"/>
    </xf>
    <xf numFmtId="0" fontId="121" fillId="0" borderId="15" xfId="0" applyFont="1" applyBorder="1" applyAlignment="1">
      <alignment horizontal="justify" vertical="center" wrapText="1"/>
    </xf>
    <xf numFmtId="0" fontId="121" fillId="0" borderId="0" xfId="0" applyFont="1" applyBorder="1" applyAlignment="1">
      <alignment horizontal="justify" vertical="center" wrapText="1"/>
    </xf>
    <xf numFmtId="0" fontId="122"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5" fontId="124" fillId="0" borderId="0" xfId="0" applyNumberFormat="1" applyFont="1" applyAlignment="1">
      <alignment vertical="center"/>
    </xf>
    <xf numFmtId="195" fontId="95"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9" fillId="0" borderId="0" xfId="0" applyFont="1">
      <alignment vertical="center"/>
    </xf>
    <xf numFmtId="0" fontId="125" fillId="0" borderId="0" xfId="0" applyFont="1" applyProtection="1">
      <alignment vertical="center"/>
    </xf>
    <xf numFmtId="0" fontId="109" fillId="0" borderId="0" xfId="0" applyFont="1" applyProtection="1">
      <alignment vertical="center"/>
    </xf>
    <xf numFmtId="0" fontId="126" fillId="0" borderId="0" xfId="0" applyFont="1" applyAlignment="1" applyProtection="1">
      <alignment horizontal="left" vertical="center" wrapText="1"/>
    </xf>
    <xf numFmtId="0" fontId="127" fillId="0" borderId="106" xfId="0" applyFont="1" applyFill="1" applyBorder="1" applyAlignment="1" applyProtection="1">
      <alignment horizontal="center" vertical="center" wrapText="1"/>
    </xf>
    <xf numFmtId="0" fontId="127" fillId="0" borderId="7" xfId="0" applyFont="1" applyFill="1" applyBorder="1" applyAlignment="1" applyProtection="1">
      <alignment vertical="center" wrapText="1"/>
    </xf>
    <xf numFmtId="0" fontId="127" fillId="0" borderId="7" xfId="0" applyFont="1" applyFill="1" applyBorder="1" applyAlignment="1" applyProtection="1">
      <alignment horizontal="center" vertical="center" wrapText="1"/>
    </xf>
    <xf numFmtId="0" fontId="115" fillId="0" borderId="7" xfId="0" applyFont="1" applyFill="1" applyBorder="1" applyAlignment="1" applyProtection="1">
      <alignment horizontal="left" vertical="center" wrapText="1"/>
    </xf>
    <xf numFmtId="0" fontId="128" fillId="0" borderId="7" xfId="0" applyFont="1" applyBorder="1" applyProtection="1">
      <alignment vertical="center"/>
    </xf>
    <xf numFmtId="0" fontId="115" fillId="0" borderId="7" xfId="0" applyFont="1" applyFill="1" applyBorder="1" applyAlignment="1" applyProtection="1">
      <alignment horizontal="center"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left" vertical="center" wrapText="1"/>
    </xf>
    <xf numFmtId="0" fontId="130" fillId="0" borderId="7" xfId="0" applyFont="1" applyFill="1" applyBorder="1" applyAlignment="1" applyProtection="1">
      <alignment vertical="center" wrapText="1"/>
    </xf>
    <xf numFmtId="0" fontId="131" fillId="0" borderId="7" xfId="0" applyFont="1" applyFill="1" applyBorder="1" applyAlignment="1" applyProtection="1">
      <alignment horizontal="left" vertical="center" wrapText="1"/>
    </xf>
    <xf numFmtId="0" fontId="130" fillId="0" borderId="7" xfId="0" applyFont="1" applyFill="1" applyBorder="1" applyAlignment="1" applyProtection="1">
      <alignment horizontal="center" vertical="center" wrapText="1"/>
    </xf>
    <xf numFmtId="0" fontId="109" fillId="0" borderId="7" xfId="0" applyFont="1" applyBorder="1">
      <alignment vertical="center"/>
    </xf>
    <xf numFmtId="0" fontId="128" fillId="0" borderId="2" xfId="0" applyFont="1" applyFill="1" applyBorder="1" applyAlignment="1" applyProtection="1">
      <alignment horizontal="left" vertical="center" wrapText="1"/>
    </xf>
    <xf numFmtId="0" fontId="130" fillId="0" borderId="2" xfId="0" applyFont="1" applyFill="1" applyBorder="1" applyAlignment="1" applyProtection="1">
      <alignment horizontal="center" vertical="center" wrapText="1"/>
    </xf>
    <xf numFmtId="0" fontId="115" fillId="0" borderId="7" xfId="0" applyFont="1" applyBorder="1" applyAlignment="1" applyProtection="1">
      <alignment horizontal="center" vertical="center"/>
    </xf>
    <xf numFmtId="0" fontId="115" fillId="0" borderId="16" xfId="0" applyFont="1" applyBorder="1" applyProtection="1">
      <alignment vertical="center"/>
    </xf>
    <xf numFmtId="0" fontId="115" fillId="0" borderId="16" xfId="0" applyFont="1" applyBorder="1" applyAlignment="1" applyProtection="1">
      <alignment horizontal="center" vertical="center"/>
    </xf>
    <xf numFmtId="0" fontId="128" fillId="0" borderId="16" xfId="0" applyFont="1" applyBorder="1" applyProtection="1">
      <alignment vertical="center"/>
    </xf>
    <xf numFmtId="0" fontId="115" fillId="0" borderId="16" xfId="0" applyNumberFormat="1" applyFont="1" applyBorder="1" applyAlignment="1" applyProtection="1">
      <alignment horizontal="center" vertical="center" wrapText="1"/>
    </xf>
    <xf numFmtId="0" fontId="128" fillId="0" borderId="7" xfId="0" applyFont="1" applyBorder="1" applyAlignment="1" applyProtection="1">
      <alignment horizontal="center" vertical="center"/>
    </xf>
    <xf numFmtId="0" fontId="115" fillId="0" borderId="7" xfId="0" applyFont="1" applyBorder="1" applyProtection="1">
      <alignment vertical="center"/>
    </xf>
    <xf numFmtId="0" fontId="115" fillId="0" borderId="7" xfId="0" applyFont="1" applyBorder="1" applyAlignment="1" applyProtection="1">
      <alignment horizontal="center" vertical="center" wrapText="1"/>
    </xf>
    <xf numFmtId="0" fontId="115" fillId="0" borderId="12" xfId="0" applyFont="1" applyBorder="1" applyAlignment="1" applyProtection="1">
      <alignment horizontal="center" vertical="center" wrapText="1"/>
    </xf>
    <xf numFmtId="0" fontId="128" fillId="0" borderId="2" xfId="0" applyFont="1" applyBorder="1" applyAlignment="1" applyProtection="1">
      <alignment horizontal="center" vertical="center"/>
    </xf>
    <xf numFmtId="0" fontId="132"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3" fillId="0" borderId="0" xfId="0" applyFont="1" applyBorder="1" applyAlignment="1">
      <alignment horizontal="center" vertical="center"/>
    </xf>
    <xf numFmtId="0" fontId="133" fillId="0" borderId="0" xfId="0" applyFont="1" applyAlignment="1">
      <alignment vertical="center"/>
    </xf>
    <xf numFmtId="0" fontId="22" fillId="0" borderId="0" xfId="0" applyFont="1" applyBorder="1">
      <alignment vertical="center"/>
    </xf>
    <xf numFmtId="0" fontId="120" fillId="0" borderId="0" xfId="0" applyFont="1" applyAlignment="1">
      <alignment vertical="center"/>
    </xf>
    <xf numFmtId="0" fontId="120" fillId="0" borderId="0" xfId="0" applyFont="1">
      <alignment vertical="center"/>
    </xf>
    <xf numFmtId="0" fontId="95" fillId="0" borderId="0" xfId="0" applyFont="1" applyAlignment="1">
      <alignment vertical="center" wrapText="1"/>
    </xf>
    <xf numFmtId="0" fontId="134"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2" fillId="0" borderId="0" xfId="0" applyFont="1" applyAlignment="1">
      <alignment horizontal="left" vertical="center"/>
    </xf>
    <xf numFmtId="187" fontId="95" fillId="0" borderId="0" xfId="0" applyNumberFormat="1" applyFont="1" applyAlignment="1">
      <alignment horizontal="left" vertical="center"/>
    </xf>
    <xf numFmtId="187" fontId="95" fillId="0" borderId="0" xfId="0" applyNumberFormat="1" applyFont="1" applyAlignment="1">
      <alignment vertical="center"/>
    </xf>
    <xf numFmtId="0" fontId="122" fillId="0" borderId="0" xfId="0" applyFont="1" applyAlignment="1">
      <alignment vertical="center" wrapText="1"/>
    </xf>
    <xf numFmtId="0" fontId="13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6" fillId="10" borderId="0" xfId="0" applyFont="1" applyFill="1" applyProtection="1">
      <alignment vertical="center"/>
    </xf>
    <xf numFmtId="0" fontId="137" fillId="0" borderId="0" xfId="0" applyFont="1">
      <alignment vertical="center"/>
    </xf>
    <xf numFmtId="0" fontId="138" fillId="10" borderId="0" xfId="0" applyFont="1" applyFill="1" applyAlignment="1" applyProtection="1">
      <alignment vertical="top" wrapText="1"/>
    </xf>
    <xf numFmtId="0" fontId="137" fillId="0" borderId="0" xfId="0" applyFont="1" applyAlignment="1">
      <alignment vertical="top" wrapText="1"/>
    </xf>
    <xf numFmtId="0" fontId="0" fillId="0" borderId="0" xfId="0" applyAlignment="1">
      <alignment vertical="top" wrapText="1"/>
    </xf>
    <xf numFmtId="0" fontId="136" fillId="10" borderId="0" xfId="0" applyFont="1" applyFill="1" applyAlignment="1" applyProtection="1">
      <alignment vertical="top" wrapText="1"/>
    </xf>
    <xf numFmtId="0" fontId="138" fillId="10" borderId="0" xfId="0" applyFont="1" applyFill="1" applyProtection="1">
      <alignment vertical="center"/>
    </xf>
    <xf numFmtId="0" fontId="135" fillId="10" borderId="0" xfId="0" applyFont="1" applyFill="1">
      <alignment vertical="center"/>
    </xf>
    <xf numFmtId="0" fontId="136" fillId="0" borderId="0" xfId="0" applyFont="1" applyAlignment="1">
      <alignment horizontal="left" vertical="center"/>
    </xf>
    <xf numFmtId="0" fontId="0" fillId="0" borderId="0" xfId="0" applyBorder="1">
      <alignment vertical="center"/>
    </xf>
    <xf numFmtId="0" fontId="128" fillId="0" borderId="1" xfId="2" applyFont="1" applyBorder="1" applyProtection="1">
      <alignment vertical="center"/>
    </xf>
    <xf numFmtId="0" fontId="128" fillId="0" borderId="0" xfId="2" applyFont="1" applyBorder="1" applyProtection="1">
      <alignment vertical="center"/>
    </xf>
    <xf numFmtId="0" fontId="128" fillId="0" borderId="0" xfId="2" applyFont="1" applyBorder="1" applyAlignment="1" applyProtection="1">
      <alignment vertical="center" wrapText="1"/>
    </xf>
    <xf numFmtId="0" fontId="93" fillId="0" borderId="0" xfId="2" applyFont="1" applyAlignment="1" applyProtection="1">
      <alignment horizontal="left" vertical="center"/>
    </xf>
    <xf numFmtId="0" fontId="128" fillId="0" borderId="0" xfId="2" applyFont="1" applyProtection="1">
      <alignment vertical="center"/>
    </xf>
    <xf numFmtId="0" fontId="109"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9" fillId="0" borderId="16" xfId="2" applyFont="1" applyBorder="1" applyAlignment="1" applyProtection="1">
      <alignment vertical="center" wrapText="1"/>
    </xf>
    <xf numFmtId="0" fontId="93" fillId="0" borderId="107" xfId="2" applyFont="1" applyBorder="1" applyAlignment="1" applyProtection="1">
      <alignment horizontal="left" vertical="center"/>
    </xf>
    <xf numFmtId="0" fontId="109" fillId="0" borderId="7" xfId="2" applyFont="1" applyBorder="1" applyAlignment="1" applyProtection="1">
      <alignment vertical="center" wrapText="1"/>
    </xf>
    <xf numFmtId="0" fontId="93" fillId="0" borderId="16" xfId="2" applyFont="1" applyBorder="1" applyAlignment="1" applyProtection="1">
      <alignment horizontal="left" vertical="center"/>
    </xf>
    <xf numFmtId="0" fontId="109" fillId="0" borderId="2" xfId="2" applyFont="1" applyBorder="1" applyAlignment="1" applyProtection="1">
      <alignment vertical="center" wrapText="1"/>
    </xf>
    <xf numFmtId="0" fontId="93" fillId="0" borderId="52" xfId="2" applyFont="1" applyBorder="1" applyAlignment="1" applyProtection="1">
      <alignment horizontal="left" vertical="center"/>
    </xf>
    <xf numFmtId="0" fontId="93" fillId="0" borderId="7" xfId="2" applyFont="1" applyBorder="1" applyAlignment="1" applyProtection="1">
      <alignment horizontal="left" vertical="center"/>
    </xf>
    <xf numFmtId="0" fontId="93" fillId="0" borderId="2" xfId="2" applyFont="1" applyBorder="1" applyAlignment="1" applyProtection="1">
      <alignment horizontal="left" vertical="center"/>
    </xf>
    <xf numFmtId="0" fontId="93" fillId="0" borderId="105" xfId="2" applyFont="1" applyBorder="1" applyAlignment="1" applyProtection="1">
      <alignment horizontal="left" vertical="center"/>
    </xf>
    <xf numFmtId="0" fontId="93" fillId="0" borderId="106" xfId="2" applyFont="1" applyBorder="1" applyAlignment="1" applyProtection="1">
      <alignment horizontal="left" vertical="center"/>
    </xf>
    <xf numFmtId="195" fontId="112" fillId="0" borderId="2" xfId="2" applyNumberFormat="1" applyFont="1" applyBorder="1" applyAlignment="1" applyProtection="1">
      <alignment horizontal="left" vertical="center"/>
    </xf>
    <xf numFmtId="14" fontId="93" fillId="0" borderId="16" xfId="2" applyNumberFormat="1" applyFont="1" applyBorder="1" applyAlignment="1" applyProtection="1">
      <alignment horizontal="left" vertical="center"/>
    </xf>
    <xf numFmtId="14" fontId="93" fillId="0" borderId="7" xfId="2" applyNumberFormat="1" applyFont="1" applyBorder="1" applyAlignment="1" applyProtection="1">
      <alignment horizontal="left" vertical="center"/>
    </xf>
    <xf numFmtId="0" fontId="128" fillId="0" borderId="7" xfId="2" applyFont="1" applyBorder="1" applyAlignment="1" applyProtection="1">
      <alignment vertical="center" wrapText="1"/>
    </xf>
    <xf numFmtId="0" fontId="128" fillId="0" borderId="2" xfId="2" applyFont="1" applyBorder="1" applyAlignment="1" applyProtection="1">
      <alignment vertical="center" wrapText="1"/>
    </xf>
    <xf numFmtId="0" fontId="128" fillId="0" borderId="16" xfId="2" applyFont="1" applyBorder="1" applyAlignment="1" applyProtection="1">
      <alignment vertical="center" wrapText="1"/>
    </xf>
    <xf numFmtId="0" fontId="48" fillId="10" borderId="7" xfId="0" applyFont="1" applyFill="1" applyBorder="1" applyProtection="1">
      <alignment vertical="center"/>
      <protection locked="0"/>
    </xf>
    <xf numFmtId="0" fontId="115" fillId="0" borderId="7" xfId="0" applyFont="1" applyBorder="1" applyAlignment="1" applyProtection="1">
      <alignment vertical="center" wrapText="1"/>
    </xf>
    <xf numFmtId="0" fontId="115" fillId="0" borderId="7" xfId="0" applyFont="1" applyBorder="1" applyProtection="1">
      <alignment vertical="center"/>
    </xf>
    <xf numFmtId="0" fontId="115" fillId="0" borderId="12" xfId="0" applyFont="1" applyBorder="1" applyProtection="1">
      <alignment vertical="center"/>
    </xf>
    <xf numFmtId="0" fontId="115" fillId="0" borderId="2" xfId="0" applyFont="1" applyBorder="1" applyProtection="1">
      <alignment vertical="center"/>
    </xf>
    <xf numFmtId="0" fontId="95" fillId="0" borderId="0" xfId="0" applyFont="1" applyAlignment="1" applyProtection="1">
      <alignment horizontal="left" vertical="center" wrapText="1"/>
    </xf>
    <xf numFmtId="0" fontId="125" fillId="0" borderId="0" xfId="0" applyFont="1" applyAlignment="1" applyProtection="1">
      <alignment horizontal="center" vertical="center"/>
    </xf>
    <xf numFmtId="0" fontId="127" fillId="0" borderId="163" xfId="0" applyFont="1" applyFill="1" applyBorder="1" applyAlignment="1" applyProtection="1">
      <alignment horizontal="center" vertical="center" wrapText="1"/>
    </xf>
    <xf numFmtId="0" fontId="127" fillId="0" borderId="164" xfId="0" applyFont="1" applyFill="1" applyBorder="1" applyAlignment="1" applyProtection="1">
      <alignment horizontal="center" vertical="center" wrapText="1"/>
    </xf>
    <xf numFmtId="0" fontId="127" fillId="0" borderId="7" xfId="0" applyFont="1" applyFill="1" applyBorder="1" applyAlignment="1" applyProtection="1">
      <alignment horizontal="center" vertical="center" wrapText="1"/>
    </xf>
    <xf numFmtId="0" fontId="115" fillId="0" borderId="0" xfId="0" applyFont="1" applyBorder="1" applyAlignment="1" applyProtection="1">
      <alignment horizontal="center" vertical="center"/>
    </xf>
    <xf numFmtId="0" fontId="127" fillId="0" borderId="7" xfId="0" applyFont="1" applyFill="1" applyBorder="1" applyAlignment="1" applyProtection="1">
      <alignment horizontal="left" vertical="center" wrapText="1"/>
    </xf>
    <xf numFmtId="0" fontId="127" fillId="0" borderId="7" xfId="0" applyFont="1" applyFill="1" applyBorder="1" applyAlignment="1" applyProtection="1">
      <alignment vertical="center" wrapText="1"/>
    </xf>
    <xf numFmtId="0" fontId="127" fillId="0" borderId="2" xfId="0" applyFont="1" applyFill="1" applyBorder="1" applyAlignment="1" applyProtection="1">
      <alignment horizontal="left" vertical="center" wrapText="1"/>
    </xf>
    <xf numFmtId="0" fontId="115" fillId="0" borderId="107" xfId="0" applyFont="1" applyBorder="1" applyAlignment="1" applyProtection="1">
      <alignment horizontal="center" vertical="center"/>
    </xf>
    <xf numFmtId="0" fontId="115" fillId="0" borderId="7" xfId="0" applyFont="1" applyBorder="1" applyAlignment="1" applyProtection="1">
      <alignment horizontal="center" vertical="center"/>
    </xf>
    <xf numFmtId="0" fontId="115" fillId="0" borderId="165" xfId="0" applyFont="1" applyBorder="1" applyAlignment="1" applyProtection="1">
      <alignment horizontal="left" vertical="center" wrapText="1"/>
    </xf>
    <xf numFmtId="0" fontId="115" fillId="0" borderId="166" xfId="0" applyFont="1" applyBorder="1" applyAlignment="1" applyProtection="1">
      <alignment horizontal="left" vertical="center" wrapText="1"/>
    </xf>
    <xf numFmtId="0" fontId="115" fillId="0" borderId="167" xfId="0" applyFont="1" applyBorder="1" applyAlignment="1" applyProtection="1">
      <alignment horizontal="left" vertical="center" wrapText="1"/>
    </xf>
    <xf numFmtId="0" fontId="115" fillId="0" borderId="168" xfId="0" applyFont="1" applyBorder="1" applyAlignment="1" applyProtection="1">
      <alignment horizontal="left" vertical="center" wrapText="1"/>
    </xf>
    <xf numFmtId="0" fontId="127" fillId="0" borderId="12" xfId="0" applyFont="1" applyFill="1" applyBorder="1" applyAlignment="1" applyProtection="1">
      <alignment horizontal="left" vertical="center" wrapText="1"/>
    </xf>
    <xf numFmtId="0" fontId="127" fillId="0" borderId="52" xfId="0" applyFont="1" applyFill="1" applyBorder="1" applyAlignment="1" applyProtection="1">
      <alignment horizontal="left" vertical="center" wrapText="1"/>
    </xf>
    <xf numFmtId="0" fontId="127" fillId="0" borderId="16" xfId="0" applyFont="1" applyFill="1" applyBorder="1" applyAlignment="1" applyProtection="1">
      <alignment horizontal="left" vertical="center" wrapText="1"/>
    </xf>
    <xf numFmtId="0" fontId="115" fillId="0" borderId="16" xfId="0" applyFont="1" applyBorder="1" applyProtection="1">
      <alignment vertical="center"/>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2" fontId="69"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82" fontId="69" fillId="0" borderId="13" xfId="0" applyNumberFormat="1" applyFont="1" applyFill="1" applyBorder="1" applyAlignment="1" applyProtection="1">
      <alignment horizontal="center" vertical="center" wrapText="1"/>
    </xf>
    <xf numFmtId="182" fontId="69" fillId="0" borderId="15" xfId="0" applyNumberFormat="1" applyFont="1" applyFill="1" applyBorder="1" applyAlignment="1" applyProtection="1">
      <alignment horizontal="center" vertical="center" wrapText="1"/>
    </xf>
    <xf numFmtId="182"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2"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20" fillId="0" borderId="0" xfId="0" applyFont="1" applyBorder="1" applyAlignment="1">
      <alignment horizontal="left" vertical="center"/>
    </xf>
    <xf numFmtId="0" fontId="120" fillId="0" borderId="0" xfId="0" applyFont="1" applyBorder="1" applyAlignment="1">
      <alignment horizontal="justify" vertical="center" wrapText="1"/>
    </xf>
    <xf numFmtId="0" fontId="93" fillId="0" borderId="0" xfId="0" applyFont="1" applyBorder="1" applyAlignment="1">
      <alignment horizontal="left" vertical="center" wrapText="1"/>
    </xf>
    <xf numFmtId="0" fontId="72" fillId="0" borderId="0" xfId="0" applyFont="1" applyBorder="1" applyAlignment="1">
      <alignment horizontal="left" vertical="center" wrapText="1"/>
    </xf>
    <xf numFmtId="0" fontId="123" fillId="0" borderId="0" xfId="0" applyFont="1" applyBorder="1" applyAlignment="1" applyProtection="1">
      <alignment horizontal="left" vertical="center" wrapText="1"/>
      <protection locked="0"/>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6" fillId="3" borderId="7" xfId="12" applyFont="1" applyFill="1" applyBorder="1" applyAlignment="1">
      <alignment horizontal="center" vertical="center"/>
    </xf>
    <xf numFmtId="0" fontId="117"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112" fillId="0" borderId="7" xfId="0" applyFont="1" applyBorder="1" applyAlignment="1">
      <alignment horizontal="center" vertical="center" wrapText="1"/>
    </xf>
    <xf numFmtId="0" fontId="111" fillId="0" borderId="7" xfId="0" applyFont="1" applyFill="1" applyBorder="1" applyAlignment="1" applyProtection="1">
      <alignment horizontal="center" vertical="center" wrapText="1"/>
    </xf>
    <xf numFmtId="179" fontId="64" fillId="2" borderId="53" xfId="0" applyNumberFormat="1" applyFont="1" applyFill="1" applyBorder="1" applyAlignment="1" applyProtection="1">
      <alignment horizontal="left" vertical="center" wrapText="1"/>
    </xf>
    <xf numFmtId="179" fontId="64" fillId="2" borderId="79" xfId="0" applyNumberFormat="1" applyFont="1" applyFill="1" applyBorder="1" applyAlignment="1" applyProtection="1">
      <alignment horizontal="left" vertical="center" wrapText="1"/>
    </xf>
    <xf numFmtId="0" fontId="110" fillId="2" borderId="150" xfId="0" applyFont="1" applyFill="1" applyBorder="1" applyAlignment="1" applyProtection="1">
      <alignment horizontal="center" vertical="center"/>
    </xf>
    <xf numFmtId="0" fontId="110" fillId="2" borderId="151" xfId="0" applyFont="1" applyFill="1" applyBorder="1" applyAlignment="1" applyProtection="1">
      <alignment horizontal="center" vertical="center"/>
    </xf>
    <xf numFmtId="0" fontId="106"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1"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75" fillId="2" borderId="66" xfId="0" applyFont="1" applyFill="1" applyBorder="1" applyAlignment="1" applyProtection="1">
      <alignment horizontal="center" vertical="center" wrapText="1"/>
    </xf>
    <xf numFmtId="0" fontId="75" fillId="2" borderId="67" xfId="0" applyFont="1" applyFill="1" applyBorder="1" applyAlignment="1" applyProtection="1">
      <alignment horizontal="center" vertical="center" wrapText="1"/>
    </xf>
    <xf numFmtId="0" fontId="75" fillId="2" borderId="68" xfId="0"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191" fontId="102" fillId="10" borderId="7" xfId="0" applyNumberFormat="1"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49" fillId="2" borderId="13"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5"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4" fillId="2" borderId="7"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77" fillId="2" borderId="5" xfId="0" applyFont="1" applyFill="1" applyBorder="1" applyAlignment="1" applyProtection="1">
      <alignment horizontal="center" vertical="center" wrapText="1"/>
    </xf>
    <xf numFmtId="0" fontId="94" fillId="2" borderId="147" xfId="0" applyFont="1" applyFill="1" applyBorder="1" applyAlignment="1" applyProtection="1">
      <alignment vertical="center" wrapText="1"/>
    </xf>
    <xf numFmtId="0" fontId="94" fillId="2" borderId="148" xfId="0" applyFont="1" applyFill="1" applyBorder="1" applyAlignment="1" applyProtection="1">
      <alignment vertical="center" wrapText="1"/>
    </xf>
    <xf numFmtId="0" fontId="77" fillId="2" borderId="71" xfId="0" applyFont="1" applyFill="1" applyBorder="1" applyAlignment="1" applyProtection="1">
      <alignment horizontal="center" vertical="center" wrapText="1"/>
    </xf>
    <xf numFmtId="0" fontId="77" fillId="2" borderId="14" xfId="0" applyFont="1" applyFill="1" applyBorder="1" applyAlignment="1" applyProtection="1">
      <alignment horizontal="center" vertical="center" wrapText="1"/>
    </xf>
    <xf numFmtId="0" fontId="77" fillId="2" borderId="93" xfId="0" applyFont="1" applyFill="1" applyBorder="1" applyAlignment="1" applyProtection="1">
      <alignment horizontal="center" vertical="center" wrapText="1"/>
    </xf>
    <xf numFmtId="0" fontId="77" fillId="2" borderId="13" xfId="0" applyFont="1" applyFill="1" applyBorder="1" applyAlignment="1" applyProtection="1">
      <alignment horizontal="center" vertical="center" wrapText="1"/>
    </xf>
    <xf numFmtId="0" fontId="77" fillId="2" borderId="6"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shrinkToFit="1"/>
    </xf>
    <xf numFmtId="0" fontId="93" fillId="2" borderId="8" xfId="0" applyFont="1" applyFill="1" applyBorder="1" applyAlignment="1" applyProtection="1">
      <alignment horizontal="center" vertical="center" shrinkToFi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42" fillId="2" borderId="7" xfId="0"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shrinkToFit="1"/>
    </xf>
    <xf numFmtId="182" fontId="42" fillId="2" borderId="14" xfId="0" applyNumberFormat="1" applyFont="1" applyFill="1" applyBorder="1" applyAlignment="1" applyProtection="1">
      <alignment horizontal="center" vertical="center" shrinkToFit="1"/>
    </xf>
    <xf numFmtId="182" fontId="42" fillId="2" borderId="93" xfId="0" applyNumberFormat="1" applyFont="1" applyFill="1" applyBorder="1" applyAlignment="1" applyProtection="1">
      <alignment horizontal="center" vertical="center" shrinkToFi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82" fontId="42" fillId="2" borderId="88" xfId="0" applyNumberFormat="1" applyFont="1" applyFill="1" applyBorder="1" applyAlignment="1" applyProtection="1">
      <alignment horizontal="center" vertical="center" wrapText="1"/>
    </xf>
    <xf numFmtId="182" fontId="42" fillId="2" borderId="18" xfId="0" applyNumberFormat="1" applyFont="1" applyFill="1" applyBorder="1" applyAlignment="1" applyProtection="1">
      <alignment horizontal="center" vertical="center" wrapText="1"/>
    </xf>
    <xf numFmtId="182"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3" fillId="2" borderId="6" xfId="0" applyFont="1" applyFill="1" applyBorder="1" applyAlignment="1" applyProtection="1">
      <alignment vertical="center" wrapText="1"/>
    </xf>
    <xf numFmtId="0" fontId="93" fillId="2" borderId="9" xfId="0" applyFont="1" applyFill="1" applyBorder="1" applyAlignment="1" applyProtection="1">
      <alignment vertical="center" wrapTex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77" fillId="2" borderId="118" xfId="0" applyFont="1" applyFill="1" applyBorder="1" applyAlignment="1" applyProtection="1">
      <alignment horizontal="left" vertical="center" wrapText="1"/>
    </xf>
    <xf numFmtId="0" fontId="77" fillId="2" borderId="91"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42" fillId="2" borderId="13" xfId="0" applyFont="1" applyFill="1" applyBorder="1" applyAlignment="1" applyProtection="1">
      <alignment horizontal="center" vertical="center" wrapText="1"/>
    </xf>
    <xf numFmtId="182" fontId="42" fillId="2" borderId="149" xfId="0" applyNumberFormat="1"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wrapText="1"/>
    </xf>
    <xf numFmtId="182" fontId="42" fillId="2" borderId="15" xfId="0" applyNumberFormat="1" applyFont="1" applyFill="1" applyBorder="1" applyAlignment="1" applyProtection="1">
      <alignment horizontal="center" vertical="center" wrapText="1"/>
    </xf>
    <xf numFmtId="182" fontId="42" fillId="2" borderId="93" xfId="0" applyNumberFormat="1"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77"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98" fillId="2" borderId="0" xfId="0" applyFont="1" applyFill="1" applyAlignment="1" applyProtection="1">
      <alignment horizontal="center" vertical="center"/>
    </xf>
    <xf numFmtId="0" fontId="98" fillId="2" borderId="146" xfId="0" applyFont="1" applyFill="1" applyBorder="1" applyAlignment="1" applyProtection="1">
      <alignment horizontal="center" vertical="center"/>
    </xf>
    <xf numFmtId="0" fontId="102" fillId="0" borderId="7" xfId="0" applyFont="1" applyFill="1" applyBorder="1" applyAlignment="1" applyProtection="1">
      <alignment horizontal="center"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93" fillId="0" borderId="6" xfId="0" applyFont="1" applyFill="1" applyBorder="1" applyAlignment="1" applyProtection="1">
      <alignment vertical="center" wrapText="1"/>
      <protection locked="0"/>
    </xf>
    <xf numFmtId="0" fontId="93" fillId="2" borderId="97" xfId="0" applyFont="1" applyFill="1" applyBorder="1" applyAlignment="1" applyProtection="1">
      <alignment vertical="center" wrapText="1"/>
    </xf>
    <xf numFmtId="0" fontId="17" fillId="2" borderId="0" xfId="0" applyFont="1" applyFill="1" applyBorder="1" applyAlignment="1" applyProtection="1">
      <alignment horizontal="left" vertical="center"/>
    </xf>
    <xf numFmtId="0" fontId="77" fillId="2" borderId="15" xfId="0" applyFont="1" applyFill="1" applyBorder="1" applyAlignment="1" applyProtection="1">
      <alignment horizontal="center" vertical="center" wrapText="1"/>
    </xf>
    <xf numFmtId="0" fontId="77" fillId="0" borderId="71"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81" fillId="2" borderId="71" xfId="0" applyFont="1" applyFill="1" applyBorder="1" applyAlignment="1">
      <alignment horizontal="left" vertical="center"/>
    </xf>
    <xf numFmtId="0" fontId="81" fillId="2" borderId="15" xfId="0" applyFont="1" applyFill="1" applyBorder="1" applyAlignment="1">
      <alignment horizontal="left" vertical="center"/>
    </xf>
    <xf numFmtId="0" fontId="81" fillId="2" borderId="14" xfId="0" applyFont="1" applyFill="1" applyBorder="1" applyAlignment="1">
      <alignment horizontal="left" vertical="center"/>
    </xf>
    <xf numFmtId="0" fontId="82" fillId="2" borderId="7" xfId="0" applyFont="1" applyFill="1" applyBorder="1" applyAlignment="1">
      <alignment horizontal="center" vertical="center"/>
    </xf>
    <xf numFmtId="0" fontId="82"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2" borderId="7" xfId="0" applyFont="1" applyFill="1" applyBorder="1" applyAlignment="1">
      <alignment horizontal="lef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78"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78" fillId="0" borderId="6" xfId="0" applyFont="1" applyFill="1" applyBorder="1" applyAlignment="1" applyProtection="1">
      <alignment horizontal="center" vertical="center" wrapText="1"/>
      <protection locked="0"/>
    </xf>
    <xf numFmtId="0" fontId="78"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91"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14" xfId="0" applyFont="1" applyFill="1" applyBorder="1" applyAlignment="1" applyProtection="1">
      <alignment horizontal="center" vertical="center" wrapText="1"/>
      <protection locked="0"/>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180" fontId="43" fillId="2" borderId="7" xfId="0" applyNumberFormat="1" applyFont="1" applyFill="1" applyBorder="1" applyAlignment="1" applyProtection="1">
      <alignment horizontal="center" vertical="center"/>
    </xf>
    <xf numFmtId="180"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1"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23" fillId="2" borderId="14" xfId="8" applyFont="1" applyFill="1" applyBorder="1" applyAlignment="1" applyProtection="1">
      <alignment horizontal="center" vertical="center" wrapText="1"/>
      <protection locked="0"/>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23" fillId="2" borderId="85"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3" applyFont="1" applyAlignment="1">
      <alignment horizontal="center" vertical="center"/>
    </xf>
    <xf numFmtId="0" fontId="15" fillId="0" borderId="0" xfId="3" applyFont="1" applyAlignment="1">
      <alignment horizontal="center" vertical="center"/>
    </xf>
    <xf numFmtId="0" fontId="10" fillId="0" borderId="0" xfId="3" applyFont="1" applyAlignment="1">
      <alignment horizontal="center" vertical="center"/>
    </xf>
    <xf numFmtId="0" fontId="24" fillId="6" borderId="21" xfId="3" applyFont="1" applyFill="1" applyBorder="1" applyAlignment="1" applyProtection="1">
      <alignment horizontal="center" vertical="center" wrapText="1"/>
    </xf>
    <xf numFmtId="0" fontId="24" fillId="6" borderId="25" xfId="3" applyFont="1" applyFill="1" applyBorder="1" applyAlignment="1" applyProtection="1">
      <alignment horizontal="center" vertical="center" wrapText="1"/>
    </xf>
    <xf numFmtId="0" fontId="24" fillId="6" borderId="26"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24" fillId="6" borderId="28"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xf numFmtId="0" fontId="0" fillId="0" borderId="7" xfId="0" applyNumberFormat="1" applyBorder="1" applyAlignment="1">
      <alignment horizontal="center" vertical="center"/>
    </xf>
    <xf numFmtId="0" fontId="108" fillId="0" borderId="7" xfId="0" applyNumberFormat="1" applyFont="1" applyBorder="1" applyAlignment="1">
      <alignment horizontal="center" vertical="center"/>
    </xf>
    <xf numFmtId="0" fontId="35" fillId="0" borderId="7" xfId="0" applyNumberFormat="1" applyFont="1" applyBorder="1" applyAlignment="1">
      <alignment horizontal="center" vertical="center"/>
    </xf>
    <xf numFmtId="0" fontId="108" fillId="3" borderId="7" xfId="0" applyNumberFormat="1" applyFont="1" applyFill="1" applyBorder="1" applyAlignment="1">
      <alignment horizontal="center" vertical="center"/>
    </xf>
    <xf numFmtId="0" fontId="0" fillId="3" borderId="7" xfId="0" applyNumberFormat="1" applyFill="1" applyBorder="1" applyAlignment="1">
      <alignment horizontal="center"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2.v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2729" customWidth="1"/>
    <col min="2" max="2" width="94.875" style="2730" customWidth="1"/>
    <col min="3" max="16384" width="9" style="2731"/>
  </cols>
  <sheetData>
    <row r="1" spans="1:2" s="2727" customFormat="1" ht="15.75">
      <c r="A1" s="2732" t="s">
        <v>0</v>
      </c>
      <c r="B1" s="2733" t="s">
        <v>1</v>
      </c>
    </row>
    <row r="2" spans="1:2" s="2728" customFormat="1">
      <c r="A2" s="2734" t="s">
        <v>2</v>
      </c>
      <c r="B2" s="2735" t="str">
        <f>'预评函-封皮'!B9</f>
        <v>北京市房地产抵押价值预评估</v>
      </c>
    </row>
    <row r="3" spans="1:2" s="2728" customFormat="1">
      <c r="A3" s="2736" t="s">
        <v>3</v>
      </c>
      <c r="B3" s="2737" t="str">
        <f>'预评函-封皮'!B12</f>
        <v>xx</v>
      </c>
    </row>
    <row r="4" spans="1:2" s="2728" customFormat="1">
      <c r="A4" s="2736" t="s">
        <v>4</v>
      </c>
      <c r="B4" s="2737" t="str">
        <f ca="1">'预评函-封皮'!B18</f>
        <v>吴薇（注册号:1419970001）、崔锴（注册号:1120100036)</v>
      </c>
    </row>
    <row r="5" spans="1:2" s="2727" customFormat="1">
      <c r="A5" s="2738" t="s">
        <v>5</v>
      </c>
      <c r="B5" s="2739" t="str">
        <f>'预评函-封皮'!B21</f>
        <v>康正预评字号</v>
      </c>
    </row>
    <row r="6" spans="1:2" s="2728" customFormat="1">
      <c r="A6" s="2736" t="s">
        <v>6</v>
      </c>
      <c r="B6" s="2735" t="str">
        <f>'预评函-1'!A4</f>
        <v>受您的委托，我公司对北京市房地产进行了预评估。</v>
      </c>
    </row>
    <row r="7" spans="1:2">
      <c r="A7" s="2736" t="s">
        <v>7</v>
      </c>
      <c r="B7" s="2740" t="str">
        <f>'预评函-1'!A6</f>
        <v>估价对象为北京市房地产，为XX所有。根据《不动产权证书》[]，估价对象建筑面积为1024.48平方米，（分摊）出让国有建设用地使用权面积为105.21平方米。估价对象用途为。</v>
      </c>
    </row>
    <row r="8" spans="1:2">
      <c r="A8" s="2736" t="s">
        <v>8</v>
      </c>
      <c r="B8" s="274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2736" t="s">
        <v>9</v>
      </c>
      <c r="B9" s="2740" t="str">
        <f>'预评函-1'!A10</f>
        <v>2019年6月30日</v>
      </c>
    </row>
    <row r="10" spans="1:2">
      <c r="A10" s="2736" t="s">
        <v>10</v>
      </c>
      <c r="B10" s="2740" t="str">
        <f>'预评函-1'!A13</f>
        <v>本次估价的“房地产价值”是指在正常市场情况下，在价值时点2019年6月30日，估价对象规划用途为，假定未设立法定优先受偿款下的房地产市场价值。</v>
      </c>
    </row>
    <row r="11" spans="1:2">
      <c r="A11" s="2736" t="s">
        <v>11</v>
      </c>
      <c r="B11" s="2740"/>
    </row>
    <row r="12" spans="1:2">
      <c r="A12" s="2736" t="s">
        <v>12</v>
      </c>
      <c r="B12" s="2740" t="str">
        <f>'预评函-1'!A14</f>
        <v>本次估价的“房地产抵押价值”是指估价对象在价值时点的“房地产价值”扣减估价师于价值时点所知悉的法定优先受偿款后的余额。</v>
      </c>
    </row>
    <row r="13" spans="1:2">
      <c r="A13" s="2736" t="s">
        <v>13</v>
      </c>
      <c r="B13" s="274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36" t="s">
        <v>14</v>
      </c>
      <c r="B14" s="27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727" customFormat="1">
      <c r="A15" s="2738" t="s">
        <v>15</v>
      </c>
      <c r="B15" s="2741" t="str">
        <f>'预评函-1'!A18</f>
        <v>本次评估采用的主估价方法为基准地价系数修正法和基准地价系数修正法。</v>
      </c>
    </row>
    <row r="16" spans="1:2">
      <c r="A16" s="2734" t="s">
        <v>16</v>
      </c>
      <c r="B16" s="273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36" t="s">
        <v>17</v>
      </c>
      <c r="B17" s="2740" t="str">
        <f>'预评函-2（1）'!B6</f>
        <v>北京市房地产</v>
      </c>
    </row>
    <row r="18" spans="1:2">
      <c r="A18" s="2736" t="s">
        <v>18</v>
      </c>
      <c r="B18" s="2740">
        <f>'预评函-2（1）'!C6</f>
        <v>1024.48</v>
      </c>
    </row>
    <row r="19" spans="1:2">
      <c r="A19" s="2736" t="s">
        <v>19</v>
      </c>
      <c r="B19" s="2740">
        <f ca="1">'预评函-2（1）'!D7</f>
        <v>4242</v>
      </c>
    </row>
    <row r="20" spans="1:2">
      <c r="A20" s="2736" t="s">
        <v>20</v>
      </c>
      <c r="B20" s="2740" t="str">
        <f>'预评函-2（1）'!C7</f>
        <v>总价（万元）</v>
      </c>
    </row>
    <row r="21" spans="1:2">
      <c r="A21" s="2736" t="s">
        <v>21</v>
      </c>
      <c r="B21" s="2740">
        <f ca="1">'预评函-2（1）'!D9</f>
        <v>41406</v>
      </c>
    </row>
    <row r="22" spans="1:2">
      <c r="A22" s="2736" t="s">
        <v>22</v>
      </c>
      <c r="B22" s="2740" t="str">
        <f ca="1">'预评函-2（1）'!D8</f>
        <v>肆仟贰佰肆拾贰万元整</v>
      </c>
    </row>
    <row r="23" spans="1:2">
      <c r="A23" s="2736" t="s">
        <v>23</v>
      </c>
      <c r="B23" s="2740">
        <f>'预评函-2（1）'!D10</f>
        <v>0</v>
      </c>
    </row>
    <row r="24" spans="1:2">
      <c r="A24" s="2736" t="s">
        <v>24</v>
      </c>
      <c r="B24" s="2740" t="str">
        <f>'预评函-2（1）'!C10</f>
        <v>总额（万元）</v>
      </c>
    </row>
    <row r="25" spans="1:2">
      <c r="A25" s="2736" t="s">
        <v>25</v>
      </c>
      <c r="B25" s="2740" t="str">
        <f>'预评函-2（1）'!D11</f>
        <v>零元整</v>
      </c>
    </row>
    <row r="26" spans="1:2">
      <c r="A26" s="2736" t="s">
        <v>26</v>
      </c>
      <c r="B26" s="2740">
        <f>'预评函-2（1）'!D12</f>
        <v>0</v>
      </c>
    </row>
    <row r="27" spans="1:2">
      <c r="A27" s="2736" t="s">
        <v>27</v>
      </c>
      <c r="B27" s="2740">
        <f>'预评函-2（1）'!D13</f>
        <v>0</v>
      </c>
    </row>
    <row r="28" spans="1:2">
      <c r="A28" s="2736" t="s">
        <v>28</v>
      </c>
      <c r="B28" s="2740">
        <f>'预评函-2（1）'!D14</f>
        <v>0</v>
      </c>
    </row>
    <row r="29" spans="1:2">
      <c r="A29" s="2736" t="s">
        <v>29</v>
      </c>
      <c r="B29" s="2740">
        <f ca="1">'预评函-2（1）'!D15</f>
        <v>4242</v>
      </c>
    </row>
    <row r="30" spans="1:2">
      <c r="A30" s="2736" t="s">
        <v>30</v>
      </c>
      <c r="B30" s="2740" t="str">
        <f ca="1">'预评函-2（1）'!D16</f>
        <v>肆仟贰佰肆拾贰万元整</v>
      </c>
    </row>
    <row r="31" spans="1:2">
      <c r="A31" s="2736" t="s">
        <v>31</v>
      </c>
      <c r="B31" s="2740" t="str">
        <f>'预评函-2（1）'!D18</f>
        <v>——</v>
      </c>
    </row>
    <row r="32" spans="1:2">
      <c r="A32" s="2736" t="s">
        <v>32</v>
      </c>
      <c r="B32" s="2740" t="e">
        <f>'预评函-2（1）'!D19</f>
        <v>#VALUE!</v>
      </c>
    </row>
    <row r="33" spans="1:2">
      <c r="A33" s="2736" t="s">
        <v>33</v>
      </c>
      <c r="B33" s="2740" t="str">
        <f>'预评函-2（1）'!D21</f>
        <v>——</v>
      </c>
    </row>
    <row r="34" spans="1:2">
      <c r="A34" s="2736" t="s">
        <v>34</v>
      </c>
      <c r="B34" s="2740" t="str">
        <f ca="1">'预评函-2（1）'!D23</f>
        <v>——</v>
      </c>
    </row>
    <row r="35" spans="1:2">
      <c r="A35" s="2736" t="s">
        <v>35</v>
      </c>
      <c r="B35" s="2740" t="e">
        <f>'预评函-2（1）'!D22</f>
        <v>#VALUE!</v>
      </c>
    </row>
    <row r="36" spans="1:2">
      <c r="A36" s="2736" t="s">
        <v>36</v>
      </c>
      <c r="B36" s="2740">
        <f>'预评函-2（2）'!C4</f>
        <v>105.21</v>
      </c>
    </row>
    <row r="37" spans="1:2">
      <c r="A37" s="2736" t="s">
        <v>37</v>
      </c>
      <c r="B37" s="2740">
        <f ca="1">'预评函-2（2）'!D4</f>
        <v>3545</v>
      </c>
    </row>
    <row r="38" spans="1:2">
      <c r="A38" s="2736" t="s">
        <v>38</v>
      </c>
      <c r="B38" s="2740">
        <f ca="1">'预评函-2（2）'!E4</f>
        <v>34603</v>
      </c>
    </row>
    <row r="39" spans="1:2">
      <c r="A39" s="2736" t="s">
        <v>39</v>
      </c>
      <c r="B39" s="2740" t="str">
        <f ca="1">'预评函-2（2）'!D5</f>
        <v>叁仟伍佰肆拾伍万元整</v>
      </c>
    </row>
    <row r="40" spans="1:2">
      <c r="A40" s="2736" t="s">
        <v>40</v>
      </c>
      <c r="B40" s="2740">
        <f ca="1">'预评函-2（2）'!F4</f>
        <v>697</v>
      </c>
    </row>
    <row r="41" spans="1:2">
      <c r="A41" s="2736" t="s">
        <v>41</v>
      </c>
      <c r="B41" s="2740">
        <f ca="1">'预评函-2（2）'!G4</f>
        <v>6803</v>
      </c>
    </row>
    <row r="42" spans="1:2" s="2727" customFormat="1">
      <c r="A42" s="2738" t="s">
        <v>42</v>
      </c>
      <c r="B42" s="2742" t="str">
        <f ca="1">'预评函-2（2）'!F5</f>
        <v>陆佰玖拾柒万元整</v>
      </c>
    </row>
    <row r="43" spans="1:2">
      <c r="A43" s="2734" t="s">
        <v>43</v>
      </c>
      <c r="B43" s="2743" t="str">
        <f>'预评函-3'!A13</f>
        <v>2.本《评估意见函》仅供金融机构进行内部审核使用，不做其他目的之用。</v>
      </c>
    </row>
    <row r="44" spans="1:2">
      <c r="A44" s="2736" t="s">
        <v>44</v>
      </c>
      <c r="B44" s="2740" t="str">
        <f>'预评函-3'!A14</f>
        <v>3.抵押双方在办理抵押登记手续时，应使用本公司出具的正式《房地产评估报告》，特提醒报告使用者注意。</v>
      </c>
    </row>
    <row r="45" spans="1:2">
      <c r="A45" s="2736" t="s">
        <v>45</v>
      </c>
      <c r="B45" s="2740" t="str">
        <f>'预评函-3'!A15</f>
        <v>4.本次评估估价师所知悉的法定优先受偿款情况说明如下：</v>
      </c>
    </row>
    <row r="46" spans="1:2">
      <c r="A46" s="2736" t="s">
        <v>46</v>
      </c>
      <c r="B46" s="2740" t="str">
        <f>'预评函-3'!A16</f>
        <v>根据估价对象《不动产权证书》原件、，截至价值时点，估价对象已设定抵押。上述抵押权设定日期为，权利人为，权利范围为，权利价值为。</v>
      </c>
    </row>
    <row r="47" spans="1:2">
      <c r="A47" s="2736" t="s">
        <v>47</v>
      </c>
      <c r="B47" s="27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36" t="s">
        <v>48</v>
      </c>
      <c r="B48" s="2740" t="str">
        <f>'预评函-3'!A18</f>
        <v>本次评估不存在估价师所知悉的法定优先受偿款。</v>
      </c>
    </row>
    <row r="49" spans="1:2">
      <c r="A49" s="2736" t="s">
        <v>49</v>
      </c>
      <c r="B49" s="274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36" t="s">
        <v>50</v>
      </c>
      <c r="B50" s="2740" t="str">
        <f>'预评函-3'!A20</f>
        <v>6.其他需特殊说明事项：无（注意修改序号）</v>
      </c>
    </row>
    <row r="51" spans="1:2" s="2727" customFormat="1" ht="14.25">
      <c r="A51" s="2738" t="s">
        <v>51</v>
      </c>
      <c r="B51" s="2744">
        <f>'预评函-3'!D29</f>
        <v>42551</v>
      </c>
    </row>
    <row r="52" spans="1:2">
      <c r="A52" s="2734" t="s">
        <v>52</v>
      </c>
      <c r="B52" s="2745" t="str">
        <f>'预评函-3'!A4</f>
        <v>吴薇</v>
      </c>
    </row>
    <row r="53" spans="1:2">
      <c r="A53" s="2736" t="s">
        <v>53</v>
      </c>
      <c r="B53" s="2740">
        <f ca="1">'预评函-3'!B4</f>
        <v>1419970001</v>
      </c>
    </row>
    <row r="54" spans="1:2">
      <c r="A54" s="2736" t="s">
        <v>54</v>
      </c>
      <c r="B54" s="2746" t="str">
        <f>'预评函-3'!A5</f>
        <v>崔锴</v>
      </c>
    </row>
    <row r="55" spans="1:2" s="2727" customFormat="1">
      <c r="A55" s="2738" t="s">
        <v>55</v>
      </c>
      <c r="B55" s="2742">
        <f ca="1">'预评函-3'!B5</f>
        <v>1120100036</v>
      </c>
    </row>
    <row r="56" spans="1:2">
      <c r="A56" s="2747" t="s">
        <v>56</v>
      </c>
      <c r="B56" s="2740" t="str">
        <f>'预评函-2（1）'!B15</f>
        <v>3.房地产抵押价值</v>
      </c>
    </row>
    <row r="57" spans="1:2">
      <c r="A57" s="2747" t="s">
        <v>57</v>
      </c>
      <c r="B57" s="2740" t="str">
        <f>'预评函-2（1）'!B18</f>
        <v>——</v>
      </c>
    </row>
    <row r="58" spans="1:2" s="2727" customFormat="1">
      <c r="A58" s="2748" t="s">
        <v>58</v>
      </c>
      <c r="B58" s="2741" t="str">
        <f>'预评函-2（1）'!B21</f>
        <v>——</v>
      </c>
    </row>
    <row r="59" spans="1:2">
      <c r="A59" s="2749" t="s">
        <v>59</v>
      </c>
      <c r="B59" s="2737" t="str">
        <f>'预评函-2（1）'!B45</f>
        <v>单位：万元、元/平方米（单位：人民币）</v>
      </c>
    </row>
    <row r="60" spans="1:2">
      <c r="A60" s="2747" t="s">
        <v>60</v>
      </c>
      <c r="B60" s="2740" t="str">
        <f>'预评函-2（2）'!D2</f>
        <v>出让国有建设用地使用权价值</v>
      </c>
    </row>
    <row r="61" spans="1:2" s="2728" customFormat="1">
      <c r="A61" s="2747" t="s">
        <v>61</v>
      </c>
      <c r="B61" s="2740" t="str">
        <f>'预评函-2（2）'!A14</f>
        <v>单位：平方米、万元、元/平方米（币种：人民币）</v>
      </c>
    </row>
    <row r="62" spans="1:2" ht="28.5">
      <c r="A62" s="2747" t="s">
        <v>62</v>
      </c>
      <c r="B62" s="2740">
        <f ca="1">'预评函-2（1）'!D38</f>
        <v>41406</v>
      </c>
    </row>
    <row r="63" spans="1:2" s="2728" customFormat="1" ht="28.5">
      <c r="A63" s="2747" t="s">
        <v>63</v>
      </c>
      <c r="B63" s="2740" t="str">
        <f>'预评函-2（1）'!D41</f>
        <v>——</v>
      </c>
    </row>
    <row r="64" spans="1:2">
      <c r="A64" s="2747" t="s">
        <v>64</v>
      </c>
      <c r="B64" s="2740" t="str">
        <f>'预评函-2（2）'!A6</f>
        <v>估价师所知悉的法定优先受偿款</v>
      </c>
    </row>
    <row r="65" spans="1:2">
      <c r="A65" s="2747" t="s">
        <v>65</v>
      </c>
      <c r="B65" s="2740" t="str">
        <f>'预评函-2（2）'!A8</f>
        <v>房地产抵押价值</v>
      </c>
    </row>
    <row r="66" spans="1:2">
      <c r="A66" s="2747" t="s">
        <v>66</v>
      </c>
      <c r="B66" s="2740" t="str">
        <f>'预评函-2（2）'!A10</f>
        <v/>
      </c>
    </row>
    <row r="67" spans="1:2" s="2727" customFormat="1">
      <c r="A67" s="2748" t="s">
        <v>67</v>
      </c>
      <c r="B67" s="2741" t="str">
        <f>'预评函-2（2）'!A12</f>
        <v/>
      </c>
    </row>
    <row r="68" spans="1:2">
      <c r="A68" s="2729" t="s">
        <v>68</v>
      </c>
      <c r="B68" s="2730" t="str">
        <f>'预评函-3'!A9</f>
        <v>XX</v>
      </c>
    </row>
    <row r="69" spans="1:2">
      <c r="A69" s="2736" t="s">
        <v>69</v>
      </c>
    </row>
    <row r="70" spans="1:2">
      <c r="A70" s="2736" t="s">
        <v>70</v>
      </c>
    </row>
  </sheetData>
  <sheetProtection password="C66D" sheet="1" objects="1" scenarios="1"/>
  <phoneticPr fontId="205"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L21" sqref="L21"/>
    </sheetView>
  </sheetViews>
  <sheetFormatPr defaultColWidth="10" defaultRowHeight="12.75"/>
  <cols>
    <col min="1" max="1" width="18.625" style="2456" customWidth="1"/>
    <col min="2" max="2" width="15" style="2456" customWidth="1"/>
    <col min="3" max="3" width="14.125" style="2456" customWidth="1"/>
    <col min="4" max="4" width="12.5" style="2456" customWidth="1"/>
    <col min="5" max="5" width="13.875" style="2456" customWidth="1"/>
    <col min="6" max="6" width="15" style="2456" customWidth="1"/>
    <col min="7" max="7" width="14.875" style="2456" customWidth="1"/>
    <col min="8" max="8" width="10" style="2456" customWidth="1"/>
    <col min="9" max="9" width="10" style="2457" customWidth="1"/>
    <col min="10" max="10" width="10" style="2456" customWidth="1"/>
    <col min="11" max="13" width="10" style="2458" customWidth="1"/>
    <col min="14" max="14" width="10" style="2456" customWidth="1"/>
    <col min="15" max="15" width="10" style="2457" customWidth="1"/>
    <col min="16" max="17" width="10" style="2456"/>
    <col min="18" max="18" width="10" style="2456" customWidth="1"/>
    <col min="19" max="16384" width="10" style="2456"/>
  </cols>
  <sheetData>
    <row r="1" spans="1:10">
      <c r="A1" s="2459" t="s">
        <v>332</v>
      </c>
      <c r="B1" s="2460" t="str">
        <f>IF(B6="北京市","北京市",C6)&amp;IF(E12="房屋所有权证",B28,E28)&amp;D5&amp;"预评估"</f>
        <v>北京市房地产抵押价值预评估</v>
      </c>
      <c r="C1" s="2461"/>
      <c r="D1" s="2462"/>
      <c r="E1" s="2461"/>
      <c r="F1" s="2463" t="s">
        <v>333</v>
      </c>
      <c r="G1" s="2464"/>
      <c r="I1" s="2455" t="str">
        <f>IF(B6="北京市","北京市",C6)&amp;IF(E12="房屋所有权证",B28,E28)&amp;"房地产"</f>
        <v>北京市房地产</v>
      </c>
    </row>
    <row r="2" spans="1:10">
      <c r="A2" s="2465" t="s">
        <v>334</v>
      </c>
      <c r="B2" s="2466"/>
      <c r="C2" s="2467" t="s">
        <v>335</v>
      </c>
      <c r="D2" s="2466">
        <v>43646</v>
      </c>
      <c r="E2" s="2468"/>
      <c r="F2" s="2468"/>
      <c r="G2" s="2469"/>
      <c r="H2" s="2455"/>
    </row>
    <row r="3" spans="1:10">
      <c r="A3" s="2470" t="s">
        <v>336</v>
      </c>
      <c r="B3" s="2471" t="s">
        <v>176</v>
      </c>
      <c r="C3" s="2472">
        <f ca="1">SUMIF(注册房地产估价师,B3,估价师及机构信息!B3:B24)</f>
        <v>1419970001</v>
      </c>
      <c r="D3" s="2471" t="s">
        <v>178</v>
      </c>
      <c r="E3" s="2473">
        <f ca="1">SUMIF(注册房地产估价师,D3,估价师及机构信息!B3:B24)</f>
        <v>1120100036</v>
      </c>
      <c r="F3" s="2474"/>
      <c r="G3" s="2475"/>
      <c r="H3" s="2455"/>
    </row>
    <row r="4" spans="1:10" ht="13.5" customHeight="1">
      <c r="A4" s="2476" t="s">
        <v>337</v>
      </c>
      <c r="B4" s="2477" t="s">
        <v>338</v>
      </c>
      <c r="C4" s="2478" t="s">
        <v>339</v>
      </c>
      <c r="D4" s="2479" t="s">
        <v>340</v>
      </c>
      <c r="E4" s="2468"/>
      <c r="F4" s="2468"/>
      <c r="G4" s="2469"/>
    </row>
    <row r="5" spans="1:10">
      <c r="A5" s="2480" t="s">
        <v>341</v>
      </c>
      <c r="B5" s="2481" t="s">
        <v>120</v>
      </c>
      <c r="C5" s="1613" t="s">
        <v>342</v>
      </c>
      <c r="D5" s="2482" t="s">
        <v>343</v>
      </c>
      <c r="E5" s="2483" t="s">
        <v>344</v>
      </c>
      <c r="F5" s="2484" t="s">
        <v>343</v>
      </c>
      <c r="G5" s="2485"/>
      <c r="I5" s="2455" t="str">
        <f>IF(C16="否","截至估价时点，估价对象抵押权未见登记。","截至价值时点，估价对象已设定抵押。")</f>
        <v>截至价值时点，估价对象已设定抵押。</v>
      </c>
    </row>
    <row r="6" spans="1:10">
      <c r="A6" s="2486" t="s">
        <v>345</v>
      </c>
      <c r="B6" s="1627" t="s">
        <v>346</v>
      </c>
      <c r="C6" s="2487" t="s">
        <v>120</v>
      </c>
      <c r="D6" s="2488" t="s">
        <v>347</v>
      </c>
      <c r="E6" s="2074"/>
      <c r="F6" s="2489"/>
      <c r="G6" s="2490"/>
      <c r="I6" s="2457" t="str">
        <f>IF(COUNTIF(B5,"*上海银行*"),"上海银行","")</f>
        <v/>
      </c>
    </row>
    <row r="7" spans="1:10">
      <c r="A7" s="2470" t="s">
        <v>348</v>
      </c>
      <c r="B7" s="2491" t="s">
        <v>349</v>
      </c>
      <c r="C7" s="2492" t="str">
        <f>IF(B7="自然人","姓名","名称")</f>
        <v>名称</v>
      </c>
      <c r="D7" s="2493" t="s">
        <v>120</v>
      </c>
      <c r="E7" s="2494"/>
      <c r="F7" s="2474"/>
      <c r="G7" s="2475"/>
    </row>
    <row r="8" spans="1:10">
      <c r="A8" s="2801" t="s">
        <v>350</v>
      </c>
      <c r="B8" s="2496" t="s">
        <v>351</v>
      </c>
      <c r="C8" s="2816"/>
      <c r="D8" s="2817"/>
      <c r="E8" s="2497" t="s">
        <v>352</v>
      </c>
      <c r="F8" s="2498" t="s">
        <v>353</v>
      </c>
      <c r="G8" s="2499" t="str">
        <f>C6</f>
        <v>XX</v>
      </c>
    </row>
    <row r="9" spans="1:10" ht="25.5">
      <c r="A9" s="2801"/>
      <c r="B9" s="1612" t="s">
        <v>354</v>
      </c>
      <c r="C9" s="2481"/>
      <c r="D9" s="2500" t="s">
        <v>355</v>
      </c>
      <c r="E9" s="2501" t="s">
        <v>356</v>
      </c>
      <c r="F9" s="2502" t="s">
        <v>357</v>
      </c>
      <c r="G9" s="2503"/>
    </row>
    <row r="10" spans="1:10">
      <c r="A10" s="2801"/>
      <c r="B10" s="1612" t="s">
        <v>358</v>
      </c>
      <c r="C10" s="2818"/>
      <c r="D10" s="2819"/>
      <c r="E10" s="2505" t="s">
        <v>359</v>
      </c>
      <c r="F10" s="2506" t="s">
        <v>360</v>
      </c>
      <c r="G10" s="2507"/>
    </row>
    <row r="11" spans="1:10">
      <c r="A11" s="2801"/>
      <c r="B11" s="1568" t="s">
        <v>361</v>
      </c>
      <c r="C11" s="2820"/>
      <c r="D11" s="2821"/>
      <c r="E11" s="2074"/>
      <c r="F11" s="2489"/>
      <c r="G11" s="2490"/>
    </row>
    <row r="12" spans="1:10" ht="24">
      <c r="A12" s="2802" t="s">
        <v>362</v>
      </c>
      <c r="B12" s="2508" t="s">
        <v>363</v>
      </c>
      <c r="C12" s="2509">
        <f>典型户型修正!B25</f>
        <v>1024.48</v>
      </c>
      <c r="D12" s="2508" t="s">
        <v>364</v>
      </c>
      <c r="E12" s="2510" t="s">
        <v>365</v>
      </c>
      <c r="F12" s="2511" t="s">
        <v>366</v>
      </c>
      <c r="G12" s="2490"/>
    </row>
    <row r="13" spans="1:10" ht="21" customHeight="1">
      <c r="A13" s="2803"/>
      <c r="B13" s="2512" t="s">
        <v>367</v>
      </c>
      <c r="C13" s="2513">
        <v>105.21</v>
      </c>
      <c r="D13" s="2512" t="s">
        <v>364</v>
      </c>
      <c r="E13" s="2514" t="s">
        <v>365</v>
      </c>
      <c r="F13" s="2489"/>
      <c r="G13" s="2490"/>
      <c r="I13" s="2826" t="s">
        <v>368</v>
      </c>
      <c r="J13" s="2586"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c r="A14" s="2515"/>
      <c r="B14" s="2516" t="s">
        <v>369</v>
      </c>
      <c r="C14" s="2517"/>
      <c r="D14" s="2489"/>
      <c r="E14" s="2489"/>
      <c r="F14" s="2489"/>
      <c r="G14" s="2490"/>
      <c r="I14" s="2826"/>
      <c r="J14" s="258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c r="A15" s="2518"/>
      <c r="B15" s="2519" t="s">
        <v>370</v>
      </c>
      <c r="C15" s="2520"/>
      <c r="D15" s="2474"/>
      <c r="E15" s="2474"/>
      <c r="F15" s="2474"/>
      <c r="G15" s="2475"/>
      <c r="I15" s="2826"/>
      <c r="J15" s="258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15" t="s">
        <v>371</v>
      </c>
      <c r="B16" s="2521" t="s">
        <v>372</v>
      </c>
      <c r="C16" s="2522" t="s">
        <v>373</v>
      </c>
      <c r="D16" s="2523" t="s">
        <v>374</v>
      </c>
      <c r="E16" s="2524" t="s">
        <v>373</v>
      </c>
      <c r="F16" s="2525" t="str">
        <f>IF(AND(C16="是",E16="否"),"是否提供他项权证或相关说明","")</f>
        <v/>
      </c>
      <c r="G16" s="2524" t="s">
        <v>373</v>
      </c>
      <c r="I16" s="2456"/>
      <c r="J16" s="2455"/>
    </row>
    <row r="17" spans="1:15" ht="13.5" customHeight="1">
      <c r="A17" s="2526" t="s">
        <v>375</v>
      </c>
      <c r="B17" s="2822" t="s">
        <v>376</v>
      </c>
      <c r="C17" s="2823"/>
      <c r="D17" s="2824" t="s">
        <v>377</v>
      </c>
      <c r="E17" s="2825"/>
      <c r="F17" s="2527" t="s">
        <v>378</v>
      </c>
      <c r="G17" s="2528"/>
      <c r="J17" s="2455"/>
    </row>
    <row r="18" spans="1:15" ht="24">
      <c r="A18" s="2526"/>
      <c r="B18" s="2529" t="s">
        <v>379</v>
      </c>
      <c r="C18" s="2485" t="s">
        <v>380</v>
      </c>
      <c r="D18" s="2530" t="s">
        <v>381</v>
      </c>
      <c r="E18" s="2531" t="s">
        <v>382</v>
      </c>
      <c r="F18" s="2532"/>
      <c r="G18" s="2533"/>
      <c r="H18" s="2455"/>
      <c r="J18" s="2455"/>
    </row>
    <row r="19" spans="1:15" ht="21.75" customHeight="1">
      <c r="A19" s="2526"/>
      <c r="B19" s="2534"/>
      <c r="C19" s="2514"/>
      <c r="D19" s="2535"/>
      <c r="E19" s="2489"/>
      <c r="F19" s="2489"/>
      <c r="G19" s="2533"/>
    </row>
    <row r="20" spans="1:15">
      <c r="A20" s="2536" t="s">
        <v>383</v>
      </c>
      <c r="B20" s="2537" t="s">
        <v>384</v>
      </c>
      <c r="C20" s="2538"/>
      <c r="D20" s="2539" t="s">
        <v>384</v>
      </c>
      <c r="E20" s="2538"/>
      <c r="F20" s="2489"/>
      <c r="G20" s="2533"/>
    </row>
    <row r="21" spans="1:15">
      <c r="A21" s="2540"/>
      <c r="B21" s="2541" t="s">
        <v>385</v>
      </c>
      <c r="C21" s="2504"/>
      <c r="D21" s="2526" t="s">
        <v>385</v>
      </c>
      <c r="E21" s="2542"/>
      <c r="F21" s="2489"/>
      <c r="G21" s="2533"/>
    </row>
    <row r="22" spans="1:15">
      <c r="A22" s="2540"/>
      <c r="B22" s="2543" t="s">
        <v>386</v>
      </c>
      <c r="C22" s="2544"/>
      <c r="D22" s="2543" t="s">
        <v>386</v>
      </c>
      <c r="E22" s="2542"/>
      <c r="F22" s="2489"/>
      <c r="G22" s="2533"/>
    </row>
    <row r="23" spans="1:15" s="2453" customFormat="1" ht="20.25">
      <c r="A23" s="2545"/>
      <c r="B23" s="2546" t="s">
        <v>387</v>
      </c>
      <c r="C23" s="2547"/>
      <c r="D23" s="2546" t="s">
        <v>387</v>
      </c>
      <c r="E23" s="2548"/>
      <c r="F23" s="2489"/>
      <c r="G23" s="2533"/>
      <c r="H23" s="2549"/>
      <c r="I23" s="2585"/>
      <c r="K23" s="2587"/>
      <c r="L23" s="2587"/>
      <c r="M23" s="2587"/>
      <c r="O23" s="2585"/>
    </row>
    <row r="24" spans="1:15">
      <c r="A24" s="2550" t="s">
        <v>388</v>
      </c>
      <c r="B24" s="2489"/>
      <c r="C24" s="2489"/>
      <c r="D24" s="2489"/>
      <c r="E24" s="2489"/>
      <c r="F24" s="2489"/>
      <c r="G24" s="2551"/>
      <c r="I24" s="2456"/>
      <c r="K24" s="2456"/>
    </row>
    <row r="25" spans="1:15" s="2454" customFormat="1">
      <c r="A25" s="2552"/>
      <c r="B25" s="2553" t="s">
        <v>389</v>
      </c>
      <c r="C25" s="2552"/>
      <c r="D25" s="2554"/>
      <c r="E25" s="2555" t="s">
        <v>390</v>
      </c>
      <c r="F25" s="2552"/>
      <c r="G25" s="2556" t="s">
        <v>391</v>
      </c>
      <c r="L25" s="2588"/>
      <c r="M25" s="2588"/>
      <c r="O25" s="2589"/>
    </row>
    <row r="26" spans="1:15" s="2454" customFormat="1">
      <c r="A26" s="2552"/>
      <c r="B26" s="2557"/>
      <c r="C26" s="2552"/>
      <c r="D26" s="2554"/>
      <c r="E26" s="2557"/>
      <c r="F26" s="2552"/>
      <c r="G26" s="2558"/>
      <c r="L26" s="2588"/>
      <c r="M26" s="2588"/>
      <c r="O26" s="2589"/>
    </row>
    <row r="27" spans="1:15">
      <c r="A27" s="2559" t="s">
        <v>392</v>
      </c>
      <c r="B27" s="2560"/>
      <c r="C27" s="2810" t="s">
        <v>392</v>
      </c>
      <c r="D27" s="2811"/>
      <c r="E27" s="2560"/>
      <c r="F27" s="2562" t="s">
        <v>392</v>
      </c>
      <c r="G27" s="2560"/>
      <c r="I27" s="2456"/>
      <c r="K27" s="2456"/>
    </row>
    <row r="28" spans="1:15">
      <c r="A28" s="2563" t="s">
        <v>393</v>
      </c>
      <c r="B28" s="2564"/>
      <c r="C28" s="2812" t="s">
        <v>394</v>
      </c>
      <c r="D28" s="2813"/>
      <c r="E28" s="2564"/>
      <c r="F28" s="2070" t="s">
        <v>394</v>
      </c>
      <c r="G28" s="2564"/>
      <c r="I28" s="2456"/>
      <c r="K28" s="2456"/>
    </row>
    <row r="29" spans="1:15">
      <c r="A29" s="2563" t="s">
        <v>395</v>
      </c>
      <c r="B29" s="2564"/>
      <c r="C29" s="2812" t="s">
        <v>395</v>
      </c>
      <c r="D29" s="2813"/>
      <c r="E29" s="2564"/>
      <c r="F29" s="2070" t="s">
        <v>396</v>
      </c>
      <c r="G29" s="2564"/>
      <c r="I29" s="2456"/>
      <c r="K29" s="2456"/>
    </row>
    <row r="30" spans="1:15">
      <c r="A30" s="2563" t="s">
        <v>397</v>
      </c>
      <c r="B30" s="2564"/>
      <c r="C30" s="2804" t="s">
        <v>398</v>
      </c>
      <c r="D30" s="2081"/>
      <c r="E30" s="2565" t="str">
        <f>E31&amp;" "&amp;E32&amp;" "&amp;E33&amp;" "&amp;E34</f>
        <v/>
      </c>
      <c r="F30" s="2070" t="s">
        <v>399</v>
      </c>
      <c r="G30" s="2564"/>
    </row>
    <row r="31" spans="1:15">
      <c r="A31" s="2563" t="s">
        <v>400</v>
      </c>
      <c r="B31" s="2564"/>
      <c r="C31" s="2805"/>
      <c r="D31" s="1624" t="s">
        <v>401</v>
      </c>
      <c r="E31" s="2564"/>
      <c r="F31" s="2070" t="s">
        <v>402</v>
      </c>
      <c r="G31" s="2564"/>
    </row>
    <row r="32" spans="1:15" ht="24">
      <c r="A32" s="2566" t="s">
        <v>403</v>
      </c>
      <c r="B32" s="2567"/>
      <c r="C32" s="2805"/>
      <c r="D32" s="1624" t="s">
        <v>404</v>
      </c>
      <c r="E32" s="2564"/>
      <c r="F32" s="2070" t="s">
        <v>405</v>
      </c>
      <c r="G32" s="2564"/>
    </row>
    <row r="33" spans="1:7">
      <c r="A33" s="2559" t="s">
        <v>406</v>
      </c>
      <c r="B33" s="2560"/>
      <c r="C33" s="2805"/>
      <c r="D33" s="1624" t="s">
        <v>407</v>
      </c>
      <c r="E33" s="2564"/>
      <c r="F33" s="2070" t="s">
        <v>408</v>
      </c>
      <c r="G33" s="2564"/>
    </row>
    <row r="34" spans="1:7">
      <c r="A34" s="2563" t="s">
        <v>409</v>
      </c>
      <c r="B34" s="2564"/>
      <c r="C34" s="2806"/>
      <c r="D34" s="1624" t="s">
        <v>410</v>
      </c>
      <c r="E34" s="2564"/>
      <c r="F34" s="2075" t="s">
        <v>411</v>
      </c>
      <c r="G34" s="2568"/>
    </row>
    <row r="35" spans="1:7">
      <c r="A35" s="2563" t="s">
        <v>363</v>
      </c>
      <c r="B35" s="2564"/>
      <c r="C35" s="2812" t="s">
        <v>412</v>
      </c>
      <c r="D35" s="2813"/>
      <c r="E35" s="2564"/>
      <c r="F35" s="2561" t="s">
        <v>413</v>
      </c>
      <c r="G35" s="2560"/>
    </row>
    <row r="36" spans="1:7">
      <c r="A36" s="2563" t="s">
        <v>414</v>
      </c>
      <c r="B36" s="2564"/>
      <c r="C36" s="2814" t="s">
        <v>415</v>
      </c>
      <c r="D36" s="2815"/>
      <c r="E36" s="2567"/>
      <c r="F36" s="2068" t="s">
        <v>416</v>
      </c>
      <c r="G36" s="2564"/>
    </row>
    <row r="37" spans="1:7">
      <c r="A37" s="2563" t="s">
        <v>417</v>
      </c>
      <c r="B37" s="2564"/>
      <c r="C37" s="2807" t="s">
        <v>418</v>
      </c>
      <c r="D37" s="2569" t="s">
        <v>402</v>
      </c>
      <c r="E37" s="2560"/>
      <c r="F37" s="2075" t="s">
        <v>419</v>
      </c>
      <c r="G37" s="2567"/>
    </row>
    <row r="38" spans="1:7">
      <c r="A38" s="2563" t="s">
        <v>420</v>
      </c>
      <c r="B38" s="2564"/>
      <c r="C38" s="2808"/>
      <c r="D38" s="1624" t="s">
        <v>409</v>
      </c>
      <c r="E38" s="2564"/>
      <c r="F38" s="2562" t="s">
        <v>421</v>
      </c>
      <c r="G38" s="2560"/>
    </row>
    <row r="39" spans="1:7">
      <c r="A39" s="2563" t="s">
        <v>422</v>
      </c>
      <c r="B39" s="2564"/>
      <c r="C39" s="2808" t="s">
        <v>423</v>
      </c>
      <c r="D39" s="1624" t="s">
        <v>363</v>
      </c>
      <c r="E39" s="2564"/>
      <c r="F39" s="2070" t="s">
        <v>424</v>
      </c>
      <c r="G39" s="2564"/>
    </row>
    <row r="40" spans="1:7" ht="24.75" customHeight="1">
      <c r="A40" s="2566" t="s">
        <v>425</v>
      </c>
      <c r="B40" s="2567"/>
      <c r="C40" s="2809"/>
      <c r="D40" s="2076" t="s">
        <v>367</v>
      </c>
      <c r="E40" s="2567"/>
      <c r="F40" s="2075" t="s">
        <v>426</v>
      </c>
      <c r="G40" s="2567"/>
    </row>
    <row r="41" spans="1:7">
      <c r="A41" s="2501" t="s">
        <v>427</v>
      </c>
      <c r="B41" s="2570"/>
      <c r="C41" s="2827" t="s">
        <v>427</v>
      </c>
      <c r="D41" s="2828"/>
      <c r="E41" s="2570"/>
      <c r="F41" s="2562" t="s">
        <v>428</v>
      </c>
      <c r="G41" s="2570"/>
    </row>
    <row r="42" spans="1:7">
      <c r="A42" s="2571" t="s">
        <v>429</v>
      </c>
      <c r="B42" s="2572"/>
      <c r="C42" s="2573"/>
      <c r="D42" s="2574"/>
      <c r="E42" s="2572"/>
      <c r="F42" s="2495"/>
      <c r="G42" s="2572"/>
    </row>
    <row r="43" spans="1:7">
      <c r="A43" s="2060" t="s">
        <v>384</v>
      </c>
      <c r="B43" s="2575"/>
      <c r="C43" s="2573"/>
      <c r="D43" s="2576" t="s">
        <v>384</v>
      </c>
      <c r="E43" s="2575"/>
      <c r="F43" s="2060" t="s">
        <v>384</v>
      </c>
      <c r="G43" s="2575"/>
    </row>
    <row r="44" spans="1:7">
      <c r="A44" s="2060" t="s">
        <v>385</v>
      </c>
      <c r="B44" s="2575"/>
      <c r="C44" s="2573"/>
      <c r="D44" s="2541" t="s">
        <v>385</v>
      </c>
      <c r="E44" s="2575"/>
      <c r="F44" s="2060" t="s">
        <v>385</v>
      </c>
      <c r="G44" s="2575"/>
    </row>
    <row r="45" spans="1:7">
      <c r="A45" s="2060" t="s">
        <v>386</v>
      </c>
      <c r="B45" s="2575"/>
      <c r="C45" s="2573"/>
      <c r="D45" s="2541" t="s">
        <v>386</v>
      </c>
      <c r="E45" s="2575"/>
      <c r="F45" s="2060" t="s">
        <v>386</v>
      </c>
      <c r="G45" s="2575"/>
    </row>
    <row r="46" spans="1:7">
      <c r="A46" s="2060" t="s">
        <v>387</v>
      </c>
      <c r="B46" s="2575"/>
      <c r="C46" s="2573"/>
      <c r="D46" s="2541" t="s">
        <v>387</v>
      </c>
      <c r="E46" s="2575"/>
      <c r="F46" s="2060" t="s">
        <v>387</v>
      </c>
      <c r="G46" s="2575"/>
    </row>
    <row r="47" spans="1:7">
      <c r="A47" s="2571"/>
      <c r="B47" s="2575"/>
      <c r="C47" s="2573"/>
      <c r="D47" s="2574"/>
      <c r="E47" s="2575"/>
      <c r="F47" s="2495"/>
      <c r="G47" s="2575"/>
    </row>
    <row r="48" spans="1:7">
      <c r="A48" s="2566" t="s">
        <v>430</v>
      </c>
      <c r="B48" s="2567"/>
      <c r="C48" s="2829" t="s">
        <v>430</v>
      </c>
      <c r="D48" s="2830"/>
      <c r="E48" s="2577"/>
      <c r="F48" s="2075" t="s">
        <v>431</v>
      </c>
      <c r="G48" s="2567"/>
    </row>
    <row r="49" spans="1:15">
      <c r="A49" s="2563" t="s">
        <v>432</v>
      </c>
      <c r="B49" s="2578"/>
      <c r="C49" s="2807" t="s">
        <v>433</v>
      </c>
      <c r="D49" s="2831"/>
      <c r="E49" s="2579"/>
      <c r="F49" s="2580"/>
      <c r="G49" s="2581"/>
    </row>
    <row r="50" spans="1:15">
      <c r="A50" s="2563" t="s">
        <v>434</v>
      </c>
      <c r="B50" s="2578"/>
      <c r="C50" s="2809" t="s">
        <v>435</v>
      </c>
      <c r="D50" s="2832"/>
      <c r="E50" s="2567"/>
      <c r="F50" s="2489"/>
      <c r="G50" s="2490"/>
    </row>
    <row r="51" spans="1:15">
      <c r="A51" s="2563" t="s">
        <v>413</v>
      </c>
      <c r="B51" s="2564"/>
      <c r="C51" s="2489"/>
      <c r="D51" s="2489"/>
      <c r="E51" s="2489"/>
      <c r="F51" s="2489"/>
      <c r="G51" s="2490"/>
    </row>
    <row r="52" spans="1:15" ht="24">
      <c r="A52" s="2566" t="s">
        <v>436</v>
      </c>
      <c r="B52" s="2568"/>
      <c r="C52" s="2582"/>
      <c r="D52" s="2582"/>
      <c r="E52" s="2582"/>
      <c r="F52" s="2582"/>
      <c r="G52" s="2583"/>
    </row>
    <row r="53" spans="1:15">
      <c r="A53" s="2584"/>
      <c r="B53" s="2584"/>
      <c r="C53" s="2584"/>
      <c r="D53" s="2584"/>
      <c r="E53" s="2584"/>
      <c r="F53" s="2584"/>
      <c r="G53" s="2584"/>
    </row>
    <row r="54" spans="1:15">
      <c r="C54" s="2584"/>
      <c r="D54" s="2584"/>
      <c r="E54" s="2584"/>
      <c r="F54" s="2584"/>
      <c r="G54" s="2584"/>
    </row>
    <row r="56" spans="1:15" s="2455" customFormat="1">
      <c r="I56" s="2590"/>
      <c r="K56" s="2591"/>
      <c r="L56" s="2591"/>
      <c r="M56" s="2591"/>
      <c r="O56" s="2590"/>
    </row>
    <row r="57" spans="1:15" s="2455" customFormat="1">
      <c r="I57" s="2590"/>
      <c r="K57" s="2591"/>
      <c r="L57" s="2591"/>
      <c r="M57" s="2591"/>
      <c r="O57" s="2590"/>
    </row>
    <row r="58" spans="1:15" s="2455" customFormat="1">
      <c r="I58" s="2590"/>
      <c r="K58" s="2591"/>
      <c r="L58" s="2591"/>
      <c r="M58" s="2591"/>
      <c r="O58" s="2590"/>
    </row>
    <row r="59" spans="1:15" s="2455" customFormat="1">
      <c r="I59" s="2590"/>
      <c r="K59" s="2591"/>
      <c r="L59" s="2591"/>
      <c r="M59" s="2591"/>
      <c r="O59" s="2590"/>
    </row>
    <row r="60" spans="1:15" s="2455" customFormat="1">
      <c r="I60" s="2590"/>
      <c r="K60" s="2591"/>
      <c r="L60" s="2591"/>
      <c r="M60" s="2591"/>
      <c r="O60" s="2590"/>
    </row>
    <row r="61" spans="1:15" s="2455" customFormat="1">
      <c r="I61" s="2590"/>
      <c r="K61" s="2591"/>
      <c r="L61" s="2591"/>
      <c r="M61" s="2591"/>
      <c r="O61" s="2590"/>
    </row>
    <row r="62" spans="1:15" s="2455" customFormat="1">
      <c r="I62" s="2590"/>
      <c r="K62" s="2591"/>
      <c r="L62" s="2591"/>
      <c r="M62" s="2591"/>
      <c r="O62" s="2590"/>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205" type="noConversion"/>
  <dataValidations count="19">
    <dataValidation type="list" showInputMessage="1" showErrorMessage="1" sqref="B7">
      <formula1>"自然人,企业"</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50" customWidth="1"/>
    <col min="2" max="2" width="10.625" style="2450" customWidth="1"/>
    <col min="3" max="3" width="15.75" style="2450" customWidth="1"/>
    <col min="4" max="7" width="9.5" style="2450" customWidth="1"/>
    <col min="8" max="13" width="9.125" style="2450" customWidth="1"/>
    <col min="14" max="16384" width="9" style="2450"/>
  </cols>
  <sheetData>
    <row r="1" spans="1:13" ht="14.25">
      <c r="A1" s="2834" t="s">
        <v>437</v>
      </c>
      <c r="B1" s="2834" t="s">
        <v>438</v>
      </c>
      <c r="C1" s="2834" t="s">
        <v>439</v>
      </c>
      <c r="D1" s="2833" t="s">
        <v>440</v>
      </c>
      <c r="E1" s="2833" t="s">
        <v>441</v>
      </c>
      <c r="F1" s="2833"/>
      <c r="G1" s="2833"/>
      <c r="H1" s="2833"/>
      <c r="I1" s="2833"/>
      <c r="J1" s="2833"/>
      <c r="K1" s="2833"/>
      <c r="L1" s="2833"/>
      <c r="M1" s="2833"/>
    </row>
    <row r="2" spans="1:13" ht="27" customHeight="1">
      <c r="A2" s="2834"/>
      <c r="B2" s="2834"/>
      <c r="C2" s="2834"/>
      <c r="D2" s="2833"/>
      <c r="E2" s="2833" t="s">
        <v>442</v>
      </c>
      <c r="F2" s="2833" t="s">
        <v>443</v>
      </c>
      <c r="G2" s="2833"/>
      <c r="H2" s="2833"/>
      <c r="I2" s="2833"/>
      <c r="J2" s="2833" t="s">
        <v>444</v>
      </c>
      <c r="K2" s="2833"/>
      <c r="L2" s="2833"/>
      <c r="M2" s="2833"/>
    </row>
    <row r="3" spans="1:13" ht="28.5">
      <c r="A3" s="2834"/>
      <c r="B3" s="2834"/>
      <c r="C3" s="2834"/>
      <c r="D3" s="2833"/>
      <c r="E3" s="2833"/>
      <c r="F3" s="2452" t="s">
        <v>445</v>
      </c>
      <c r="G3" s="2452" t="s">
        <v>446</v>
      </c>
      <c r="H3" s="2452" t="s">
        <v>447</v>
      </c>
      <c r="I3" s="2452" t="s">
        <v>448</v>
      </c>
      <c r="J3" s="2452" t="s">
        <v>445</v>
      </c>
      <c r="K3" s="2452" t="s">
        <v>449</v>
      </c>
      <c r="L3" s="2452" t="s">
        <v>450</v>
      </c>
      <c r="M3" s="2452" t="s">
        <v>451</v>
      </c>
    </row>
    <row r="4" spans="1:13" ht="42.75">
      <c r="A4" s="2452" t="s">
        <v>452</v>
      </c>
      <c r="B4" s="2452" t="s">
        <v>453</v>
      </c>
      <c r="C4" s="2452" t="s">
        <v>454</v>
      </c>
      <c r="D4" s="2451">
        <v>3807.94</v>
      </c>
      <c r="E4" s="2451">
        <v>20666.91</v>
      </c>
      <c r="F4" s="2451">
        <v>19673</v>
      </c>
      <c r="G4" s="2451">
        <v>0</v>
      </c>
      <c r="H4" s="2451">
        <v>19673</v>
      </c>
      <c r="I4" s="2451">
        <v>0</v>
      </c>
      <c r="J4" s="2451">
        <v>993.91</v>
      </c>
      <c r="K4" s="2451">
        <v>0</v>
      </c>
      <c r="L4" s="2451">
        <v>0</v>
      </c>
      <c r="M4" s="2451">
        <v>993.91</v>
      </c>
    </row>
    <row r="5" spans="1:13" ht="42.75">
      <c r="A5" s="2452" t="s">
        <v>452</v>
      </c>
      <c r="B5" s="2452" t="s">
        <v>455</v>
      </c>
      <c r="C5" s="2452" t="s">
        <v>456</v>
      </c>
      <c r="D5" s="2451">
        <v>3667.86</v>
      </c>
      <c r="E5" s="2451">
        <v>19906.61</v>
      </c>
      <c r="F5" s="2451">
        <v>18792.87</v>
      </c>
      <c r="G5" s="2451">
        <v>18792.87</v>
      </c>
      <c r="H5" s="2451">
        <v>0</v>
      </c>
      <c r="I5" s="2451">
        <v>0</v>
      </c>
      <c r="J5" s="2451">
        <v>1113.74</v>
      </c>
      <c r="K5" s="2451">
        <v>55.59</v>
      </c>
      <c r="L5" s="2451">
        <v>0</v>
      </c>
      <c r="M5" s="2451">
        <v>1058.1500000000001</v>
      </c>
    </row>
    <row r="6" spans="1:13" ht="42.75">
      <c r="A6" s="2452" t="s">
        <v>452</v>
      </c>
      <c r="B6" s="2452" t="s">
        <v>455</v>
      </c>
      <c r="C6" s="2452" t="s">
        <v>457</v>
      </c>
      <c r="D6" s="2451">
        <v>2067.52</v>
      </c>
      <c r="E6" s="2451">
        <v>11221.06</v>
      </c>
      <c r="F6" s="2451">
        <v>9934.1299999999992</v>
      </c>
      <c r="G6" s="2451">
        <v>9934.1299999999992</v>
      </c>
      <c r="H6" s="2451">
        <v>0</v>
      </c>
      <c r="I6" s="2451">
        <v>0</v>
      </c>
      <c r="J6" s="2451">
        <v>1286.93</v>
      </c>
      <c r="K6" s="2451">
        <v>0</v>
      </c>
      <c r="L6" s="2451">
        <v>0</v>
      </c>
      <c r="M6" s="2451">
        <v>1286.93</v>
      </c>
    </row>
    <row r="7" spans="1:13" ht="42.75">
      <c r="A7" s="2452" t="s">
        <v>452</v>
      </c>
      <c r="B7" s="2452" t="s">
        <v>455</v>
      </c>
      <c r="C7" s="2452" t="s">
        <v>458</v>
      </c>
      <c r="D7" s="2451">
        <v>8.18</v>
      </c>
      <c r="E7" s="2451">
        <v>44.41</v>
      </c>
      <c r="F7" s="2451">
        <v>0</v>
      </c>
      <c r="G7" s="2451">
        <v>0</v>
      </c>
      <c r="H7" s="2451">
        <v>0</v>
      </c>
      <c r="I7" s="2451">
        <v>0</v>
      </c>
      <c r="J7" s="2451">
        <v>44.41</v>
      </c>
      <c r="K7" s="2451">
        <v>44.41</v>
      </c>
      <c r="L7" s="2451">
        <v>0</v>
      </c>
      <c r="M7" s="2451">
        <v>0</v>
      </c>
    </row>
    <row r="8" spans="1:13" ht="42.75">
      <c r="A8" s="2452" t="s">
        <v>452</v>
      </c>
      <c r="B8" s="2452" t="s">
        <v>455</v>
      </c>
      <c r="C8" s="2452" t="s">
        <v>448</v>
      </c>
      <c r="D8" s="2451">
        <v>2455.5300000000002</v>
      </c>
      <c r="E8" s="2451">
        <v>13326.96</v>
      </c>
      <c r="F8" s="2451">
        <v>9231.0499999999993</v>
      </c>
      <c r="G8" s="2451">
        <v>0</v>
      </c>
      <c r="H8" s="2451">
        <v>0</v>
      </c>
      <c r="I8" s="2451">
        <v>9231.0499999999993</v>
      </c>
      <c r="J8" s="2451">
        <v>4095.91</v>
      </c>
      <c r="K8" s="2451">
        <v>0</v>
      </c>
      <c r="L8" s="2451">
        <v>3320.79</v>
      </c>
      <c r="M8" s="2451">
        <v>775.12</v>
      </c>
    </row>
    <row r="9" spans="1:13" ht="27" customHeight="1">
      <c r="A9" s="2833" t="s">
        <v>459</v>
      </c>
      <c r="B9" s="2833"/>
      <c r="C9" s="2833"/>
      <c r="D9" s="2451">
        <v>12007.03</v>
      </c>
      <c r="E9" s="2451">
        <v>65165.95</v>
      </c>
      <c r="F9" s="2451">
        <v>57631.05</v>
      </c>
      <c r="G9" s="2451">
        <v>28727</v>
      </c>
      <c r="H9" s="2451">
        <v>19673</v>
      </c>
      <c r="I9" s="2451">
        <v>9231.0499999999993</v>
      </c>
      <c r="J9" s="2451">
        <v>7534.9</v>
      </c>
      <c r="K9" s="2451">
        <v>100</v>
      </c>
      <c r="L9" s="2451">
        <v>3320.79</v>
      </c>
      <c r="M9" s="2451">
        <v>4114.1099999999997</v>
      </c>
    </row>
  </sheetData>
  <mergeCells count="9">
    <mergeCell ref="E1:M1"/>
    <mergeCell ref="F2:I2"/>
    <mergeCell ref="J2:M2"/>
    <mergeCell ref="A9:C9"/>
    <mergeCell ref="A1:A3"/>
    <mergeCell ref="B1:B3"/>
    <mergeCell ref="C1:C3"/>
    <mergeCell ref="D1:D3"/>
    <mergeCell ref="E2:E3"/>
  </mergeCells>
  <phoneticPr fontId="20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J18" sqref="J18"/>
    </sheetView>
  </sheetViews>
  <sheetFormatPr defaultColWidth="13.75" defaultRowHeight="12.75"/>
  <cols>
    <col min="1" max="1" width="20.875" style="2334" customWidth="1"/>
    <col min="2" max="2" width="16.75" style="2335" customWidth="1"/>
    <col min="3" max="3" width="10.75" style="2335" customWidth="1"/>
    <col min="4" max="4" width="31.625" style="2336" customWidth="1"/>
    <col min="5" max="5" width="17.625" style="2336" customWidth="1"/>
    <col min="6" max="8" width="9.125" style="2337" customWidth="1"/>
    <col min="9" max="9" width="15" style="1644" customWidth="1"/>
    <col min="10" max="14" width="8.875" style="1644" customWidth="1"/>
    <col min="15" max="16" width="12.375" style="1357" customWidth="1"/>
    <col min="17" max="17" width="8.625" style="1644" customWidth="1"/>
    <col min="18" max="18" width="12.5" style="1644" customWidth="1"/>
    <col min="19" max="19" width="8.5" style="1644" customWidth="1"/>
    <col min="20" max="21" width="10.875" style="1644" customWidth="1"/>
    <col min="22" max="23" width="12.5" style="1644" customWidth="1"/>
    <col min="24" max="24" width="12.125" style="1644" customWidth="1"/>
    <col min="25" max="25" width="7.5" style="1644" customWidth="1"/>
    <col min="26" max="26" width="6.375" style="1644" customWidth="1"/>
    <col min="27" max="30" width="6.75" style="1644" customWidth="1"/>
    <col min="31" max="32" width="6.75" style="2335" customWidth="1"/>
    <col min="33" max="33" width="6.5" style="2335" customWidth="1"/>
    <col min="34" max="36" width="7.25" style="2335" customWidth="1"/>
    <col min="37" max="41" width="8" style="2335" customWidth="1"/>
    <col min="42" max="16384" width="13.75" style="2335"/>
  </cols>
  <sheetData>
    <row r="1" spans="1:41" ht="18.75">
      <c r="A1" s="2338" t="s">
        <v>460</v>
      </c>
      <c r="B1" s="1644"/>
      <c r="C1" s="1644"/>
      <c r="D1" s="2337"/>
      <c r="E1" s="2337"/>
      <c r="AE1" s="1644"/>
      <c r="AF1" s="1644"/>
      <c r="AG1" s="1644"/>
      <c r="AH1" s="1644"/>
      <c r="AI1" s="1644"/>
      <c r="AJ1" s="1644"/>
      <c r="AK1" s="1644"/>
      <c r="AL1" s="1644"/>
      <c r="AM1" s="1644"/>
      <c r="AN1" s="1644"/>
      <c r="AO1" s="1644"/>
    </row>
    <row r="2" spans="1:41" s="2331" customFormat="1" ht="15">
      <c r="A2" s="2339" t="s">
        <v>461</v>
      </c>
      <c r="B2" s="2340">
        <f>项目基本情况!D2</f>
        <v>43646</v>
      </c>
      <c r="C2" s="2341"/>
      <c r="D2" s="2835" t="s">
        <v>462</v>
      </c>
      <c r="E2" s="2342"/>
      <c r="F2" s="2343"/>
      <c r="G2" s="2343"/>
      <c r="H2" s="2343"/>
      <c r="I2" s="2341"/>
      <c r="J2" s="2341"/>
      <c r="K2" s="2341"/>
      <c r="L2" s="2341"/>
      <c r="M2" s="2341"/>
      <c r="N2" s="2341"/>
      <c r="O2" s="2366"/>
      <c r="P2" s="2366"/>
      <c r="Q2" s="2341"/>
      <c r="R2" s="2341"/>
      <c r="S2" s="2341"/>
      <c r="T2" s="2341"/>
      <c r="U2" s="2341"/>
      <c r="V2" s="2341"/>
      <c r="W2" s="2341"/>
      <c r="X2" s="2341"/>
      <c r="Y2" s="2341"/>
      <c r="Z2" s="2341"/>
      <c r="AA2" s="2341"/>
      <c r="AB2" s="2341"/>
      <c r="AC2" s="2341"/>
      <c r="AD2" s="2341"/>
      <c r="AE2" s="2341"/>
      <c r="AF2" s="2341"/>
      <c r="AG2" s="2341"/>
      <c r="AH2" s="2341"/>
      <c r="AI2" s="2341"/>
      <c r="AJ2" s="2341"/>
      <c r="AK2" s="2341"/>
      <c r="AL2" s="2341"/>
      <c r="AM2" s="2341"/>
      <c r="AN2" s="2341"/>
      <c r="AO2" s="2341"/>
    </row>
    <row r="3" spans="1:41" s="2331" customFormat="1" ht="15" customHeight="1">
      <c r="A3" s="728" t="s">
        <v>463</v>
      </c>
      <c r="B3" s="2344" t="s">
        <v>464</v>
      </c>
      <c r="C3" s="2341"/>
      <c r="D3" s="2836"/>
      <c r="E3" s="2345" t="s">
        <v>373</v>
      </c>
      <c r="F3" s="2343"/>
      <c r="G3" s="2343"/>
      <c r="H3" s="2343"/>
      <c r="I3" s="2341"/>
      <c r="J3" s="2341"/>
      <c r="K3" s="2341"/>
      <c r="L3" s="2341"/>
      <c r="M3" s="2341"/>
      <c r="N3" s="2341"/>
      <c r="O3" s="2366"/>
      <c r="P3" s="2366"/>
      <c r="Q3" s="2341"/>
      <c r="R3" s="2341"/>
      <c r="S3" s="2341"/>
      <c r="T3" s="2341"/>
      <c r="U3" s="2341"/>
      <c r="V3" s="2341"/>
      <c r="W3" s="2341"/>
      <c r="X3" s="2341"/>
      <c r="Y3" s="2341"/>
      <c r="Z3" s="2341"/>
      <c r="AA3" s="2341"/>
      <c r="AB3" s="2341"/>
      <c r="AC3" s="2341"/>
      <c r="AD3" s="2341"/>
      <c r="AE3" s="2341"/>
      <c r="AF3" s="2341"/>
      <c r="AG3" s="2341"/>
      <c r="AH3" s="2341"/>
      <c r="AI3" s="2341"/>
      <c r="AJ3" s="2341"/>
      <c r="AK3" s="2341"/>
      <c r="AL3" s="2341"/>
      <c r="AM3" s="2341"/>
      <c r="AN3" s="2341"/>
      <c r="AO3" s="2341"/>
    </row>
    <row r="4" spans="1:41" s="2331" customFormat="1" ht="14.25">
      <c r="A4" s="1184" t="s">
        <v>465</v>
      </c>
      <c r="B4" s="2344" t="s">
        <v>98</v>
      </c>
      <c r="C4" s="2341"/>
      <c r="D4" s="2836"/>
      <c r="E4" s="2345"/>
      <c r="F4" s="2343"/>
      <c r="G4" s="2343"/>
      <c r="H4" s="2343"/>
      <c r="I4" s="2341"/>
      <c r="J4" s="2341"/>
      <c r="K4" s="2341"/>
      <c r="L4" s="2341"/>
      <c r="M4" s="2341"/>
      <c r="N4" s="2341"/>
      <c r="O4" s="2366"/>
      <c r="P4" s="2366"/>
      <c r="Q4" s="2341"/>
      <c r="R4" s="2341"/>
      <c r="S4" s="2341"/>
      <c r="T4" s="2341"/>
      <c r="U4" s="2341"/>
      <c r="V4" s="2341"/>
      <c r="W4" s="2341"/>
      <c r="X4" s="2341"/>
      <c r="Y4" s="2341"/>
      <c r="Z4" s="2341"/>
      <c r="AA4" s="2341"/>
      <c r="AB4" s="2341"/>
      <c r="AC4" s="2341"/>
      <c r="AD4" s="2341"/>
      <c r="AE4" s="2341"/>
      <c r="AF4" s="2341"/>
      <c r="AG4" s="2341"/>
      <c r="AH4" s="2341"/>
      <c r="AI4" s="2341"/>
      <c r="AJ4" s="2341"/>
      <c r="AK4" s="2341"/>
      <c r="AL4" s="2341"/>
      <c r="AM4" s="2341"/>
      <c r="AN4" s="2341"/>
      <c r="AO4" s="2341"/>
    </row>
    <row r="5" spans="1:41" s="2331" customFormat="1" ht="15">
      <c r="A5" s="2346" t="s">
        <v>466</v>
      </c>
      <c r="B5" s="2347">
        <f>项目基本情况!C12</f>
        <v>1024.48</v>
      </c>
      <c r="C5" s="2341"/>
      <c r="D5" s="2348" t="s">
        <v>467</v>
      </c>
      <c r="E5" s="2349">
        <v>107.22</v>
      </c>
      <c r="F5" s="2343"/>
      <c r="G5" s="2343"/>
      <c r="H5" s="2343"/>
      <c r="I5" s="2341"/>
      <c r="J5" s="2341"/>
      <c r="K5" s="2341"/>
      <c r="L5" s="2341"/>
      <c r="M5" s="2341"/>
      <c r="N5" s="2341"/>
      <c r="O5" s="2366"/>
      <c r="P5" s="2366"/>
      <c r="Q5" s="2341"/>
      <c r="R5" s="2341"/>
      <c r="S5" s="2341"/>
      <c r="T5" s="2341"/>
      <c r="U5" s="2341"/>
      <c r="V5" s="2341"/>
      <c r="W5" s="2341"/>
      <c r="X5" s="2341"/>
      <c r="Y5" s="2341"/>
      <c r="Z5" s="2341"/>
      <c r="AA5" s="2341"/>
      <c r="AB5" s="2341"/>
      <c r="AC5" s="2341"/>
      <c r="AD5" s="2341"/>
      <c r="AE5" s="2341"/>
      <c r="AF5" s="2341"/>
      <c r="AG5" s="2341"/>
      <c r="AH5" s="2341"/>
      <c r="AI5" s="2341"/>
      <c r="AJ5" s="2341"/>
      <c r="AK5" s="2341"/>
      <c r="AL5" s="2341"/>
      <c r="AM5" s="2341"/>
      <c r="AN5" s="2341"/>
      <c r="AO5" s="2341"/>
    </row>
    <row r="6" spans="1:41" s="2331" customFormat="1" ht="15">
      <c r="A6" s="2350" t="s">
        <v>468</v>
      </c>
      <c r="B6" s="2351">
        <f>项目基本情况!C13</f>
        <v>105.21</v>
      </c>
      <c r="C6" s="2341"/>
      <c r="D6" s="2348" t="s">
        <v>469</v>
      </c>
      <c r="E6" s="2349">
        <v>11.01</v>
      </c>
      <c r="F6" s="2343"/>
      <c r="G6" s="2343"/>
      <c r="H6" s="2343"/>
      <c r="I6" s="2341"/>
      <c r="J6" s="2341"/>
      <c r="K6" s="2341"/>
      <c r="L6" s="2341"/>
      <c r="M6" s="2341"/>
      <c r="N6" s="2341"/>
      <c r="O6" s="2366"/>
      <c r="P6" s="2366"/>
      <c r="Q6" s="2341"/>
      <c r="R6" s="2341"/>
      <c r="S6" s="2341"/>
      <c r="T6" s="2341"/>
      <c r="U6" s="2341"/>
      <c r="V6" s="2341"/>
      <c r="W6" s="2341"/>
      <c r="X6" s="2341"/>
      <c r="Y6" s="2341"/>
      <c r="Z6" s="2341"/>
      <c r="AA6" s="2341"/>
      <c r="AB6" s="2341"/>
      <c r="AC6" s="2341"/>
      <c r="AD6" s="2341"/>
      <c r="AE6" s="2341"/>
      <c r="AF6" s="2341"/>
      <c r="AG6" s="2341"/>
      <c r="AH6" s="2341"/>
      <c r="AI6" s="2341"/>
      <c r="AJ6" s="2341"/>
      <c r="AK6" s="2341"/>
      <c r="AL6" s="2341"/>
      <c r="AM6" s="2341"/>
      <c r="AN6" s="2341"/>
      <c r="AO6" s="2341"/>
    </row>
    <row r="7" spans="1:41" s="2331" customFormat="1" ht="15">
      <c r="A7" s="2352"/>
      <c r="B7" s="2341"/>
      <c r="C7" s="2341"/>
      <c r="D7" s="2353"/>
      <c r="E7" s="2353"/>
      <c r="F7" s="2343"/>
      <c r="G7" s="2343"/>
      <c r="H7" s="2343"/>
      <c r="I7" s="2341"/>
      <c r="J7" s="2341"/>
      <c r="K7" s="2341"/>
      <c r="L7" s="2341"/>
      <c r="M7" s="2341"/>
      <c r="N7" s="2341"/>
      <c r="O7" s="2366"/>
      <c r="P7" s="2366"/>
      <c r="Q7" s="2341"/>
      <c r="R7" s="2341"/>
      <c r="S7" s="2341"/>
      <c r="T7" s="2341"/>
      <c r="U7" s="2341"/>
      <c r="V7" s="2341"/>
      <c r="W7" s="2341"/>
      <c r="X7" s="2341"/>
      <c r="Y7" s="2341"/>
      <c r="Z7" s="2341"/>
      <c r="AA7" s="2341"/>
      <c r="AB7" s="2341"/>
      <c r="AC7" s="2341"/>
      <c r="AD7" s="2341"/>
      <c r="AE7" s="2341"/>
      <c r="AF7" s="2341"/>
      <c r="AG7" s="2341"/>
      <c r="AH7" s="2341"/>
      <c r="AI7" s="2341"/>
      <c r="AJ7" s="2341"/>
      <c r="AK7" s="2341"/>
      <c r="AL7" s="2341"/>
      <c r="AM7" s="2341"/>
      <c r="AN7" s="2341"/>
      <c r="AO7" s="2341"/>
    </row>
    <row r="8" spans="1:41" s="2331" customFormat="1" ht="15">
      <c r="A8" s="2352"/>
      <c r="B8" s="2341"/>
      <c r="C8" s="2341"/>
      <c r="D8" s="2353"/>
      <c r="E8" s="2353"/>
      <c r="F8" s="2343"/>
      <c r="G8" s="2343"/>
      <c r="H8" s="2343"/>
      <c r="I8" s="2341"/>
      <c r="J8" s="2341"/>
      <c r="K8" s="2341"/>
      <c r="L8" s="2341"/>
      <c r="M8" s="2341"/>
      <c r="N8" s="2341"/>
      <c r="O8" s="2366"/>
      <c r="P8" s="2366"/>
      <c r="Q8" s="2341"/>
      <c r="R8" s="2341"/>
      <c r="S8" s="2341"/>
      <c r="T8" s="2341"/>
      <c r="U8" s="2341"/>
      <c r="V8" s="2341"/>
      <c r="W8" s="2341"/>
      <c r="X8" s="2341"/>
      <c r="Y8" s="2341"/>
      <c r="Z8" s="2341"/>
      <c r="AA8" s="2341"/>
      <c r="AB8" s="2341"/>
      <c r="AC8" s="2341"/>
      <c r="AD8" s="2341"/>
      <c r="AE8" s="2341"/>
      <c r="AF8" s="2341"/>
      <c r="AG8" s="2341"/>
      <c r="AH8" s="2341"/>
      <c r="AI8" s="2341"/>
      <c r="AJ8" s="2341"/>
      <c r="AK8" s="2341"/>
      <c r="AL8" s="2341"/>
      <c r="AM8" s="2341"/>
      <c r="AN8" s="2341"/>
      <c r="AO8" s="2341"/>
    </row>
    <row r="9" spans="1:41" s="2331" customFormat="1" ht="14.25">
      <c r="A9" s="2341"/>
      <c r="B9" s="2341"/>
      <c r="C9" s="2341"/>
      <c r="D9" s="2343"/>
      <c r="E9" s="2343"/>
      <c r="F9" s="2343"/>
      <c r="G9" s="2343"/>
      <c r="H9" s="2343"/>
      <c r="I9" s="2341"/>
      <c r="J9" s="2341"/>
      <c r="K9" s="2341"/>
      <c r="L9" s="2341"/>
      <c r="M9" s="2341"/>
      <c r="N9" s="2341"/>
      <c r="O9" s="2341"/>
      <c r="P9" s="2341"/>
      <c r="Q9" s="2341"/>
      <c r="R9" s="2341"/>
      <c r="S9" s="2341"/>
      <c r="T9" s="2341"/>
      <c r="U9" s="2341"/>
      <c r="V9" s="2341"/>
      <c r="W9" s="2341"/>
      <c r="X9" s="2341"/>
      <c r="Y9" s="2341"/>
      <c r="Z9" s="2341"/>
      <c r="AA9" s="2341"/>
      <c r="AB9" s="2341"/>
      <c r="AC9" s="2341"/>
      <c r="AD9" s="2341"/>
      <c r="AE9" s="2341"/>
      <c r="AF9" s="2341"/>
      <c r="AG9" s="2341"/>
      <c r="AH9" s="2341"/>
      <c r="AI9" s="2341"/>
      <c r="AJ9" s="2341"/>
      <c r="AK9" s="2341"/>
      <c r="AL9" s="2341"/>
      <c r="AM9" s="2341"/>
      <c r="AN9" s="2341"/>
      <c r="AO9" s="2341"/>
    </row>
    <row r="10" spans="1:41" s="2331" customFormat="1" ht="14.25">
      <c r="A10" s="2354" t="s">
        <v>204</v>
      </c>
      <c r="B10" s="2355" t="s">
        <v>470</v>
      </c>
      <c r="C10" s="2341"/>
      <c r="D10" s="2339" t="s">
        <v>471</v>
      </c>
      <c r="E10" s="2356" t="s">
        <v>472</v>
      </c>
      <c r="F10" s="2238" t="s">
        <v>473</v>
      </c>
      <c r="G10" s="2341"/>
      <c r="H10" s="2341"/>
      <c r="I10" s="2341"/>
      <c r="J10" s="2341"/>
      <c r="K10" s="2341"/>
      <c r="L10" s="2341"/>
      <c r="M10" s="2341"/>
      <c r="N10" s="2341"/>
      <c r="O10" s="2341"/>
      <c r="P10" s="2341"/>
      <c r="Q10" s="2341"/>
      <c r="R10" s="2341"/>
      <c r="S10" s="2341"/>
      <c r="T10" s="2341"/>
      <c r="U10" s="2341"/>
      <c r="V10" s="2341"/>
      <c r="W10" s="2341"/>
      <c r="X10" s="2341"/>
      <c r="Y10" s="2341"/>
      <c r="Z10" s="2341"/>
      <c r="AA10" s="2341"/>
      <c r="AB10" s="2341"/>
      <c r="AC10" s="2341"/>
      <c r="AD10" s="2341"/>
      <c r="AE10" s="2341"/>
      <c r="AF10" s="2341"/>
      <c r="AG10" s="2341"/>
      <c r="AH10" s="2341"/>
      <c r="AI10" s="2341"/>
      <c r="AJ10" s="2341"/>
      <c r="AK10" s="2341"/>
      <c r="AL10" s="2341"/>
      <c r="AM10" s="2341"/>
      <c r="AN10" s="2341"/>
      <c r="AO10" s="2341"/>
    </row>
    <row r="11" spans="1:41" s="2332" customFormat="1" ht="14.25">
      <c r="A11" s="2357" t="s">
        <v>474</v>
      </c>
      <c r="B11" s="2358">
        <v>50</v>
      </c>
      <c r="C11" s="2341"/>
      <c r="D11" s="2359" t="s">
        <v>475</v>
      </c>
      <c r="E11" s="2360"/>
      <c r="F11" s="2361" t="s">
        <v>476</v>
      </c>
      <c r="G11" s="2341"/>
      <c r="H11" s="2341"/>
      <c r="I11" s="2341"/>
      <c r="J11" s="2341"/>
      <c r="K11" s="2341"/>
      <c r="L11" s="2447"/>
      <c r="M11" s="2447"/>
      <c r="N11" s="2447"/>
      <c r="O11" s="2447"/>
      <c r="P11" s="2447"/>
      <c r="Q11" s="2447"/>
      <c r="R11" s="2341"/>
      <c r="S11" s="2341"/>
      <c r="T11" s="2341"/>
      <c r="U11" s="2341"/>
      <c r="V11" s="2341"/>
      <c r="W11" s="2341"/>
      <c r="X11" s="2341"/>
      <c r="Y11" s="2341"/>
      <c r="Z11" s="2341"/>
      <c r="AA11" s="2341"/>
      <c r="AB11" s="2341"/>
      <c r="AC11" s="2341"/>
      <c r="AD11" s="2341"/>
      <c r="AE11" s="2341"/>
      <c r="AF11" s="2341"/>
      <c r="AG11" s="2341"/>
      <c r="AH11" s="2341"/>
      <c r="AI11" s="2341"/>
      <c r="AJ11" s="2341"/>
      <c r="AK11" s="2341"/>
      <c r="AL11" s="2341"/>
      <c r="AM11" s="2341"/>
      <c r="AN11" s="2341"/>
      <c r="AO11" s="2341"/>
    </row>
    <row r="12" spans="1:41" s="2331" customFormat="1" ht="15">
      <c r="A12" s="2362" t="s">
        <v>477</v>
      </c>
      <c r="B12" s="2363">
        <v>52677</v>
      </c>
      <c r="C12" s="2341"/>
      <c r="D12" s="2364" t="s">
        <v>478</v>
      </c>
      <c r="E12" s="2365">
        <v>200</v>
      </c>
      <c r="F12" s="2366"/>
      <c r="G12" s="2341"/>
      <c r="H12" s="2341"/>
      <c r="I12" s="2341"/>
      <c r="J12" s="2341"/>
      <c r="K12" s="2341"/>
      <c r="L12" s="2341"/>
      <c r="M12" s="2341"/>
      <c r="N12" s="2341"/>
      <c r="O12" s="2341"/>
      <c r="P12" s="2341"/>
      <c r="Q12" s="2341"/>
      <c r="R12" s="2341"/>
      <c r="S12" s="2341"/>
      <c r="T12" s="2341"/>
      <c r="U12" s="2341"/>
      <c r="V12" s="2341"/>
      <c r="W12" s="2341"/>
      <c r="X12" s="2341"/>
      <c r="Y12" s="2341"/>
      <c r="Z12" s="2341"/>
      <c r="AA12" s="2341"/>
      <c r="AB12" s="2341"/>
      <c r="AC12" s="2341"/>
      <c r="AD12" s="2341"/>
      <c r="AE12" s="2341"/>
      <c r="AF12" s="2341"/>
      <c r="AG12" s="2341"/>
      <c r="AH12" s="2341"/>
      <c r="AI12" s="2341"/>
      <c r="AJ12" s="2341"/>
      <c r="AK12" s="2341"/>
      <c r="AL12" s="2341"/>
      <c r="AM12" s="2341"/>
      <c r="AN12" s="2341"/>
      <c r="AO12" s="2341"/>
    </row>
    <row r="13" spans="1:41" s="2331" customFormat="1" ht="14.25">
      <c r="A13" s="2367" t="s">
        <v>479</v>
      </c>
      <c r="B13" s="2368">
        <f>IF(B12="",B11-(YEAR($B$2)-B26+B23),ROUNDDOWN(MIN((B12-$B$2)/365,B11),2))</f>
        <v>24.74</v>
      </c>
      <c r="C13" s="2369"/>
      <c r="D13" s="2370" t="s">
        <v>480</v>
      </c>
      <c r="E13" s="2371"/>
      <c r="F13" s="893" t="s">
        <v>481</v>
      </c>
      <c r="G13" s="2341"/>
      <c r="H13" s="2341"/>
      <c r="I13" s="2341"/>
      <c r="J13" s="2341"/>
      <c r="K13" s="2341"/>
      <c r="L13" s="2341"/>
      <c r="M13" s="2341"/>
      <c r="N13" s="2341"/>
      <c r="O13" s="2341"/>
      <c r="P13" s="2341"/>
      <c r="Q13" s="2341"/>
      <c r="R13" s="2341"/>
      <c r="S13" s="2341"/>
      <c r="T13" s="2341"/>
      <c r="U13" s="2341"/>
      <c r="V13" s="2341"/>
      <c r="W13" s="2341"/>
      <c r="X13" s="2341"/>
      <c r="Y13" s="2341"/>
      <c r="Z13" s="2341"/>
      <c r="AA13" s="2341"/>
      <c r="AB13" s="2341"/>
      <c r="AC13" s="2341"/>
      <c r="AD13" s="2341"/>
      <c r="AE13" s="2341"/>
      <c r="AF13" s="2341"/>
      <c r="AG13" s="2341"/>
      <c r="AH13" s="2341"/>
      <c r="AI13" s="2341"/>
      <c r="AJ13" s="2341"/>
      <c r="AK13" s="2341"/>
      <c r="AL13" s="2341"/>
      <c r="AM13" s="2341"/>
      <c r="AN13" s="2341"/>
      <c r="AO13" s="2341"/>
    </row>
    <row r="14" spans="1:41" s="2331" customFormat="1" ht="14.25">
      <c r="A14" s="2362" t="s">
        <v>482</v>
      </c>
      <c r="B14" s="2372">
        <f>IF(ISERROR(ROUND(POWER(1+B15,B11-B13)*(POWER(1+B15,B13)-1)/(POWER(1+B15,B11)-1),3)),0,ROUND(POWER(1+B15,B11-B13)*(POWER(1+B15,B13)-1)/(POWER(1+B15,B11)-1),3))</f>
        <v>0.746</v>
      </c>
      <c r="C14" s="2341"/>
      <c r="D14" s="2373" t="s">
        <v>483</v>
      </c>
      <c r="E14" s="2374">
        <v>200</v>
      </c>
      <c r="F14" s="2366"/>
      <c r="G14" s="2341"/>
      <c r="H14" s="2341"/>
      <c r="I14" s="2341"/>
      <c r="J14" s="2341"/>
      <c r="K14" s="2341"/>
      <c r="L14" s="2341"/>
      <c r="M14" s="2341"/>
      <c r="N14" s="2341"/>
      <c r="O14" s="2341"/>
      <c r="P14" s="2341"/>
      <c r="Q14" s="2341"/>
      <c r="R14" s="2341"/>
      <c r="S14" s="2341"/>
      <c r="T14" s="2341"/>
      <c r="U14" s="2341"/>
      <c r="V14" s="2341"/>
      <c r="W14" s="2341"/>
      <c r="X14" s="2341"/>
      <c r="Y14" s="2341"/>
      <c r="Z14" s="2341"/>
      <c r="AA14" s="2341"/>
      <c r="AB14" s="2341"/>
      <c r="AC14" s="2341"/>
      <c r="AD14" s="2341"/>
      <c r="AE14" s="2341"/>
      <c r="AF14" s="2341"/>
      <c r="AG14" s="2341"/>
      <c r="AH14" s="2341"/>
      <c r="AI14" s="2341"/>
      <c r="AJ14" s="2341"/>
      <c r="AK14" s="2341"/>
      <c r="AL14" s="2341"/>
      <c r="AM14" s="2341"/>
      <c r="AN14" s="2341"/>
      <c r="AO14" s="2341"/>
    </row>
    <row r="15" spans="1:41" s="2331" customFormat="1" ht="14.25">
      <c r="A15" s="2362" t="s">
        <v>484</v>
      </c>
      <c r="B15" s="2375">
        <v>4.4999999999999998E-2</v>
      </c>
      <c r="C15" s="2341"/>
      <c r="D15" s="2364" t="s">
        <v>485</v>
      </c>
      <c r="E15" s="2376">
        <f>E14-E16</f>
        <v>200</v>
      </c>
      <c r="F15" s="2377"/>
      <c r="G15" s="2341"/>
      <c r="H15" s="2341"/>
      <c r="I15" s="2341"/>
      <c r="J15" s="2341"/>
      <c r="K15" s="2341"/>
      <c r="L15" s="2341"/>
      <c r="M15" s="2341"/>
      <c r="N15" s="2341"/>
      <c r="O15" s="2341"/>
      <c r="P15" s="2341"/>
      <c r="Q15" s="2341"/>
      <c r="R15" s="2341"/>
      <c r="S15" s="2341"/>
      <c r="T15" s="2341"/>
      <c r="U15" s="2341"/>
      <c r="V15" s="2341"/>
      <c r="W15" s="2341"/>
      <c r="X15" s="2341"/>
      <c r="Y15" s="2341"/>
      <c r="Z15" s="2341"/>
      <c r="AA15" s="2341"/>
      <c r="AB15" s="2341"/>
      <c r="AC15" s="2341"/>
      <c r="AD15" s="2341"/>
      <c r="AE15" s="2341"/>
      <c r="AF15" s="2341"/>
      <c r="AG15" s="2341"/>
      <c r="AH15" s="2341"/>
      <c r="AI15" s="2341"/>
      <c r="AJ15" s="2341"/>
      <c r="AK15" s="2341"/>
      <c r="AL15" s="2341"/>
      <c r="AM15" s="2341"/>
      <c r="AN15" s="2341"/>
      <c r="AO15" s="2341"/>
    </row>
    <row r="16" spans="1:41" s="2331" customFormat="1" ht="14.25">
      <c r="A16" s="2362" t="s">
        <v>486</v>
      </c>
      <c r="B16" s="2375">
        <v>0.05</v>
      </c>
      <c r="C16" s="2341"/>
      <c r="D16" s="2378" t="s">
        <v>487</v>
      </c>
      <c r="E16" s="2379"/>
      <c r="F16" s="2380"/>
      <c r="G16" s="2341"/>
      <c r="H16" s="2341"/>
      <c r="I16" s="2341"/>
      <c r="J16" s="2341"/>
      <c r="K16" s="2341"/>
      <c r="L16" s="2341"/>
      <c r="M16" s="2341"/>
      <c r="N16" s="2341"/>
      <c r="O16" s="2341"/>
      <c r="P16" s="2341"/>
      <c r="Q16" s="2341"/>
      <c r="R16" s="2341"/>
      <c r="S16" s="2341"/>
      <c r="T16" s="2341"/>
      <c r="U16" s="2341"/>
      <c r="V16" s="2341"/>
      <c r="W16" s="2341"/>
      <c r="X16" s="2341"/>
      <c r="Y16" s="2341"/>
      <c r="Z16" s="2341"/>
      <c r="AA16" s="2341"/>
      <c r="AB16" s="2341"/>
      <c r="AC16" s="2341"/>
      <c r="AD16" s="2341"/>
      <c r="AE16" s="2341"/>
      <c r="AF16" s="2341"/>
      <c r="AG16" s="2341"/>
      <c r="AH16" s="2341"/>
      <c r="AI16" s="2341"/>
      <c r="AJ16" s="2341"/>
      <c r="AK16" s="2341"/>
      <c r="AL16" s="2341"/>
      <c r="AM16" s="2341"/>
      <c r="AN16" s="2341"/>
      <c r="AO16" s="2341"/>
    </row>
    <row r="17" spans="1:41" s="2331" customFormat="1" ht="14.25">
      <c r="A17" s="2381" t="s">
        <v>488</v>
      </c>
      <c r="B17" s="2382">
        <v>8.5000000000000006E-2</v>
      </c>
      <c r="C17" s="2341"/>
      <c r="D17" s="2354" t="s">
        <v>489</v>
      </c>
      <c r="E17" s="2383">
        <v>3500</v>
      </c>
      <c r="F17" s="1644"/>
      <c r="G17" s="2341"/>
      <c r="H17" s="2341"/>
      <c r="I17" s="2341"/>
      <c r="J17" s="2341"/>
      <c r="K17" s="2341"/>
      <c r="L17" s="2341"/>
      <c r="M17" s="2341"/>
      <c r="N17" s="2341"/>
      <c r="O17" s="2341"/>
      <c r="P17" s="2341"/>
      <c r="Q17" s="2341"/>
      <c r="R17" s="2341"/>
      <c r="S17" s="2341"/>
      <c r="T17" s="2341"/>
      <c r="U17" s="2341"/>
      <c r="V17" s="2341"/>
      <c r="W17" s="2341"/>
      <c r="X17" s="2341"/>
      <c r="Y17" s="2341"/>
      <c r="Z17" s="2341"/>
      <c r="AA17" s="2341"/>
      <c r="AB17" s="2341"/>
      <c r="AC17" s="2341"/>
      <c r="AD17" s="2341"/>
      <c r="AE17" s="2341"/>
      <c r="AF17" s="2341"/>
      <c r="AG17" s="2341"/>
      <c r="AH17" s="2341"/>
      <c r="AI17" s="2341"/>
      <c r="AJ17" s="2341"/>
      <c r="AK17" s="2341"/>
      <c r="AL17" s="2341"/>
      <c r="AM17" s="2341"/>
      <c r="AN17" s="2341"/>
      <c r="AO17" s="2341"/>
    </row>
    <row r="18" spans="1:41" s="2331" customFormat="1" ht="14.25">
      <c r="A18" s="2341"/>
      <c r="B18" s="2341"/>
      <c r="C18" s="2341"/>
      <c r="D18" s="2384" t="str">
        <f>IF(B25=0,"建安总额","在建建安")</f>
        <v>建安总额</v>
      </c>
      <c r="E18" s="2385">
        <f>ROUND(B5*E17*IF(B25=0,1,E20),0)</f>
        <v>3585680</v>
      </c>
      <c r="F18" s="2386">
        <f>ROUND(E5*E17*IF(B25=0,1,E20),0)</f>
        <v>375270</v>
      </c>
      <c r="G18" s="2341"/>
      <c r="H18" s="2341"/>
      <c r="I18" s="2341"/>
      <c r="J18" s="2341"/>
      <c r="K18" s="2341"/>
      <c r="L18" s="2341"/>
      <c r="M18" s="2341"/>
      <c r="N18" s="2341"/>
      <c r="O18" s="2341"/>
      <c r="P18" s="2341"/>
      <c r="Q18" s="2341"/>
      <c r="R18" s="2341"/>
      <c r="S18" s="2341"/>
      <c r="T18" s="2341"/>
      <c r="U18" s="2341"/>
      <c r="V18" s="2341"/>
      <c r="W18" s="2341"/>
      <c r="X18" s="2341"/>
      <c r="Y18" s="2341"/>
      <c r="Z18" s="2341"/>
      <c r="AA18" s="2341"/>
      <c r="AB18" s="2341"/>
      <c r="AC18" s="2341"/>
      <c r="AD18" s="2341"/>
      <c r="AE18" s="2341"/>
      <c r="AF18" s="2341"/>
      <c r="AG18" s="2341"/>
      <c r="AH18" s="2341"/>
      <c r="AI18" s="2341"/>
      <c r="AJ18" s="2341"/>
      <c r="AK18" s="2341"/>
      <c r="AL18" s="2341"/>
      <c r="AM18" s="2341"/>
      <c r="AN18" s="2341"/>
      <c r="AO18" s="2341"/>
    </row>
    <row r="19" spans="1:41" s="2331" customFormat="1" ht="14.25">
      <c r="A19" s="1161" t="s">
        <v>490</v>
      </c>
      <c r="B19" s="2341"/>
      <c r="C19" s="2341"/>
      <c r="D19" s="2384" t="str">
        <f>IF(B25=0,"——","续建建安")</f>
        <v>——</v>
      </c>
      <c r="E19" s="2385" t="str">
        <f>IF(B25=0,"——",ROUND(B5*E17*(1-E20),0))</f>
        <v>——</v>
      </c>
      <c r="F19" s="2386" t="str">
        <f>IF(B25=0,"——",ROUND(E5*E17*(1-E20),0))</f>
        <v>——</v>
      </c>
      <c r="G19" s="2341"/>
      <c r="H19" s="2341"/>
      <c r="I19" s="2341"/>
      <c r="J19" s="2341"/>
      <c r="K19" s="2341"/>
      <c r="L19" s="2341"/>
      <c r="M19" s="2341"/>
      <c r="N19" s="2341"/>
      <c r="O19" s="2341"/>
      <c r="P19" s="2341"/>
      <c r="Q19" s="2341"/>
      <c r="R19" s="2341"/>
      <c r="S19" s="2341"/>
      <c r="T19" s="2341"/>
      <c r="U19" s="2341"/>
      <c r="V19" s="2341"/>
      <c r="W19" s="2341"/>
      <c r="X19" s="2341"/>
      <c r="Y19" s="2341"/>
      <c r="Z19" s="2341"/>
      <c r="AA19" s="2341"/>
      <c r="AB19" s="2341"/>
      <c r="AC19" s="2341"/>
      <c r="AD19" s="2341"/>
      <c r="AE19" s="2341"/>
      <c r="AF19" s="2341"/>
      <c r="AG19" s="2341"/>
      <c r="AH19" s="2341"/>
      <c r="AI19" s="2341"/>
      <c r="AJ19" s="2341"/>
      <c r="AK19" s="2341"/>
      <c r="AL19" s="2341"/>
      <c r="AM19" s="2341"/>
      <c r="AN19" s="2341"/>
      <c r="AO19" s="2341"/>
    </row>
    <row r="20" spans="1:41" s="2331" customFormat="1" ht="14.25">
      <c r="A20" s="2387" t="s">
        <v>491</v>
      </c>
      <c r="B20" s="2388"/>
      <c r="C20" s="2341"/>
      <c r="D20" s="2389" t="str">
        <f>IF(B25=0,"成新率","工程进度")</f>
        <v>成新率</v>
      </c>
      <c r="E20" s="2390">
        <f>ROUND(H20*0.2+I20*0.8,2)</f>
        <v>0.84</v>
      </c>
      <c r="F20" s="1644"/>
      <c r="G20" s="2341"/>
      <c r="H20" s="2341">
        <f>ROUND(1-(2019-1994)/60,2)</f>
        <v>0.57999999999999996</v>
      </c>
      <c r="I20" s="2341">
        <v>0.9</v>
      </c>
      <c r="J20" s="2341"/>
      <c r="K20" s="2341"/>
      <c r="L20" s="2341"/>
      <c r="M20" s="2341"/>
      <c r="N20" s="2341"/>
      <c r="O20" s="2341"/>
      <c r="P20" s="2341"/>
      <c r="Q20" s="2341"/>
      <c r="R20" s="2341"/>
      <c r="S20" s="2341"/>
      <c r="T20" s="2341"/>
      <c r="U20" s="2341"/>
      <c r="V20" s="2341"/>
      <c r="W20" s="2341"/>
      <c r="X20" s="2341"/>
      <c r="Y20" s="2341"/>
      <c r="Z20" s="2341"/>
      <c r="AA20" s="2341"/>
      <c r="AB20" s="2341"/>
      <c r="AC20" s="2341"/>
      <c r="AD20" s="2341"/>
      <c r="AE20" s="2341"/>
      <c r="AF20" s="2341"/>
      <c r="AG20" s="2341"/>
      <c r="AH20" s="2341"/>
      <c r="AI20" s="2341"/>
      <c r="AJ20" s="2341"/>
      <c r="AK20" s="2341"/>
      <c r="AL20" s="2341"/>
      <c r="AM20" s="2341"/>
      <c r="AN20" s="2341"/>
      <c r="AO20" s="2341"/>
    </row>
    <row r="21" spans="1:41" s="2331" customFormat="1" ht="14.25">
      <c r="A21" s="2391" t="s">
        <v>492</v>
      </c>
      <c r="B21" s="2392">
        <v>2</v>
      </c>
      <c r="C21" s="2341"/>
      <c r="D21" s="2364" t="s">
        <v>493</v>
      </c>
      <c r="E21" s="2393">
        <v>0.03</v>
      </c>
      <c r="F21" s="2394" t="s">
        <v>494</v>
      </c>
      <c r="G21" s="2341"/>
      <c r="H21" s="2341"/>
      <c r="I21" s="2341"/>
      <c r="J21" s="2341"/>
      <c r="K21" s="2341"/>
      <c r="L21" s="2341"/>
      <c r="M21" s="2341"/>
      <c r="N21" s="2341"/>
      <c r="O21" s="2341"/>
      <c r="P21" s="2341"/>
      <c r="Q21" s="2341"/>
      <c r="R21" s="2341"/>
      <c r="S21" s="2341"/>
      <c r="T21" s="2341"/>
      <c r="U21" s="2341"/>
      <c r="V21" s="2341"/>
      <c r="W21" s="2341"/>
      <c r="X21" s="2341"/>
      <c r="Y21" s="2341"/>
      <c r="Z21" s="2341"/>
      <c r="AA21" s="2341"/>
      <c r="AB21" s="2341"/>
      <c r="AC21" s="2341"/>
      <c r="AD21" s="2341"/>
      <c r="AE21" s="2341"/>
      <c r="AF21" s="2341"/>
      <c r="AG21" s="2341"/>
      <c r="AH21" s="2341"/>
      <c r="AI21" s="2341"/>
      <c r="AJ21" s="2341"/>
      <c r="AK21" s="2341"/>
      <c r="AL21" s="2341"/>
      <c r="AM21" s="2341"/>
      <c r="AN21" s="2341"/>
      <c r="AO21" s="2341"/>
    </row>
    <row r="22" spans="1:41" s="2331" customFormat="1" ht="14.25">
      <c r="A22" s="2395" t="s">
        <v>495</v>
      </c>
      <c r="B22" s="2396">
        <v>2</v>
      </c>
      <c r="C22" s="2341"/>
      <c r="D22" s="2364" t="s">
        <v>496</v>
      </c>
      <c r="E22" s="2397">
        <v>0</v>
      </c>
      <c r="F22" s="2394" t="s">
        <v>497</v>
      </c>
      <c r="G22" s="2341"/>
      <c r="H22" s="2341"/>
      <c r="I22" s="2341"/>
      <c r="J22" s="2341"/>
      <c r="K22" s="2341"/>
      <c r="L22" s="2341"/>
      <c r="M22" s="2341"/>
      <c r="N22" s="2341"/>
      <c r="O22" s="2341"/>
      <c r="P22" s="2341"/>
      <c r="Q22" s="2341"/>
      <c r="R22" s="2341"/>
      <c r="S22" s="2341"/>
      <c r="T22" s="2341"/>
      <c r="U22" s="2341"/>
      <c r="V22" s="2341"/>
      <c r="W22" s="2341"/>
      <c r="X22" s="2341"/>
      <c r="Y22" s="2341"/>
      <c r="Z22" s="2341"/>
      <c r="AA22" s="2341"/>
      <c r="AB22" s="2341"/>
      <c r="AC22" s="2341"/>
      <c r="AD22" s="2341"/>
      <c r="AE22" s="2341"/>
      <c r="AF22" s="2341"/>
      <c r="AG22" s="2341"/>
      <c r="AH22" s="2341"/>
      <c r="AI22" s="2341"/>
      <c r="AJ22" s="2341"/>
      <c r="AK22" s="2341"/>
      <c r="AL22" s="2341"/>
      <c r="AM22" s="2341"/>
      <c r="AN22" s="2341"/>
      <c r="AO22" s="2341"/>
    </row>
    <row r="23" spans="1:41" s="2331" customFormat="1" ht="14.25">
      <c r="A23" s="2398" t="s">
        <v>498</v>
      </c>
      <c r="B23" s="2399">
        <f>B20+B21</f>
        <v>2</v>
      </c>
      <c r="C23" s="2341"/>
      <c r="D23" s="2364" t="s">
        <v>499</v>
      </c>
      <c r="E23" s="2365">
        <v>200</v>
      </c>
      <c r="F23" s="2394" t="s">
        <v>500</v>
      </c>
      <c r="G23" s="2341"/>
      <c r="H23" s="2341"/>
      <c r="I23" s="2341"/>
      <c r="J23" s="2341"/>
      <c r="K23" s="2341"/>
      <c r="L23" s="2341"/>
      <c r="M23" s="2341"/>
      <c r="N23" s="2341"/>
      <c r="O23" s="2341"/>
      <c r="P23" s="2341"/>
      <c r="Q23" s="2341"/>
      <c r="R23" s="2341"/>
      <c r="S23" s="2341"/>
      <c r="T23" s="2341"/>
      <c r="U23" s="2341"/>
      <c r="V23" s="2341"/>
      <c r="W23" s="2341"/>
      <c r="X23" s="2341"/>
      <c r="Y23" s="2341"/>
      <c r="Z23" s="2341"/>
      <c r="AA23" s="2341"/>
      <c r="AB23" s="2341"/>
      <c r="AC23" s="2341"/>
      <c r="AD23" s="2341"/>
      <c r="AE23" s="2341"/>
      <c r="AF23" s="2341"/>
      <c r="AG23" s="2341"/>
      <c r="AH23" s="2341"/>
      <c r="AI23" s="2341"/>
      <c r="AJ23" s="2341"/>
      <c r="AK23" s="2341"/>
      <c r="AL23" s="2341"/>
      <c r="AM23" s="2341"/>
      <c r="AN23" s="2341"/>
      <c r="AO23" s="2341"/>
    </row>
    <row r="24" spans="1:41" s="2331" customFormat="1" ht="14.25">
      <c r="A24" s="2400" t="s">
        <v>501</v>
      </c>
      <c r="B24" s="2401">
        <f>B20+B22</f>
        <v>2</v>
      </c>
      <c r="C24" s="2341"/>
      <c r="D24" s="2378" t="s">
        <v>502</v>
      </c>
      <c r="E24" s="2402">
        <v>1.4999999999999999E-2</v>
      </c>
      <c r="F24" s="2394" t="s">
        <v>503</v>
      </c>
      <c r="G24" s="2341"/>
      <c r="H24" s="2341"/>
      <c r="I24" s="2341"/>
      <c r="J24" s="2341"/>
      <c r="K24" s="2341"/>
      <c r="L24" s="2341"/>
      <c r="M24" s="2341"/>
      <c r="N24" s="2341"/>
      <c r="O24" s="2341"/>
      <c r="P24" s="2341"/>
      <c r="Q24" s="2341"/>
      <c r="R24" s="2341"/>
      <c r="S24" s="2341"/>
      <c r="T24" s="2341"/>
      <c r="U24" s="2341"/>
      <c r="V24" s="2341"/>
      <c r="W24" s="2341"/>
      <c r="X24" s="2341"/>
      <c r="Y24" s="2341"/>
      <c r="Z24" s="2341"/>
      <c r="AA24" s="2341"/>
      <c r="AB24" s="2341"/>
      <c r="AC24" s="2341"/>
      <c r="AD24" s="2341"/>
      <c r="AE24" s="2341"/>
      <c r="AF24" s="2341"/>
      <c r="AG24" s="2341"/>
      <c r="AH24" s="2341"/>
      <c r="AI24" s="2341"/>
      <c r="AJ24" s="2341"/>
      <c r="AK24" s="2341"/>
      <c r="AL24" s="2341"/>
      <c r="AM24" s="2341"/>
      <c r="AN24" s="2341"/>
      <c r="AO24" s="2341"/>
    </row>
    <row r="25" spans="1:41" ht="14.25">
      <c r="A25" s="2398" t="s">
        <v>504</v>
      </c>
      <c r="B25" s="2403">
        <f>B21-B22</f>
        <v>0</v>
      </c>
      <c r="C25" s="1644"/>
      <c r="D25" s="2359" t="s">
        <v>505</v>
      </c>
      <c r="E25" s="2393">
        <v>0.01</v>
      </c>
      <c r="F25" s="2394" t="s">
        <v>506</v>
      </c>
      <c r="I25" s="2337"/>
      <c r="AE25" s="1644"/>
      <c r="AF25" s="1644"/>
      <c r="AG25" s="1644"/>
      <c r="AH25" s="1644"/>
      <c r="AI25" s="1644"/>
      <c r="AJ25" s="1644"/>
      <c r="AK25" s="1644"/>
      <c r="AL25" s="1644"/>
      <c r="AM25" s="1644"/>
      <c r="AN25" s="1644"/>
      <c r="AO25" s="1644"/>
    </row>
    <row r="26" spans="1:41" ht="15">
      <c r="A26" s="2404" t="s">
        <v>507</v>
      </c>
      <c r="B26" s="2405">
        <v>1994</v>
      </c>
      <c r="C26" s="2341"/>
      <c r="D26" s="2364" t="s">
        <v>508</v>
      </c>
      <c r="E26" s="2397">
        <v>0.01</v>
      </c>
      <c r="F26" s="2394" t="s">
        <v>506</v>
      </c>
      <c r="G26" s="2343"/>
      <c r="H26" s="2343"/>
      <c r="I26" s="2341"/>
      <c r="J26" s="2341"/>
      <c r="K26" s="2341"/>
      <c r="L26" s="2341"/>
      <c r="M26" s="2341"/>
      <c r="N26" s="2341"/>
      <c r="AE26" s="1644"/>
      <c r="AF26" s="1644"/>
      <c r="AG26" s="1644"/>
      <c r="AH26" s="1644"/>
      <c r="AI26" s="1644"/>
      <c r="AJ26" s="1644"/>
      <c r="AK26" s="1644"/>
      <c r="AL26" s="1644"/>
      <c r="AM26" s="1644"/>
      <c r="AN26" s="1644"/>
      <c r="AO26" s="1644"/>
    </row>
    <row r="27" spans="1:41" ht="14.25">
      <c r="A27" s="1644"/>
      <c r="B27" s="1644"/>
      <c r="C27" s="1644"/>
      <c r="D27" s="2364" t="s">
        <v>509</v>
      </c>
      <c r="E27" s="1615">
        <f ca="1">存贷款利率!G1</f>
        <v>4.7500000000000001E-2</v>
      </c>
      <c r="F27" s="2394" t="s">
        <v>510</v>
      </c>
      <c r="G27" s="2343"/>
      <c r="H27" s="2343"/>
      <c r="K27" s="2341"/>
      <c r="N27" s="2341"/>
      <c r="AE27" s="1644"/>
      <c r="AF27" s="1644"/>
      <c r="AG27" s="1644"/>
      <c r="AH27" s="1644"/>
      <c r="AI27" s="1644"/>
      <c r="AJ27" s="1644"/>
      <c r="AK27" s="1644"/>
      <c r="AL27" s="1644"/>
      <c r="AM27" s="1644"/>
      <c r="AN27" s="1644"/>
      <c r="AO27" s="1644"/>
    </row>
    <row r="28" spans="1:41" ht="14.25">
      <c r="A28" s="2406" t="s">
        <v>511</v>
      </c>
      <c r="B28" s="2407" t="s">
        <v>512</v>
      </c>
      <c r="C28" s="1644"/>
      <c r="D28" s="2408" t="s">
        <v>513</v>
      </c>
      <c r="E28" s="2409">
        <v>0.15</v>
      </c>
      <c r="G28" s="2343"/>
      <c r="H28" s="2343"/>
      <c r="K28" s="2341"/>
      <c r="N28" s="2341"/>
      <c r="AE28" s="1644"/>
      <c r="AF28" s="1644"/>
      <c r="AG28" s="1644"/>
      <c r="AH28" s="1644"/>
      <c r="AI28" s="1644"/>
      <c r="AJ28" s="1644"/>
      <c r="AK28" s="1644"/>
      <c r="AL28" s="1644"/>
      <c r="AM28" s="1644"/>
      <c r="AN28" s="1644"/>
      <c r="AO28" s="1644"/>
    </row>
    <row r="29" spans="1:41" ht="14.25">
      <c r="A29" s="2362" t="str">
        <f>IF(B28="租赁期内按合同租金","合同租金","市场租金")</f>
        <v>市场租金</v>
      </c>
      <c r="B29" s="2410">
        <v>8</v>
      </c>
      <c r="C29" s="1644"/>
      <c r="D29" s="2373" t="s">
        <v>514</v>
      </c>
      <c r="E29" s="2411">
        <f>E30+E31</f>
        <v>5.6000000000000001E-2</v>
      </c>
      <c r="F29" s="893"/>
      <c r="G29" s="2343"/>
      <c r="H29" s="2343"/>
      <c r="K29" s="2341"/>
      <c r="N29" s="2341"/>
      <c r="AE29" s="1644"/>
      <c r="AF29" s="1644"/>
      <c r="AG29" s="1644"/>
      <c r="AH29" s="1644"/>
      <c r="AI29" s="1644"/>
      <c r="AJ29" s="1644"/>
      <c r="AK29" s="1644"/>
      <c r="AL29" s="1644"/>
      <c r="AM29" s="1644"/>
      <c r="AN29" s="1644"/>
      <c r="AO29" s="1644"/>
    </row>
    <row r="30" spans="1:41" ht="14.25">
      <c r="A30" s="2362" t="s">
        <v>515</v>
      </c>
      <c r="B30" s="2412">
        <f ca="1">存贷款利率!I1</f>
        <v>1.4999999999999999E-2</v>
      </c>
      <c r="C30" s="1644"/>
      <c r="D30" s="2413" t="s">
        <v>516</v>
      </c>
      <c r="E30" s="2414">
        <v>0.05</v>
      </c>
      <c r="F30" s="2415">
        <f>IF(B2&lt;DATE(2016,5,1),0,E30)</f>
        <v>0.05</v>
      </c>
      <c r="G30" s="2343"/>
      <c r="H30" s="2343"/>
      <c r="K30" s="2341"/>
      <c r="N30" s="2341"/>
      <c r="AE30" s="1644"/>
      <c r="AF30" s="1644"/>
      <c r="AG30" s="1644"/>
      <c r="AH30" s="1644"/>
      <c r="AI30" s="1644"/>
      <c r="AJ30" s="1644"/>
      <c r="AK30" s="1644"/>
      <c r="AL30" s="1644"/>
      <c r="AM30" s="1644"/>
      <c r="AN30" s="1644"/>
      <c r="AO30" s="1644"/>
    </row>
    <row r="31" spans="1:41" ht="14.25">
      <c r="A31" s="2362" t="s">
        <v>517</v>
      </c>
      <c r="B31" s="2375">
        <v>0.03</v>
      </c>
      <c r="C31" s="1644"/>
      <c r="D31" s="2413" t="s">
        <v>518</v>
      </c>
      <c r="E31" s="2416">
        <f>E30*(E32+E33+E34)+E35</f>
        <v>6.0000000000000001E-3</v>
      </c>
      <c r="F31" s="893"/>
      <c r="G31" s="2343"/>
      <c r="H31" s="2343"/>
      <c r="K31" s="2341"/>
      <c r="N31" s="2341"/>
      <c r="AE31" s="1644"/>
      <c r="AF31" s="1644"/>
      <c r="AG31" s="1644"/>
      <c r="AH31" s="1644"/>
      <c r="AI31" s="1644"/>
      <c r="AJ31" s="1644"/>
      <c r="AK31" s="1644"/>
      <c r="AL31" s="1644"/>
      <c r="AM31" s="1644"/>
      <c r="AN31" s="1644"/>
      <c r="AO31" s="1644"/>
    </row>
    <row r="32" spans="1:41" ht="14.25">
      <c r="A32" s="2362" t="s">
        <v>519</v>
      </c>
      <c r="B32" s="2375">
        <v>0.05</v>
      </c>
      <c r="C32" s="1644"/>
      <c r="D32" s="2417" t="s">
        <v>520</v>
      </c>
      <c r="E32" s="2418">
        <v>7.0000000000000007E-2</v>
      </c>
      <c r="F32" s="2419" t="s">
        <v>521</v>
      </c>
      <c r="G32" s="2343"/>
      <c r="H32" s="2343"/>
      <c r="K32" s="2341"/>
      <c r="L32" s="2341"/>
      <c r="M32" s="2341"/>
      <c r="N32" s="2341"/>
      <c r="AE32" s="1644"/>
      <c r="AF32" s="1644"/>
      <c r="AG32" s="1644"/>
      <c r="AH32" s="1644"/>
      <c r="AI32" s="1644"/>
      <c r="AJ32" s="1644"/>
      <c r="AK32" s="1644"/>
      <c r="AL32" s="1644"/>
      <c r="AM32" s="1644"/>
      <c r="AN32" s="1644"/>
      <c r="AO32" s="1644"/>
    </row>
    <row r="33" spans="1:41" ht="14.25">
      <c r="A33" s="2362" t="s">
        <v>522</v>
      </c>
      <c r="B33" s="2420">
        <f>收益法!J54</f>
        <v>24.74</v>
      </c>
      <c r="C33" s="1644"/>
      <c r="D33" s="2417" t="s">
        <v>523</v>
      </c>
      <c r="E33" s="2414">
        <v>0.03</v>
      </c>
      <c r="F33" s="2421" t="s">
        <v>524</v>
      </c>
      <c r="G33" s="2343"/>
      <c r="H33" s="2343"/>
      <c r="K33" s="2341"/>
      <c r="L33" s="2341"/>
      <c r="M33" s="2341"/>
      <c r="N33" s="2341"/>
      <c r="AE33" s="1644"/>
      <c r="AF33" s="1644"/>
      <c r="AG33" s="1644"/>
      <c r="AH33" s="1644"/>
      <c r="AI33" s="1644"/>
      <c r="AJ33" s="1644"/>
      <c r="AK33" s="1644"/>
      <c r="AL33" s="1644"/>
      <c r="AM33" s="1644"/>
      <c r="AN33" s="1644"/>
      <c r="AO33" s="1644"/>
    </row>
    <row r="34" spans="1:41" s="2333" customFormat="1" ht="14.25">
      <c r="A34" s="2413" t="str">
        <f>IF(B28="租赁期内按合同租金","剩余租赁期","——")</f>
        <v>——</v>
      </c>
      <c r="B34" s="2422"/>
      <c r="C34" s="1644"/>
      <c r="D34" s="2417" t="s">
        <v>525</v>
      </c>
      <c r="E34" s="2414">
        <v>0.02</v>
      </c>
      <c r="F34" s="2421" t="s">
        <v>526</v>
      </c>
      <c r="G34" s="2423"/>
      <c r="H34" s="2423"/>
      <c r="I34" s="2366"/>
      <c r="J34" s="2366"/>
      <c r="K34" s="2341"/>
      <c r="L34" s="2341"/>
      <c r="M34" s="2341"/>
      <c r="N34" s="2341"/>
      <c r="O34" s="1357"/>
      <c r="P34" s="1357"/>
      <c r="Q34" s="1644"/>
      <c r="R34" s="1644"/>
      <c r="S34" s="1644"/>
      <c r="T34" s="1644"/>
      <c r="U34" s="1644"/>
      <c r="V34" s="1644"/>
      <c r="W34" s="1644"/>
      <c r="X34" s="1644"/>
      <c r="Y34" s="1644"/>
      <c r="Z34" s="1644"/>
      <c r="AA34" s="1644"/>
      <c r="AB34" s="1644"/>
      <c r="AC34" s="1644"/>
      <c r="AD34" s="1644"/>
      <c r="AE34" s="1644"/>
      <c r="AF34" s="1644"/>
      <c r="AG34" s="1644"/>
      <c r="AH34" s="1644"/>
      <c r="AI34" s="1644"/>
      <c r="AJ34" s="1644"/>
      <c r="AK34" s="1644"/>
      <c r="AL34" s="1644"/>
      <c r="AM34" s="1644"/>
      <c r="AN34" s="1644"/>
      <c r="AO34" s="1644"/>
    </row>
    <row r="35" spans="1:41" s="2333" customFormat="1" ht="15">
      <c r="A35" s="2424" t="s">
        <v>527</v>
      </c>
      <c r="B35" s="1995"/>
      <c r="C35" s="1644"/>
      <c r="D35" s="2425" t="s">
        <v>528</v>
      </c>
      <c r="E35" s="2426"/>
      <c r="F35" s="2361" t="s">
        <v>476</v>
      </c>
      <c r="G35" s="2423"/>
      <c r="H35" s="2423"/>
      <c r="I35" s="2366"/>
      <c r="J35" s="2366"/>
      <c r="K35" s="2341"/>
      <c r="L35" s="2341"/>
      <c r="M35" s="2341"/>
      <c r="N35" s="2341"/>
      <c r="O35" s="1357"/>
      <c r="P35" s="1357"/>
      <c r="Q35" s="1644"/>
      <c r="R35" s="1644"/>
      <c r="S35" s="1644"/>
      <c r="T35" s="1644"/>
      <c r="U35" s="1644"/>
      <c r="V35" s="1644"/>
      <c r="W35" s="1644"/>
      <c r="X35" s="1644"/>
      <c r="Y35" s="1644"/>
      <c r="Z35" s="1644"/>
      <c r="AA35" s="1644"/>
      <c r="AB35" s="1644"/>
      <c r="AC35" s="1644"/>
      <c r="AD35" s="1644"/>
      <c r="AE35" s="1644"/>
      <c r="AF35" s="1644"/>
      <c r="AG35" s="1644"/>
      <c r="AH35" s="1644"/>
      <c r="AI35" s="1644"/>
      <c r="AJ35" s="1644"/>
      <c r="AK35" s="1644"/>
      <c r="AL35" s="1644"/>
      <c r="AM35" s="1644"/>
      <c r="AN35" s="1644"/>
      <c r="AO35" s="1644"/>
    </row>
    <row r="36" spans="1:41" s="2333" customFormat="1" ht="14.25">
      <c r="A36" s="2427" t="str">
        <f>IF(B28="租赁期内按合同租金","租金","——")</f>
        <v>——</v>
      </c>
      <c r="B36" s="2428"/>
      <c r="C36" s="1644"/>
      <c r="D36" s="2429" t="s">
        <v>529</v>
      </c>
      <c r="E36" s="2430">
        <v>0.03</v>
      </c>
      <c r="F36" s="2377" t="s">
        <v>530</v>
      </c>
      <c r="G36" s="2423"/>
      <c r="H36" s="2423"/>
      <c r="I36" s="2366"/>
      <c r="J36" s="2366"/>
      <c r="K36" s="2341"/>
      <c r="L36" s="2341"/>
      <c r="M36" s="2341"/>
      <c r="N36" s="2341"/>
      <c r="O36" s="1357"/>
      <c r="P36" s="1357"/>
      <c r="Q36" s="1644"/>
      <c r="R36" s="1644"/>
      <c r="S36" s="1644"/>
      <c r="T36" s="1644"/>
      <c r="U36" s="1644"/>
      <c r="V36" s="1644"/>
      <c r="W36" s="1644"/>
      <c r="X36" s="1644"/>
      <c r="Y36" s="1644"/>
      <c r="Z36" s="1644"/>
      <c r="AA36" s="1644"/>
      <c r="AB36" s="1644"/>
      <c r="AC36" s="1644"/>
      <c r="AD36" s="1644"/>
      <c r="AE36" s="1644"/>
      <c r="AF36" s="1644"/>
      <c r="AG36" s="1644"/>
      <c r="AH36" s="1644"/>
      <c r="AI36" s="1644"/>
      <c r="AJ36" s="1644"/>
      <c r="AK36" s="1644"/>
      <c r="AL36" s="1644"/>
      <c r="AM36" s="1644"/>
      <c r="AN36" s="1644"/>
      <c r="AO36" s="1644"/>
    </row>
    <row r="37" spans="1:41" s="2333" customFormat="1" ht="14.25">
      <c r="A37" s="2362" t="str">
        <f>IF(B28="租赁期内按合同租金","年租金增长率","——")</f>
        <v>——</v>
      </c>
      <c r="B37" s="2375"/>
      <c r="C37" s="1644"/>
      <c r="D37" s="2378" t="s">
        <v>531</v>
      </c>
      <c r="E37" s="2414">
        <v>5.0000000000000001E-4</v>
      </c>
      <c r="F37" s="2377" t="s">
        <v>532</v>
      </c>
      <c r="G37" s="2343"/>
      <c r="H37" s="2343"/>
      <c r="I37" s="2341"/>
      <c r="J37" s="2341"/>
      <c r="K37" s="2341"/>
      <c r="L37" s="2341"/>
      <c r="M37" s="2341"/>
      <c r="N37" s="2341"/>
      <c r="O37" s="1357"/>
      <c r="P37" s="1357"/>
      <c r="Q37" s="1644"/>
      <c r="R37" s="1644"/>
      <c r="S37" s="1644"/>
      <c r="T37" s="1644"/>
      <c r="U37" s="1644"/>
      <c r="V37" s="1644"/>
      <c r="W37" s="1644"/>
      <c r="X37" s="1644"/>
      <c r="Y37" s="1644"/>
      <c r="Z37" s="1644"/>
      <c r="AA37" s="1644"/>
      <c r="AB37" s="1644"/>
      <c r="AC37" s="1644"/>
      <c r="AD37" s="1644"/>
      <c r="AE37" s="1644"/>
      <c r="AF37" s="1644"/>
      <c r="AG37" s="1644"/>
      <c r="AH37" s="1644"/>
      <c r="AI37" s="1644"/>
      <c r="AJ37" s="1644"/>
      <c r="AK37" s="1644"/>
      <c r="AL37" s="1644"/>
      <c r="AM37" s="1644"/>
      <c r="AN37" s="1644"/>
      <c r="AO37" s="1644"/>
    </row>
    <row r="38" spans="1:41" s="2333" customFormat="1" ht="14.25">
      <c r="A38" s="2362" t="str">
        <f>IF(B28="租赁期内按合同租金","空置率","——")</f>
        <v>——</v>
      </c>
      <c r="B38" s="2375"/>
      <c r="C38" s="1644"/>
      <c r="D38" s="2431" t="s">
        <v>533</v>
      </c>
      <c r="E38" s="2432">
        <v>1.2E-2</v>
      </c>
      <c r="F38" s="2366"/>
      <c r="G38" s="2337"/>
      <c r="H38" s="2337"/>
      <c r="I38" s="2343"/>
      <c r="J38" s="2341"/>
      <c r="K38" s="2341"/>
      <c r="L38" s="2341"/>
      <c r="M38" s="2341"/>
      <c r="N38" s="2341"/>
      <c r="O38" s="1357"/>
      <c r="P38" s="1357"/>
      <c r="Q38" s="1644"/>
      <c r="R38" s="1644"/>
      <c r="S38" s="1644"/>
      <c r="T38" s="1644"/>
      <c r="U38" s="1644"/>
      <c r="V38" s="1644"/>
      <c r="W38" s="1644"/>
      <c r="X38" s="1644"/>
      <c r="Y38" s="1644"/>
      <c r="Z38" s="1644"/>
      <c r="AA38" s="1644"/>
      <c r="AB38" s="1644"/>
      <c r="AC38" s="1644"/>
      <c r="AD38" s="1644"/>
      <c r="AE38" s="1644"/>
      <c r="AF38" s="1644"/>
      <c r="AG38" s="1644"/>
      <c r="AH38" s="1644"/>
      <c r="AI38" s="1644"/>
      <c r="AJ38" s="1644"/>
      <c r="AK38" s="1644"/>
      <c r="AL38" s="1644"/>
      <c r="AM38" s="1644"/>
      <c r="AN38" s="1644"/>
      <c r="AO38" s="1644"/>
    </row>
    <row r="39" spans="1:41" s="2333" customFormat="1" ht="14.25">
      <c r="A39" s="2362" t="str">
        <f>IF(B28="租赁期内按合同租金","成新率","——")</f>
        <v>——</v>
      </c>
      <c r="B39" s="2375"/>
      <c r="C39" s="1644"/>
      <c r="D39" s="2370" t="s">
        <v>534</v>
      </c>
      <c r="E39" s="2433">
        <v>0.12</v>
      </c>
      <c r="F39" s="2366"/>
      <c r="G39" s="2423"/>
      <c r="H39" s="2423"/>
      <c r="I39" s="2366"/>
      <c r="J39" s="2366"/>
      <c r="K39" s="2341"/>
      <c r="L39" s="2341"/>
      <c r="M39" s="2341"/>
      <c r="N39" s="2341"/>
      <c r="O39" s="1357"/>
      <c r="P39" s="1357"/>
      <c r="Q39" s="1644"/>
      <c r="R39" s="1644"/>
      <c r="S39" s="1644"/>
      <c r="T39" s="1644"/>
      <c r="U39" s="1644"/>
      <c r="V39" s="1644"/>
      <c r="W39" s="1644"/>
      <c r="X39" s="1644"/>
      <c r="Y39" s="1644"/>
      <c r="Z39" s="1644"/>
      <c r="AA39" s="1644"/>
      <c r="AB39" s="1644"/>
      <c r="AC39" s="1644"/>
      <c r="AD39" s="1644"/>
      <c r="AE39" s="1644"/>
      <c r="AF39" s="1644"/>
      <c r="AG39" s="1644"/>
      <c r="AH39" s="1644"/>
      <c r="AI39" s="1644"/>
      <c r="AJ39" s="1644"/>
      <c r="AK39" s="1644"/>
      <c r="AL39" s="1644"/>
      <c r="AM39" s="1644"/>
      <c r="AN39" s="1644"/>
      <c r="AO39" s="1644"/>
    </row>
    <row r="40" spans="1:41" ht="14.25">
      <c r="A40" s="2413" t="str">
        <f>IF(B28="租赁期内按合同租金","租赁期外收益期","——")</f>
        <v>——</v>
      </c>
      <c r="B40" s="2434" t="str">
        <f>IF(B28="租赁期内按合同租金",B33-B34,"——")</f>
        <v>——</v>
      </c>
      <c r="C40" s="1644"/>
      <c r="D40" s="2431" t="s">
        <v>535</v>
      </c>
      <c r="E40" s="2435">
        <f>SUMIF(D42:D51,E41,E42:E51)</f>
        <v>24</v>
      </c>
      <c r="F40" s="2366"/>
      <c r="G40" s="2343"/>
      <c r="H40" s="2343"/>
      <c r="I40" s="2341"/>
      <c r="J40" s="2341"/>
      <c r="K40" s="2341"/>
      <c r="L40" s="2341"/>
      <c r="M40" s="2341"/>
      <c r="N40" s="2341"/>
      <c r="AE40" s="1644"/>
      <c r="AF40" s="1644"/>
      <c r="AG40" s="1644"/>
      <c r="AH40" s="1644"/>
      <c r="AI40" s="1644"/>
      <c r="AJ40" s="1644"/>
      <c r="AK40" s="1644"/>
      <c r="AL40" s="1644"/>
      <c r="AM40" s="1644"/>
      <c r="AN40" s="1644"/>
      <c r="AO40" s="1644"/>
    </row>
    <row r="41" spans="1:41" ht="14.25">
      <c r="A41" s="2436" t="s">
        <v>536</v>
      </c>
      <c r="B41" s="2437"/>
      <c r="C41" s="1644"/>
      <c r="D41" s="2364" t="s">
        <v>537</v>
      </c>
      <c r="E41" s="2438" t="s">
        <v>357</v>
      </c>
      <c r="F41" s="2366" t="s">
        <v>538</v>
      </c>
      <c r="G41" s="2439" t="s">
        <v>539</v>
      </c>
      <c r="H41" s="2343"/>
      <c r="I41" s="2341"/>
      <c r="J41" s="2341"/>
      <c r="K41" s="2341"/>
      <c r="L41" s="2341"/>
      <c r="M41" s="2341"/>
      <c r="N41" s="2341"/>
      <c r="AE41" s="1644"/>
      <c r="AF41" s="1644"/>
      <c r="AG41" s="1644"/>
      <c r="AH41" s="1644"/>
      <c r="AI41" s="1644"/>
      <c r="AJ41" s="1644"/>
      <c r="AK41" s="1644"/>
      <c r="AL41" s="1644"/>
      <c r="AM41" s="1644"/>
      <c r="AN41" s="1644"/>
      <c r="AO41" s="1644"/>
    </row>
    <row r="42" spans="1:41" ht="14.25">
      <c r="A42" s="2362" t="s">
        <v>540</v>
      </c>
      <c r="B42" s="2440">
        <v>365</v>
      </c>
      <c r="C42" s="1644"/>
      <c r="D42" s="2441" t="s">
        <v>541</v>
      </c>
      <c r="E42" s="2410"/>
      <c r="F42" s="2366">
        <v>30</v>
      </c>
      <c r="G42" s="2343"/>
      <c r="H42" s="2343"/>
      <c r="I42" s="2341"/>
      <c r="J42" s="2341"/>
      <c r="K42" s="2341"/>
      <c r="L42" s="2341"/>
      <c r="M42" s="2341"/>
      <c r="N42" s="2341"/>
      <c r="AE42" s="1644"/>
      <c r="AF42" s="1644"/>
      <c r="AG42" s="1644"/>
      <c r="AH42" s="1644"/>
      <c r="AI42" s="1644"/>
      <c r="AJ42" s="1644"/>
      <c r="AK42" s="1644"/>
      <c r="AL42" s="1644"/>
      <c r="AM42" s="1644"/>
      <c r="AN42" s="1644"/>
      <c r="AO42" s="1644"/>
    </row>
    <row r="43" spans="1:41" ht="14.25">
      <c r="A43" s="2362" t="s">
        <v>542</v>
      </c>
      <c r="B43" s="2410"/>
      <c r="C43" s="1644"/>
      <c r="D43" s="2441" t="s">
        <v>543</v>
      </c>
      <c r="E43" s="2410">
        <v>24</v>
      </c>
      <c r="F43" s="2366">
        <v>24</v>
      </c>
      <c r="G43" s="2343"/>
      <c r="H43" s="2343"/>
      <c r="I43" s="2341"/>
      <c r="J43" s="2341"/>
      <c r="K43" s="2341"/>
      <c r="L43" s="2341"/>
      <c r="M43" s="2341"/>
      <c r="N43" s="2341"/>
      <c r="AE43" s="1644"/>
      <c r="AF43" s="1644"/>
      <c r="AG43" s="1644"/>
      <c r="AH43" s="1644"/>
      <c r="AI43" s="1644"/>
      <c r="AJ43" s="1644"/>
      <c r="AK43" s="1644"/>
      <c r="AL43" s="1644"/>
      <c r="AM43" s="1644"/>
      <c r="AN43" s="1644"/>
      <c r="AO43" s="1644"/>
    </row>
    <row r="44" spans="1:41" ht="14.25">
      <c r="A44" s="2362" t="s">
        <v>544</v>
      </c>
      <c r="B44" s="2442">
        <v>1.4999999999999999E-2</v>
      </c>
      <c r="C44" s="1644" t="s">
        <v>545</v>
      </c>
      <c r="D44" s="2441" t="s">
        <v>546</v>
      </c>
      <c r="E44" s="2410"/>
      <c r="F44" s="2366">
        <v>18</v>
      </c>
      <c r="G44" s="1644"/>
      <c r="H44" s="1644"/>
      <c r="I44" s="2343"/>
      <c r="J44" s="2341"/>
      <c r="K44" s="2341"/>
      <c r="L44" s="2341"/>
      <c r="M44" s="2341"/>
      <c r="N44" s="2341"/>
      <c r="AE44" s="1644"/>
      <c r="AF44" s="1644"/>
      <c r="AG44" s="1644"/>
      <c r="AH44" s="1644"/>
      <c r="AI44" s="1644"/>
      <c r="AJ44" s="1644"/>
      <c r="AK44" s="1644"/>
      <c r="AL44" s="1644"/>
      <c r="AM44" s="1644"/>
      <c r="AN44" s="1644"/>
      <c r="AO44" s="1644"/>
    </row>
    <row r="45" spans="1:41" ht="14.25">
      <c r="A45" s="2362" t="s">
        <v>547</v>
      </c>
      <c r="B45" s="2443">
        <v>1.5E-3</v>
      </c>
      <c r="C45" s="1644" t="s">
        <v>548</v>
      </c>
      <c r="D45" s="2441" t="s">
        <v>549</v>
      </c>
      <c r="E45" s="2410"/>
      <c r="F45" s="2366">
        <v>12</v>
      </c>
      <c r="G45" s="1644"/>
      <c r="H45" s="1644"/>
      <c r="M45" s="2341"/>
      <c r="N45" s="2341"/>
      <c r="AE45" s="1644"/>
      <c r="AF45" s="1644"/>
      <c r="AG45" s="1644"/>
      <c r="AH45" s="1644"/>
      <c r="AI45" s="1644"/>
      <c r="AJ45" s="1644"/>
      <c r="AK45" s="1644"/>
      <c r="AL45" s="1644"/>
      <c r="AM45" s="1644"/>
      <c r="AN45" s="1644"/>
      <c r="AO45" s="1644"/>
    </row>
    <row r="46" spans="1:41" ht="14.25">
      <c r="A46" s="2408" t="s">
        <v>550</v>
      </c>
      <c r="B46" s="2444">
        <v>0.01</v>
      </c>
      <c r="C46" s="1644" t="s">
        <v>551</v>
      </c>
      <c r="D46" s="2441" t="s">
        <v>266</v>
      </c>
      <c r="E46" s="2410"/>
      <c r="F46" s="2366">
        <v>3</v>
      </c>
      <c r="G46" s="1644"/>
      <c r="H46" s="1644"/>
      <c r="M46" s="2341"/>
      <c r="N46" s="2341"/>
      <c r="AE46" s="1644"/>
      <c r="AF46" s="1644"/>
      <c r="AG46" s="1644"/>
      <c r="AH46" s="1644"/>
      <c r="AI46" s="1644"/>
      <c r="AJ46" s="1644"/>
      <c r="AK46" s="1644"/>
      <c r="AL46" s="1644"/>
      <c r="AM46" s="1644"/>
      <c r="AN46" s="1644"/>
      <c r="AO46" s="1644"/>
    </row>
    <row r="47" spans="1:41" ht="14.25">
      <c r="A47" s="1644"/>
      <c r="B47" s="1644"/>
      <c r="C47" s="1644"/>
      <c r="D47" s="2441" t="s">
        <v>552</v>
      </c>
      <c r="E47" s="2410"/>
      <c r="F47" s="2366">
        <v>1.5</v>
      </c>
      <c r="G47" s="1644"/>
      <c r="H47" s="1644"/>
      <c r="M47" s="2341"/>
      <c r="N47" s="2341"/>
      <c r="AE47" s="1644"/>
      <c r="AF47" s="1644"/>
      <c r="AG47" s="1644"/>
      <c r="AH47" s="1644"/>
      <c r="AI47" s="1644"/>
      <c r="AJ47" s="1644"/>
      <c r="AK47" s="1644"/>
      <c r="AL47" s="1644"/>
      <c r="AM47" s="1644"/>
      <c r="AN47" s="1644"/>
      <c r="AO47" s="1644"/>
    </row>
    <row r="48" spans="1:41" ht="14.25">
      <c r="A48" s="1644"/>
      <c r="B48" s="1644"/>
      <c r="C48" s="1644"/>
      <c r="D48" s="2441" t="s">
        <v>553</v>
      </c>
      <c r="E48" s="2410"/>
      <c r="F48" s="2341"/>
      <c r="G48" s="1644"/>
      <c r="H48" s="1644"/>
      <c r="M48" s="2341"/>
      <c r="N48" s="2341"/>
      <c r="AE48" s="1644"/>
      <c r="AF48" s="1644"/>
      <c r="AG48" s="1644"/>
      <c r="AH48" s="1644"/>
      <c r="AI48" s="1644"/>
      <c r="AJ48" s="1644"/>
      <c r="AK48" s="1644"/>
      <c r="AL48" s="1644"/>
      <c r="AM48" s="1644"/>
      <c r="AN48" s="1644"/>
      <c r="AO48" s="1644"/>
    </row>
    <row r="49" spans="1:41" ht="14.25">
      <c r="A49" s="1644"/>
      <c r="B49" s="1644"/>
      <c r="C49" s="1644"/>
      <c r="D49" s="2441" t="s">
        <v>554</v>
      </c>
      <c r="E49" s="2410"/>
      <c r="F49" s="2341"/>
      <c r="G49" s="1644"/>
      <c r="H49" s="1644"/>
      <c r="M49" s="2341"/>
      <c r="N49" s="2341"/>
      <c r="AE49" s="1644"/>
      <c r="AF49" s="1644"/>
      <c r="AG49" s="1644"/>
      <c r="AH49" s="1644"/>
      <c r="AI49" s="1644"/>
      <c r="AJ49" s="1644"/>
      <c r="AK49" s="1644"/>
      <c r="AL49" s="1644"/>
      <c r="AM49" s="1644"/>
      <c r="AN49" s="1644"/>
      <c r="AO49" s="1644"/>
    </row>
    <row r="50" spans="1:41" ht="14.25">
      <c r="A50" s="1644"/>
      <c r="B50" s="1644"/>
      <c r="C50" s="1644"/>
      <c r="D50" s="2441" t="s">
        <v>555</v>
      </c>
      <c r="E50" s="2410"/>
      <c r="F50" s="2341"/>
      <c r="G50" s="1644"/>
      <c r="H50" s="1644"/>
      <c r="M50" s="2341"/>
      <c r="N50" s="2341"/>
      <c r="AE50" s="1644"/>
      <c r="AF50" s="1644"/>
      <c r="AG50" s="1644"/>
      <c r="AH50" s="1644"/>
      <c r="AI50" s="1644"/>
      <c r="AJ50" s="1644"/>
      <c r="AK50" s="1644"/>
      <c r="AL50" s="1644"/>
      <c r="AM50" s="1644"/>
      <c r="AN50" s="1644"/>
      <c r="AO50" s="1644"/>
    </row>
    <row r="51" spans="1:41" s="1644" customFormat="1" ht="14.25">
      <c r="D51" s="2445" t="s">
        <v>556</v>
      </c>
      <c r="E51" s="2446"/>
      <c r="F51" s="2341"/>
      <c r="M51" s="2341"/>
      <c r="N51" s="2341"/>
      <c r="O51" s="1357"/>
      <c r="P51" s="1357"/>
    </row>
    <row r="52" spans="1:41" s="1644" customFormat="1" ht="14.25">
      <c r="D52" s="2343"/>
      <c r="E52" s="2343"/>
      <c r="F52" s="2343"/>
      <c r="G52" s="2343"/>
      <c r="H52" s="2343"/>
      <c r="I52" s="2341"/>
      <c r="J52" s="2341"/>
      <c r="K52" s="2341"/>
      <c r="L52" s="2341"/>
      <c r="M52" s="2341"/>
      <c r="N52" s="2341"/>
      <c r="O52" s="1357"/>
      <c r="P52" s="1357"/>
    </row>
    <row r="53" spans="1:41" s="1644" customFormat="1" ht="14.25">
      <c r="D53" s="2343"/>
      <c r="E53" s="2343"/>
      <c r="F53" s="2343"/>
      <c r="G53" s="2343"/>
      <c r="H53" s="2343"/>
      <c r="I53" s="2341"/>
      <c r="J53" s="2341"/>
      <c r="K53" s="2341"/>
      <c r="L53" s="2341"/>
      <c r="M53" s="2341"/>
      <c r="N53" s="2341"/>
      <c r="O53" s="1357"/>
      <c r="P53" s="1357"/>
    </row>
    <row r="54" spans="1:41" s="1644" customFormat="1" ht="14.25">
      <c r="D54" s="2343"/>
      <c r="E54" s="2343"/>
      <c r="F54" s="2343"/>
      <c r="G54" s="2343"/>
      <c r="H54" s="2343"/>
      <c r="I54" s="2341"/>
      <c r="J54" s="2341"/>
      <c r="K54" s="2341"/>
      <c r="L54" s="2341"/>
      <c r="M54" s="2341"/>
      <c r="N54" s="2341"/>
      <c r="O54" s="1357"/>
      <c r="P54" s="1357"/>
    </row>
    <row r="55" spans="1:41" s="1644" customFormat="1" ht="14.25">
      <c r="D55" s="2343"/>
      <c r="E55" s="2343"/>
      <c r="F55" s="2343"/>
      <c r="G55" s="2343"/>
      <c r="H55" s="2343"/>
      <c r="I55" s="2341"/>
      <c r="J55" s="2341"/>
      <c r="K55" s="2341"/>
      <c r="L55" s="2341"/>
      <c r="M55" s="2341"/>
      <c r="N55" s="2341"/>
      <c r="O55" s="1357"/>
      <c r="P55" s="1357"/>
    </row>
    <row r="56" spans="1:41" s="1644" customFormat="1" ht="14.25">
      <c r="D56" s="2343"/>
      <c r="E56" s="2343"/>
      <c r="F56" s="2343"/>
      <c r="G56" s="2343"/>
      <c r="H56" s="2343"/>
      <c r="I56" s="2341"/>
      <c r="J56" s="2341"/>
      <c r="K56" s="2341"/>
      <c r="L56" s="2341"/>
      <c r="M56" s="2341"/>
      <c r="N56" s="2341"/>
      <c r="O56" s="1357"/>
      <c r="P56" s="1357"/>
    </row>
    <row r="57" spans="1:41" s="1644" customFormat="1" ht="14.25">
      <c r="D57" s="2343"/>
      <c r="E57" s="2343"/>
      <c r="F57" s="2343"/>
      <c r="G57" s="2343"/>
      <c r="H57" s="2343"/>
      <c r="I57" s="2341"/>
      <c r="J57" s="2341"/>
      <c r="K57" s="2341"/>
      <c r="L57" s="2341"/>
      <c r="M57" s="2341"/>
      <c r="N57" s="2341"/>
      <c r="O57" s="1357"/>
      <c r="P57" s="1357"/>
    </row>
    <row r="58" spans="1:41" s="1644" customFormat="1" ht="14.25">
      <c r="D58" s="2343"/>
      <c r="E58" s="2343"/>
      <c r="F58" s="2343"/>
      <c r="G58" s="2343"/>
      <c r="H58" s="2343"/>
      <c r="I58" s="2341"/>
      <c r="J58" s="2341"/>
      <c r="K58" s="2341"/>
      <c r="L58" s="2341"/>
      <c r="M58" s="2341"/>
      <c r="N58" s="2341"/>
      <c r="O58" s="1357"/>
      <c r="P58" s="1357"/>
    </row>
    <row r="59" spans="1:41" s="1644" customFormat="1" ht="14.25">
      <c r="D59" s="2343"/>
      <c r="E59" s="2343"/>
      <c r="F59" s="2343"/>
      <c r="G59" s="2343"/>
      <c r="H59" s="2343"/>
      <c r="I59" s="2341"/>
      <c r="J59" s="2341"/>
      <c r="K59" s="2341"/>
      <c r="L59" s="2341"/>
      <c r="M59" s="2448"/>
      <c r="N59" s="2341"/>
      <c r="O59" s="1357"/>
      <c r="P59" s="1357"/>
    </row>
    <row r="60" spans="1:41" s="1644" customFormat="1" ht="14.25">
      <c r="D60" s="2343"/>
      <c r="E60" s="2343"/>
      <c r="F60" s="2343"/>
      <c r="G60" s="2343"/>
      <c r="H60" s="2343"/>
      <c r="I60" s="2341"/>
      <c r="J60" s="2341"/>
      <c r="K60" s="2341"/>
      <c r="L60" s="2341"/>
      <c r="M60" s="2341"/>
      <c r="N60" s="2341"/>
      <c r="O60" s="1357"/>
      <c r="P60" s="1357"/>
    </row>
    <row r="61" spans="1:41" s="1644" customFormat="1" ht="14.25">
      <c r="D61" s="2343"/>
      <c r="E61" s="2343"/>
      <c r="F61" s="2343"/>
      <c r="G61" s="2343"/>
      <c r="H61" s="2343"/>
      <c r="I61" s="2341"/>
      <c r="J61" s="2341"/>
      <c r="K61" s="2341"/>
      <c r="L61" s="2341"/>
      <c r="M61" s="2341"/>
      <c r="N61" s="2341"/>
      <c r="O61" s="1357"/>
      <c r="P61" s="1357"/>
    </row>
    <row r="62" spans="1:41" s="1644" customFormat="1" ht="14.25">
      <c r="D62" s="2343"/>
      <c r="E62" s="2343"/>
      <c r="F62" s="2343"/>
      <c r="G62" s="2343"/>
      <c r="H62" s="2343"/>
      <c r="I62" s="2341"/>
      <c r="J62" s="2341"/>
      <c r="K62" s="2341"/>
      <c r="L62" s="2341"/>
      <c r="M62" s="2341"/>
      <c r="N62" s="2341"/>
      <c r="O62" s="1357"/>
      <c r="P62" s="1357"/>
    </row>
    <row r="63" spans="1:41" s="1644" customFormat="1" ht="14.25">
      <c r="D63" s="2343"/>
      <c r="E63" s="2343"/>
      <c r="F63" s="2343"/>
      <c r="G63" s="2343"/>
      <c r="H63" s="2343"/>
      <c r="I63" s="2341"/>
      <c r="J63" s="2341"/>
      <c r="K63" s="2341"/>
      <c r="L63" s="2341"/>
      <c r="M63" s="2341"/>
      <c r="N63" s="2341"/>
      <c r="O63" s="1357"/>
      <c r="P63" s="1357"/>
    </row>
    <row r="64" spans="1:41" s="1644" customFormat="1" ht="14.25">
      <c r="D64" s="2343"/>
      <c r="E64" s="2343"/>
      <c r="F64" s="2343"/>
      <c r="G64" s="2343"/>
      <c r="H64" s="2343"/>
      <c r="I64" s="2341"/>
      <c r="J64" s="2341"/>
      <c r="K64" s="2341"/>
      <c r="L64" s="2341"/>
      <c r="M64" s="2341"/>
      <c r="N64" s="2341"/>
      <c r="O64" s="1357"/>
      <c r="P64" s="1357"/>
    </row>
    <row r="65" spans="1:16" s="1644" customFormat="1" ht="14.25">
      <c r="D65" s="2343"/>
      <c r="E65" s="2343"/>
      <c r="F65" s="2343"/>
      <c r="G65" s="2343"/>
      <c r="H65" s="2343"/>
      <c r="I65" s="2341"/>
      <c r="J65" s="2341"/>
      <c r="K65" s="2341"/>
      <c r="L65" s="2341"/>
      <c r="M65" s="2341"/>
      <c r="N65" s="2341"/>
      <c r="O65" s="1357"/>
      <c r="P65" s="1357"/>
    </row>
    <row r="66" spans="1:16" s="1644" customFormat="1" ht="14.25">
      <c r="A66" s="2449"/>
      <c r="D66" s="2343"/>
      <c r="E66" s="2343"/>
      <c r="F66" s="2343"/>
      <c r="G66" s="2343"/>
      <c r="H66" s="2343"/>
      <c r="I66" s="2341"/>
      <c r="J66" s="2341"/>
      <c r="K66" s="2341"/>
      <c r="L66" s="2341"/>
      <c r="M66" s="2341"/>
      <c r="N66" s="2341"/>
      <c r="O66" s="1357"/>
      <c r="P66" s="1357"/>
    </row>
    <row r="67" spans="1:16" s="1644" customFormat="1" ht="14.25">
      <c r="A67" s="2449"/>
      <c r="D67" s="2343"/>
      <c r="E67" s="2343"/>
      <c r="F67" s="2343"/>
      <c r="G67" s="2343"/>
      <c r="H67" s="2343"/>
      <c r="I67" s="2341"/>
      <c r="J67" s="2341"/>
      <c r="K67" s="2341"/>
      <c r="L67" s="2341"/>
      <c r="M67" s="2341"/>
      <c r="N67" s="2341"/>
      <c r="O67" s="1357"/>
      <c r="P67" s="1357"/>
    </row>
    <row r="68" spans="1:16" s="1644" customFormat="1" ht="14.25">
      <c r="A68" s="2449"/>
      <c r="D68" s="2343"/>
      <c r="E68" s="2343"/>
      <c r="F68" s="2343"/>
      <c r="G68" s="2337"/>
      <c r="H68" s="2337"/>
      <c r="O68" s="1357"/>
      <c r="P68" s="1357"/>
    </row>
    <row r="69" spans="1:16" s="1644" customFormat="1">
      <c r="A69" s="2449"/>
      <c r="D69" s="2337"/>
      <c r="E69" s="2337"/>
      <c r="F69" s="2337"/>
      <c r="G69" s="2337"/>
      <c r="H69" s="2337"/>
      <c r="O69" s="1357"/>
      <c r="P69" s="1357"/>
    </row>
    <row r="70" spans="1:16" s="1644" customFormat="1">
      <c r="A70" s="2449"/>
      <c r="D70" s="2337"/>
      <c r="E70" s="2337"/>
      <c r="F70" s="2337"/>
      <c r="G70" s="2337"/>
      <c r="H70" s="2337"/>
      <c r="O70" s="1357"/>
      <c r="P70" s="1357"/>
    </row>
    <row r="71" spans="1:16" s="1644" customFormat="1">
      <c r="A71" s="2449"/>
      <c r="D71" s="2337"/>
      <c r="E71" s="2337"/>
      <c r="F71" s="2337"/>
      <c r="G71" s="2337"/>
      <c r="H71" s="2337"/>
      <c r="O71" s="1357"/>
      <c r="P71" s="1357"/>
    </row>
    <row r="72" spans="1:16" s="1644" customFormat="1">
      <c r="A72" s="2449"/>
      <c r="D72" s="2337"/>
      <c r="E72" s="2337"/>
      <c r="F72" s="2337"/>
      <c r="G72" s="2337"/>
      <c r="H72" s="2337"/>
      <c r="O72" s="1357"/>
      <c r="P72" s="1357"/>
    </row>
    <row r="73" spans="1:16" s="1644" customFormat="1">
      <c r="A73" s="2449"/>
      <c r="D73" s="2337"/>
      <c r="E73" s="2337"/>
      <c r="F73" s="2337"/>
      <c r="G73" s="2337"/>
      <c r="H73" s="2337"/>
      <c r="O73" s="1357"/>
      <c r="P73" s="1357"/>
    </row>
    <row r="74" spans="1:16" s="1644" customFormat="1">
      <c r="A74" s="2449"/>
      <c r="D74" s="2337"/>
      <c r="E74" s="2337"/>
      <c r="F74" s="2337"/>
      <c r="G74" s="2337"/>
      <c r="H74" s="2337"/>
      <c r="O74" s="1357"/>
      <c r="P74" s="1357"/>
    </row>
    <row r="75" spans="1:16" s="1644" customFormat="1">
      <c r="A75" s="2449"/>
      <c r="D75" s="2337"/>
      <c r="E75" s="2337"/>
      <c r="F75" s="2337"/>
      <c r="G75" s="2337"/>
      <c r="H75" s="2337"/>
      <c r="O75" s="1357"/>
      <c r="P75" s="1357"/>
    </row>
    <row r="76" spans="1:16" s="1644" customFormat="1">
      <c r="A76" s="2449"/>
      <c r="D76" s="2337"/>
      <c r="E76" s="2337"/>
      <c r="F76" s="2337"/>
      <c r="G76" s="2337"/>
      <c r="H76" s="2337"/>
      <c r="O76" s="1357"/>
      <c r="P76" s="1357"/>
    </row>
    <row r="77" spans="1:16" s="1644" customFormat="1">
      <c r="A77" s="2449"/>
      <c r="D77" s="2337"/>
      <c r="E77" s="2337"/>
      <c r="F77" s="2337"/>
      <c r="G77" s="2337"/>
      <c r="H77" s="2337"/>
      <c r="O77" s="1357"/>
      <c r="P77" s="1357"/>
    </row>
    <row r="78" spans="1:16" s="1644" customFormat="1">
      <c r="A78" s="2449"/>
      <c r="D78" s="2337"/>
      <c r="E78" s="2337"/>
      <c r="F78" s="2337"/>
      <c r="G78" s="2337"/>
      <c r="H78" s="2337"/>
      <c r="O78" s="1357"/>
      <c r="P78" s="1357"/>
    </row>
    <row r="79" spans="1:16" s="1644" customFormat="1">
      <c r="A79" s="2449"/>
      <c r="D79" s="2337"/>
      <c r="E79" s="2337"/>
      <c r="F79" s="2337"/>
      <c r="G79" s="2337"/>
      <c r="H79" s="2337"/>
      <c r="O79" s="1357"/>
      <c r="P79" s="1357"/>
    </row>
    <row r="80" spans="1:16" s="1644" customFormat="1">
      <c r="A80" s="2449"/>
      <c r="D80" s="2337"/>
      <c r="E80" s="2337"/>
      <c r="F80" s="2337"/>
      <c r="G80" s="2337"/>
      <c r="H80" s="2337"/>
      <c r="O80" s="1357"/>
      <c r="P80" s="1357"/>
    </row>
    <row r="81" spans="1:16" s="1644" customFormat="1">
      <c r="A81" s="2449"/>
      <c r="D81" s="2337"/>
      <c r="E81" s="2337"/>
      <c r="F81" s="2337"/>
      <c r="G81" s="2337"/>
      <c r="H81" s="2337"/>
      <c r="O81" s="1357"/>
      <c r="P81" s="1357"/>
    </row>
    <row r="82" spans="1:16" s="1644" customFormat="1">
      <c r="A82" s="2449"/>
      <c r="D82" s="2337"/>
      <c r="E82" s="2337"/>
      <c r="F82" s="2337"/>
      <c r="G82" s="2337"/>
      <c r="H82" s="2337"/>
      <c r="O82" s="1357"/>
      <c r="P82" s="1357"/>
    </row>
    <row r="83" spans="1:16" s="1644" customFormat="1">
      <c r="A83" s="2449"/>
      <c r="D83" s="2337"/>
      <c r="E83" s="2337"/>
      <c r="F83" s="2337"/>
      <c r="G83" s="2337"/>
      <c r="H83" s="2337"/>
      <c r="O83" s="1357"/>
      <c r="P83" s="1357"/>
    </row>
    <row r="84" spans="1:16" s="1644" customFormat="1">
      <c r="A84" s="2449"/>
      <c r="D84" s="2337"/>
      <c r="E84" s="2337"/>
      <c r="F84" s="2337"/>
      <c r="G84" s="2337"/>
      <c r="H84" s="2337"/>
      <c r="O84" s="1357"/>
      <c r="P84" s="1357"/>
    </row>
    <row r="85" spans="1:16" s="1644" customFormat="1">
      <c r="A85" s="2449"/>
      <c r="D85" s="2337"/>
      <c r="E85" s="2337"/>
      <c r="F85" s="2337"/>
      <c r="G85" s="2337"/>
      <c r="H85" s="2337"/>
      <c r="O85" s="1357"/>
      <c r="P85" s="1357"/>
    </row>
    <row r="86" spans="1:16" s="1644" customFormat="1">
      <c r="A86" s="2449"/>
      <c r="D86" s="2337"/>
      <c r="E86" s="2337"/>
      <c r="F86" s="2337"/>
      <c r="G86" s="2337"/>
      <c r="H86" s="2337"/>
      <c r="O86" s="1357"/>
      <c r="P86" s="1357"/>
    </row>
    <row r="87" spans="1:16" s="1644" customFormat="1">
      <c r="A87" s="2449"/>
      <c r="D87" s="2337"/>
      <c r="E87" s="2337"/>
      <c r="F87" s="2337"/>
      <c r="G87" s="2337"/>
      <c r="H87" s="2337"/>
      <c r="O87" s="1357"/>
      <c r="P87" s="1357"/>
    </row>
    <row r="88" spans="1:16" s="1644" customFormat="1">
      <c r="A88" s="2449"/>
      <c r="D88" s="2337"/>
      <c r="E88" s="2337"/>
      <c r="F88" s="2337"/>
      <c r="G88" s="2337"/>
      <c r="H88" s="2337"/>
      <c r="O88" s="1357"/>
      <c r="P88" s="1357"/>
    </row>
    <row r="89" spans="1:16" s="1644" customFormat="1">
      <c r="A89" s="2449"/>
      <c r="D89" s="2337"/>
      <c r="E89" s="2337"/>
      <c r="F89" s="2337"/>
      <c r="G89" s="2337"/>
      <c r="H89" s="2337"/>
      <c r="O89" s="1357"/>
      <c r="P89" s="1357"/>
    </row>
    <row r="90" spans="1:16" s="1644" customFormat="1">
      <c r="A90" s="2449"/>
      <c r="D90" s="2337"/>
      <c r="E90" s="2337"/>
      <c r="F90" s="2337"/>
      <c r="G90" s="2337"/>
      <c r="H90" s="2337"/>
      <c r="O90" s="1357"/>
      <c r="P90" s="1357"/>
    </row>
    <row r="91" spans="1:16" s="1644" customFormat="1">
      <c r="A91" s="2449"/>
      <c r="D91" s="2337"/>
      <c r="E91" s="2337"/>
      <c r="F91" s="2337"/>
      <c r="G91" s="2337"/>
      <c r="H91" s="2337"/>
      <c r="O91" s="1357"/>
      <c r="P91" s="1357"/>
    </row>
    <row r="92" spans="1:16" s="1644" customFormat="1">
      <c r="A92" s="2449"/>
      <c r="D92" s="2337"/>
      <c r="E92" s="2337"/>
      <c r="F92" s="2337"/>
      <c r="G92" s="2337"/>
      <c r="H92" s="2337"/>
      <c r="O92" s="1357"/>
      <c r="P92" s="1357"/>
    </row>
    <row r="93" spans="1:16" s="1644" customFormat="1">
      <c r="A93" s="2449"/>
      <c r="D93" s="2337"/>
      <c r="E93" s="2337"/>
      <c r="F93" s="2337"/>
      <c r="G93" s="2337"/>
      <c r="H93" s="2337"/>
      <c r="O93" s="1357"/>
      <c r="P93" s="1357"/>
    </row>
    <row r="94" spans="1:16" s="1644" customFormat="1">
      <c r="A94" s="2449"/>
      <c r="D94" s="2337"/>
      <c r="E94" s="2337"/>
      <c r="F94" s="2337"/>
      <c r="G94" s="2337"/>
      <c r="H94" s="2337"/>
      <c r="O94" s="1357"/>
      <c r="P94" s="1357"/>
    </row>
    <row r="95" spans="1:16" s="1644" customFormat="1">
      <c r="A95" s="2449"/>
      <c r="D95" s="2337"/>
      <c r="E95" s="2337"/>
      <c r="F95" s="2337"/>
      <c r="G95" s="2337"/>
      <c r="H95" s="2337"/>
      <c r="O95" s="1357"/>
      <c r="P95" s="1357"/>
    </row>
    <row r="96" spans="1:16" s="1644" customFormat="1">
      <c r="A96" s="2449"/>
      <c r="D96" s="2337"/>
      <c r="E96" s="2337"/>
      <c r="F96" s="2337"/>
      <c r="G96" s="2337"/>
      <c r="H96" s="2337"/>
      <c r="O96" s="1357"/>
      <c r="P96" s="1357"/>
    </row>
    <row r="97" spans="1:16" s="1644" customFormat="1">
      <c r="A97" s="2449"/>
      <c r="D97" s="2337"/>
      <c r="E97" s="2337"/>
      <c r="F97" s="2337"/>
      <c r="G97" s="2337"/>
      <c r="H97" s="2337"/>
      <c r="O97" s="1357"/>
      <c r="P97" s="1357"/>
    </row>
    <row r="98" spans="1:16" s="1644" customFormat="1">
      <c r="A98" s="2449"/>
      <c r="D98" s="2337"/>
      <c r="E98" s="2337"/>
      <c r="F98" s="2337"/>
      <c r="G98" s="2337"/>
      <c r="H98" s="2337"/>
      <c r="O98" s="1357"/>
      <c r="P98" s="1357"/>
    </row>
    <row r="99" spans="1:16" s="1644" customFormat="1">
      <c r="A99" s="2449"/>
      <c r="D99" s="2337"/>
      <c r="E99" s="2337"/>
      <c r="F99" s="2337"/>
      <c r="G99" s="2337"/>
      <c r="H99" s="2337"/>
      <c r="O99" s="1357"/>
      <c r="P99" s="1357"/>
    </row>
    <row r="100" spans="1:16" s="1644" customFormat="1">
      <c r="A100" s="2449"/>
      <c r="D100" s="2337"/>
      <c r="E100" s="2337"/>
      <c r="F100" s="2337"/>
      <c r="G100" s="2337"/>
      <c r="H100" s="2337"/>
      <c r="O100" s="1357"/>
      <c r="P100" s="1357"/>
    </row>
    <row r="101" spans="1:16" s="1644" customFormat="1">
      <c r="A101" s="2449"/>
      <c r="D101" s="2337"/>
      <c r="E101" s="2337"/>
      <c r="F101" s="2337"/>
      <c r="G101" s="2337"/>
      <c r="H101" s="2337"/>
      <c r="O101" s="1357"/>
      <c r="P101" s="1357"/>
    </row>
    <row r="102" spans="1:16" s="1644" customFormat="1">
      <c r="A102" s="2449"/>
      <c r="D102" s="2337"/>
      <c r="E102" s="2337"/>
      <c r="F102" s="2337"/>
      <c r="G102" s="2337"/>
      <c r="H102" s="2337"/>
      <c r="O102" s="1357"/>
      <c r="P102" s="1357"/>
    </row>
    <row r="103" spans="1:16" s="1644" customFormat="1">
      <c r="A103" s="2449"/>
      <c r="D103" s="2337"/>
      <c r="E103" s="2337"/>
      <c r="F103" s="2337"/>
      <c r="G103" s="2337"/>
      <c r="H103" s="2337"/>
      <c r="O103" s="1357"/>
      <c r="P103" s="1357"/>
    </row>
    <row r="104" spans="1:16" s="1644" customFormat="1">
      <c r="A104" s="2449"/>
      <c r="D104" s="2337"/>
      <c r="E104" s="2337"/>
      <c r="F104" s="2337"/>
      <c r="G104" s="2337"/>
      <c r="H104" s="2337"/>
      <c r="O104" s="1357"/>
      <c r="P104" s="1357"/>
    </row>
    <row r="105" spans="1:16" s="1644" customFormat="1">
      <c r="A105" s="2449"/>
      <c r="D105" s="2337"/>
      <c r="E105" s="2337"/>
      <c r="F105" s="2337"/>
      <c r="G105" s="2337"/>
      <c r="H105" s="2337"/>
      <c r="O105" s="1357"/>
      <c r="P105" s="1357"/>
    </row>
    <row r="106" spans="1:16" s="1644" customFormat="1">
      <c r="A106" s="2449"/>
      <c r="D106" s="2337"/>
      <c r="E106" s="2337"/>
      <c r="F106" s="2337"/>
      <c r="G106" s="2337"/>
      <c r="H106" s="2337"/>
      <c r="O106" s="1357"/>
      <c r="P106" s="1357"/>
    </row>
    <row r="107" spans="1:16" s="1644" customFormat="1">
      <c r="A107" s="2449"/>
      <c r="D107" s="2337"/>
      <c r="E107" s="2337"/>
      <c r="F107" s="2337"/>
      <c r="G107" s="2337"/>
      <c r="H107" s="2337"/>
      <c r="O107" s="1357"/>
      <c r="P107" s="1357"/>
    </row>
    <row r="108" spans="1:16" s="1644" customFormat="1">
      <c r="A108" s="2449"/>
      <c r="D108" s="2337"/>
      <c r="E108" s="2337"/>
      <c r="F108" s="2337"/>
      <c r="G108" s="2337"/>
      <c r="H108" s="2337"/>
      <c r="O108" s="1357"/>
      <c r="P108" s="1357"/>
    </row>
    <row r="109" spans="1:16" s="1644" customFormat="1">
      <c r="A109" s="2449"/>
      <c r="D109" s="2337"/>
      <c r="E109" s="2337"/>
      <c r="F109" s="2337"/>
      <c r="G109" s="2337"/>
      <c r="H109" s="2337"/>
      <c r="O109" s="1357"/>
      <c r="P109" s="1357"/>
    </row>
    <row r="110" spans="1:16" s="1644" customFormat="1">
      <c r="A110" s="2449"/>
      <c r="D110" s="2337"/>
      <c r="E110" s="2337"/>
      <c r="F110" s="2337"/>
      <c r="G110" s="2337"/>
      <c r="H110" s="2337"/>
      <c r="O110" s="1357"/>
      <c r="P110" s="1357"/>
    </row>
    <row r="111" spans="1:16" s="1644" customFormat="1">
      <c r="A111" s="2449"/>
      <c r="D111" s="2337"/>
      <c r="E111" s="2337"/>
      <c r="F111" s="2337"/>
      <c r="G111" s="2337"/>
      <c r="H111" s="2337"/>
      <c r="O111" s="1357"/>
      <c r="P111" s="1357"/>
    </row>
    <row r="112" spans="1:16" s="1644" customFormat="1">
      <c r="A112" s="2449"/>
      <c r="D112" s="2337"/>
      <c r="E112" s="2337"/>
      <c r="F112" s="2337"/>
      <c r="G112" s="2337"/>
      <c r="H112" s="2337"/>
      <c r="O112" s="1357"/>
      <c r="P112" s="1357"/>
    </row>
    <row r="113" spans="1:16" s="1644" customFormat="1">
      <c r="A113" s="2449"/>
      <c r="D113" s="2337"/>
      <c r="E113" s="2337"/>
      <c r="F113" s="2337"/>
      <c r="G113" s="2337"/>
      <c r="H113" s="2337"/>
      <c r="O113" s="1357"/>
      <c r="P113" s="1357"/>
    </row>
    <row r="114" spans="1:16" s="1644" customFormat="1">
      <c r="A114" s="2449"/>
      <c r="D114" s="2337"/>
      <c r="E114" s="2337"/>
      <c r="F114" s="2337"/>
      <c r="G114" s="2337"/>
      <c r="H114" s="2337"/>
      <c r="O114" s="1357"/>
      <c r="P114" s="1357"/>
    </row>
    <row r="115" spans="1:16" s="1644" customFormat="1">
      <c r="A115" s="2449"/>
      <c r="D115" s="2337"/>
      <c r="E115" s="2337"/>
      <c r="F115" s="2337"/>
      <c r="G115" s="2337"/>
      <c r="H115" s="2337"/>
      <c r="O115" s="1357"/>
      <c r="P115" s="1357"/>
    </row>
    <row r="116" spans="1:16" s="1644" customFormat="1">
      <c r="A116" s="2449"/>
      <c r="D116" s="2337"/>
      <c r="E116" s="2337"/>
      <c r="F116" s="2337"/>
      <c r="G116" s="2337"/>
      <c r="H116" s="2337"/>
      <c r="O116" s="1357"/>
      <c r="P116" s="1357"/>
    </row>
    <row r="117" spans="1:16" s="1644" customFormat="1">
      <c r="A117" s="2449"/>
      <c r="D117" s="2337"/>
      <c r="E117" s="2337"/>
      <c r="F117" s="2337"/>
      <c r="G117" s="2337"/>
      <c r="H117" s="2337"/>
      <c r="O117" s="1357"/>
      <c r="P117" s="1357"/>
    </row>
    <row r="118" spans="1:16" s="1644" customFormat="1">
      <c r="A118" s="2449"/>
      <c r="D118" s="2337"/>
      <c r="E118" s="2337"/>
      <c r="F118" s="2337"/>
      <c r="G118" s="2337"/>
      <c r="H118" s="2337"/>
      <c r="O118" s="1357"/>
      <c r="P118" s="1357"/>
    </row>
    <row r="119" spans="1:16" s="1644" customFormat="1">
      <c r="A119" s="2449"/>
      <c r="D119" s="2337"/>
      <c r="E119" s="2337"/>
      <c r="F119" s="2337"/>
      <c r="G119" s="2337"/>
      <c r="H119" s="2337"/>
      <c r="O119" s="1357"/>
      <c r="P119" s="1357"/>
    </row>
    <row r="120" spans="1:16" s="1644" customFormat="1">
      <c r="A120" s="2449"/>
      <c r="D120" s="2337"/>
      <c r="E120" s="2337"/>
      <c r="F120" s="2337"/>
      <c r="G120" s="2337"/>
      <c r="H120" s="2337"/>
      <c r="O120" s="1357"/>
      <c r="P120" s="1357"/>
    </row>
    <row r="121" spans="1:16" s="1644" customFormat="1">
      <c r="A121" s="2449"/>
      <c r="D121" s="2337"/>
      <c r="E121" s="2337"/>
      <c r="F121" s="2337"/>
      <c r="G121" s="2337"/>
      <c r="H121" s="2337"/>
      <c r="O121" s="1357"/>
      <c r="P121" s="1357"/>
    </row>
    <row r="122" spans="1:16" s="1644" customFormat="1">
      <c r="A122" s="2449"/>
      <c r="D122" s="2337"/>
      <c r="E122" s="2337"/>
      <c r="F122" s="2337"/>
      <c r="G122" s="2337"/>
      <c r="H122" s="2337"/>
      <c r="O122" s="1357"/>
      <c r="P122" s="1357"/>
    </row>
    <row r="123" spans="1:16" s="1644" customFormat="1">
      <c r="A123" s="2449"/>
      <c r="D123" s="2337"/>
      <c r="E123" s="2337"/>
      <c r="F123" s="2337"/>
      <c r="G123" s="2337"/>
      <c r="H123" s="2337"/>
      <c r="O123" s="1357"/>
      <c r="P123" s="1357"/>
    </row>
    <row r="124" spans="1:16" s="1644" customFormat="1">
      <c r="A124" s="2449"/>
      <c r="D124" s="2337"/>
      <c r="E124" s="2337"/>
      <c r="F124" s="2337"/>
      <c r="G124" s="2337"/>
      <c r="H124" s="2337"/>
      <c r="O124" s="1357"/>
      <c r="P124" s="1357"/>
    </row>
    <row r="125" spans="1:16" s="1644" customFormat="1">
      <c r="A125" s="2449"/>
      <c r="D125" s="2337"/>
      <c r="E125" s="2337"/>
      <c r="F125" s="2337"/>
      <c r="G125" s="2337"/>
      <c r="H125" s="2337"/>
      <c r="O125" s="1357"/>
      <c r="P125" s="1357"/>
    </row>
    <row r="126" spans="1:16" s="1644" customFormat="1">
      <c r="A126" s="2449"/>
      <c r="D126" s="2337"/>
      <c r="E126" s="2337"/>
      <c r="F126" s="2337"/>
      <c r="G126" s="2337"/>
      <c r="H126" s="2337"/>
      <c r="O126" s="1357"/>
      <c r="P126" s="1357"/>
    </row>
    <row r="127" spans="1:16" s="1644" customFormat="1">
      <c r="A127" s="2449"/>
      <c r="D127" s="2337"/>
      <c r="E127" s="2337"/>
      <c r="F127" s="2337"/>
      <c r="G127" s="2337"/>
      <c r="H127" s="2337"/>
      <c r="O127" s="1357"/>
      <c r="P127" s="1357"/>
    </row>
    <row r="128" spans="1:16" s="1644" customFormat="1">
      <c r="A128" s="2449"/>
      <c r="D128" s="2337"/>
      <c r="E128" s="2337"/>
      <c r="F128" s="2337"/>
      <c r="G128" s="2337"/>
      <c r="H128" s="2337"/>
      <c r="O128" s="1357"/>
      <c r="P128" s="1357"/>
    </row>
    <row r="129" spans="1:16" s="1644" customFormat="1">
      <c r="A129" s="2449"/>
      <c r="D129" s="2337"/>
      <c r="E129" s="2337"/>
      <c r="F129" s="2337"/>
      <c r="G129" s="2337"/>
      <c r="H129" s="2337"/>
      <c r="O129" s="1357"/>
      <c r="P129" s="1357"/>
    </row>
    <row r="130" spans="1:16" s="1644" customFormat="1">
      <c r="A130" s="2449"/>
      <c r="D130" s="2337"/>
      <c r="E130" s="2337"/>
      <c r="F130" s="2337"/>
      <c r="G130" s="2337"/>
      <c r="H130" s="2337"/>
      <c r="O130" s="1357"/>
      <c r="P130" s="1357"/>
    </row>
    <row r="131" spans="1:16" s="1644" customFormat="1">
      <c r="A131" s="2449"/>
      <c r="D131" s="2337"/>
      <c r="E131" s="2337"/>
      <c r="F131" s="2337"/>
      <c r="G131" s="2337"/>
      <c r="H131" s="2337"/>
      <c r="O131" s="1357"/>
      <c r="P131" s="1357"/>
    </row>
    <row r="132" spans="1:16" s="1644" customFormat="1">
      <c r="A132" s="2449"/>
      <c r="D132" s="2337"/>
      <c r="E132" s="2337"/>
      <c r="F132" s="2337"/>
      <c r="G132" s="2337"/>
      <c r="H132" s="2337"/>
      <c r="O132" s="1357"/>
      <c r="P132" s="1357"/>
    </row>
    <row r="133" spans="1:16" s="1644" customFormat="1">
      <c r="A133" s="2449"/>
      <c r="D133" s="2337"/>
      <c r="E133" s="2337"/>
      <c r="F133" s="2337"/>
      <c r="G133" s="2337"/>
      <c r="H133" s="2337"/>
      <c r="O133" s="1357"/>
      <c r="P133" s="1357"/>
    </row>
    <row r="134" spans="1:16" s="1644" customFormat="1">
      <c r="A134" s="2449"/>
      <c r="D134" s="2337"/>
      <c r="E134" s="2337"/>
      <c r="F134" s="2337"/>
      <c r="G134" s="2337"/>
      <c r="H134" s="2337"/>
      <c r="O134" s="1357"/>
      <c r="P134" s="1357"/>
    </row>
    <row r="135" spans="1:16" s="1644" customFormat="1">
      <c r="A135" s="2449"/>
      <c r="D135" s="2337"/>
      <c r="E135" s="2337"/>
      <c r="F135" s="2337"/>
      <c r="G135" s="2337"/>
      <c r="H135" s="2337"/>
      <c r="O135" s="1357"/>
      <c r="P135" s="1357"/>
    </row>
    <row r="136" spans="1:16" s="1644" customFormat="1">
      <c r="A136" s="2449"/>
      <c r="D136" s="2337"/>
      <c r="E136" s="2337"/>
      <c r="F136" s="2337"/>
      <c r="G136" s="2337"/>
      <c r="H136" s="2337"/>
      <c r="O136" s="1357"/>
      <c r="P136" s="1357"/>
    </row>
    <row r="137" spans="1:16" s="1644" customFormat="1">
      <c r="A137" s="2449"/>
      <c r="D137" s="2337"/>
      <c r="E137" s="2337"/>
      <c r="F137" s="2337"/>
      <c r="G137" s="2337"/>
      <c r="H137" s="2337"/>
      <c r="O137" s="1357"/>
      <c r="P137" s="1357"/>
    </row>
    <row r="138" spans="1:16" s="1644" customFormat="1">
      <c r="A138" s="2449"/>
      <c r="D138" s="2337"/>
      <c r="E138" s="2337"/>
      <c r="F138" s="2337"/>
      <c r="G138" s="2337"/>
      <c r="H138" s="2337"/>
      <c r="O138" s="1357"/>
      <c r="P138" s="1357"/>
    </row>
    <row r="139" spans="1:16" s="1644" customFormat="1">
      <c r="A139" s="2449"/>
      <c r="D139" s="2337"/>
      <c r="E139" s="2337"/>
      <c r="F139" s="2337"/>
      <c r="G139" s="2337"/>
      <c r="H139" s="2337"/>
      <c r="O139" s="1357"/>
      <c r="P139" s="1357"/>
    </row>
    <row r="140" spans="1:16" s="1644" customFormat="1">
      <c r="A140" s="2449"/>
      <c r="D140" s="2337"/>
      <c r="E140" s="2337"/>
      <c r="F140" s="2337"/>
      <c r="G140" s="2337"/>
      <c r="H140" s="2337"/>
      <c r="O140" s="1357"/>
      <c r="P140" s="1357"/>
    </row>
    <row r="141" spans="1:16" s="1644" customFormat="1">
      <c r="A141" s="2449"/>
      <c r="D141" s="2337"/>
      <c r="E141" s="2337"/>
      <c r="F141" s="2337"/>
      <c r="G141" s="2337"/>
      <c r="H141" s="2337"/>
      <c r="O141" s="1357"/>
      <c r="P141" s="1357"/>
    </row>
    <row r="142" spans="1:16" s="1644" customFormat="1">
      <c r="A142" s="2449"/>
      <c r="D142" s="2337"/>
      <c r="E142" s="2337"/>
      <c r="F142" s="2337"/>
      <c r="G142" s="2337"/>
      <c r="H142" s="2337"/>
      <c r="O142" s="1357"/>
      <c r="P142" s="1357"/>
    </row>
    <row r="143" spans="1:16" s="1644" customFormat="1">
      <c r="A143" s="2449"/>
      <c r="D143" s="2337"/>
      <c r="E143" s="2337"/>
      <c r="F143" s="2337"/>
      <c r="G143" s="2337"/>
      <c r="H143" s="2337"/>
      <c r="O143" s="1357"/>
      <c r="P143" s="1357"/>
    </row>
    <row r="144" spans="1:16" s="1644" customFormat="1">
      <c r="A144" s="2449"/>
      <c r="D144" s="2337"/>
      <c r="E144" s="2337"/>
      <c r="F144" s="2337"/>
      <c r="G144" s="2337"/>
      <c r="H144" s="2337"/>
      <c r="O144" s="1357"/>
      <c r="P144" s="1357"/>
    </row>
    <row r="145" spans="1:16" s="1644" customFormat="1">
      <c r="A145" s="2449"/>
      <c r="D145" s="2337"/>
      <c r="E145" s="2337"/>
      <c r="F145" s="2337"/>
      <c r="G145" s="2337"/>
      <c r="H145" s="2337"/>
      <c r="O145" s="1357"/>
      <c r="P145" s="1357"/>
    </row>
    <row r="146" spans="1:16" s="1644" customFormat="1">
      <c r="A146" s="2449"/>
      <c r="D146" s="2337"/>
      <c r="E146" s="2337"/>
      <c r="F146" s="2337"/>
      <c r="G146" s="2337"/>
      <c r="H146" s="2337"/>
      <c r="O146" s="1357"/>
      <c r="P146" s="1357"/>
    </row>
    <row r="147" spans="1:16" s="1644" customFormat="1">
      <c r="A147" s="2449"/>
      <c r="D147" s="2337"/>
      <c r="E147" s="2337"/>
      <c r="F147" s="2337"/>
      <c r="G147" s="2337"/>
      <c r="H147" s="2337"/>
      <c r="O147" s="1357"/>
      <c r="P147" s="1357"/>
    </row>
    <row r="148" spans="1:16" s="1644" customFormat="1">
      <c r="A148" s="2449"/>
      <c r="D148" s="2337"/>
      <c r="E148" s="2337"/>
      <c r="F148" s="2337"/>
      <c r="G148" s="2337"/>
      <c r="H148" s="2337"/>
      <c r="O148" s="1357"/>
      <c r="P148" s="1357"/>
    </row>
    <row r="149" spans="1:16" s="1644" customFormat="1">
      <c r="A149" s="2449"/>
      <c r="D149" s="2337"/>
      <c r="E149" s="2337"/>
      <c r="F149" s="2337"/>
      <c r="G149" s="2337"/>
      <c r="H149" s="2337"/>
      <c r="O149" s="1357"/>
      <c r="P149" s="1357"/>
    </row>
    <row r="150" spans="1:16" s="1644" customFormat="1">
      <c r="A150" s="2449"/>
      <c r="D150" s="2337"/>
      <c r="E150" s="2337"/>
      <c r="F150" s="2337"/>
      <c r="G150" s="2337"/>
      <c r="H150" s="2337"/>
      <c r="O150" s="1357"/>
      <c r="P150" s="1357"/>
    </row>
    <row r="151" spans="1:16" s="1644" customFormat="1">
      <c r="A151" s="2449"/>
      <c r="D151" s="2337"/>
      <c r="E151" s="2337"/>
      <c r="F151" s="2337"/>
      <c r="G151" s="2337"/>
      <c r="H151" s="2337"/>
      <c r="O151" s="1357"/>
      <c r="P151" s="1357"/>
    </row>
    <row r="152" spans="1:16" s="1644" customFormat="1">
      <c r="A152" s="2449"/>
      <c r="D152" s="2337"/>
      <c r="E152" s="2337"/>
      <c r="F152" s="2337"/>
      <c r="G152" s="2337"/>
      <c r="H152" s="2337"/>
      <c r="O152" s="1357"/>
      <c r="P152" s="1357"/>
    </row>
    <row r="153" spans="1:16" s="1644" customFormat="1">
      <c r="A153" s="2334"/>
      <c r="B153" s="2335"/>
      <c r="D153" s="2337"/>
      <c r="E153" s="2337"/>
      <c r="F153" s="2337"/>
      <c r="G153" s="2337"/>
      <c r="H153" s="2337"/>
      <c r="O153" s="1357"/>
      <c r="P153" s="1357"/>
    </row>
    <row r="154" spans="1:16" s="1644" customFormat="1">
      <c r="A154" s="2334"/>
      <c r="B154" s="2335"/>
      <c r="D154" s="2337"/>
      <c r="E154" s="2337"/>
      <c r="F154" s="2337"/>
      <c r="G154" s="2337"/>
      <c r="H154" s="2337"/>
      <c r="O154" s="1357"/>
      <c r="P154" s="1357"/>
    </row>
    <row r="155" spans="1:16">
      <c r="D155" s="2337"/>
      <c r="E155" s="2337"/>
    </row>
  </sheetData>
  <sheetProtection password="C66D" sheet="1" objects="1" scenarios="1" formatCells="0" formatColumns="0" formatRows="0"/>
  <mergeCells count="1">
    <mergeCell ref="D2:D4"/>
  </mergeCells>
  <phoneticPr fontId="205" type="noConversion"/>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28">
      <formula1>"无租约,租赁期内按合同租金,有租约不采用"</formula1>
    </dataValidation>
    <dataValidation type="list" allowBlank="1" showInputMessage="1" showErrorMessage="1" sqref="E41">
      <formula1>城镇土地纳税等级分级范围</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showInputMessage="1" showErrorMessage="1" sqref="B42">
      <formula1>"365,12,1"</formula1>
    </dataValidation>
  </dataValidations>
  <pageMargins left="0.70866141732283505" right="0.70866141732283505" top="0.74803149606299202" bottom="0.74803149606299202" header="0.31496062992126" footer="0.31496062992126"/>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sqref="A1:G1"/>
    </sheetView>
  </sheetViews>
  <sheetFormatPr defaultColWidth="9" defaultRowHeight="14.25"/>
  <cols>
    <col min="1" max="1" width="9.5" style="2271" customWidth="1"/>
    <col min="2" max="2" width="24.5" style="2272" customWidth="1"/>
    <col min="3" max="3" width="24.5" style="2273" customWidth="1"/>
    <col min="4" max="4" width="2.625" style="2273" customWidth="1"/>
    <col min="5" max="5" width="5.875" style="2273" customWidth="1"/>
    <col min="6" max="6" width="27" style="2272" customWidth="1"/>
    <col min="7" max="7" width="27" style="2274" customWidth="1"/>
    <col min="8" max="8" width="11.875" style="2275" customWidth="1"/>
    <col min="9" max="9" width="16.75" style="2276" customWidth="1"/>
    <col min="10" max="10" width="2.625" style="2275" customWidth="1"/>
    <col min="11" max="11" width="11.875" style="2275" customWidth="1"/>
    <col min="12" max="12" width="16.75" style="2276" customWidth="1"/>
    <col min="13" max="13" width="2.625" style="2275" customWidth="1"/>
    <col min="14" max="14" width="11.875" style="2275" customWidth="1"/>
    <col min="15" max="15" width="16.75" style="2276" customWidth="1"/>
    <col min="16" max="16" width="2.625" style="2275" customWidth="1"/>
    <col min="17" max="17" width="11.875" style="2275" customWidth="1"/>
    <col min="18" max="18" width="16.75" style="2277" customWidth="1"/>
    <col min="19" max="29" width="9" style="2270"/>
    <col min="30" max="16384" width="9" style="2271"/>
  </cols>
  <sheetData>
    <row r="1" spans="1:29" s="2269" customFormat="1" ht="18.75">
      <c r="A1" s="2837" t="s">
        <v>557</v>
      </c>
      <c r="B1" s="2838"/>
      <c r="C1" s="2838"/>
      <c r="D1" s="2838"/>
      <c r="E1" s="2838"/>
      <c r="F1" s="2838"/>
      <c r="G1" s="2838"/>
      <c r="H1" s="2278"/>
      <c r="I1" s="2321"/>
      <c r="J1" s="2278"/>
      <c r="K1" s="2278"/>
      <c r="L1" s="2321"/>
      <c r="M1" s="2278"/>
      <c r="N1" s="2278"/>
      <c r="O1" s="2321"/>
      <c r="P1" s="2278"/>
      <c r="Q1" s="2328"/>
      <c r="R1" s="2329"/>
      <c r="S1" s="2330"/>
      <c r="T1" s="2330"/>
      <c r="U1" s="2330"/>
      <c r="V1" s="2330"/>
      <c r="W1" s="2330"/>
      <c r="X1" s="2330"/>
      <c r="Y1" s="2330"/>
      <c r="Z1" s="2330"/>
      <c r="AA1" s="2330"/>
      <c r="AB1" s="2330"/>
      <c r="AC1" s="2330"/>
    </row>
    <row r="2" spans="1:29" ht="15">
      <c r="A2" s="2279"/>
      <c r="B2" s="2280"/>
      <c r="C2" s="2281" t="s">
        <v>558</v>
      </c>
      <c r="D2" s="2282"/>
      <c r="E2" s="2283"/>
      <c r="F2" s="2284"/>
      <c r="G2" s="2281" t="s">
        <v>559</v>
      </c>
      <c r="H2" s="2270"/>
      <c r="I2" s="2270"/>
      <c r="J2" s="2270"/>
      <c r="K2" s="2270"/>
      <c r="L2" s="2270"/>
      <c r="M2" s="2270"/>
      <c r="N2" s="2270"/>
      <c r="O2" s="2270"/>
      <c r="P2" s="2270"/>
      <c r="Q2" s="2270"/>
      <c r="R2" s="2270"/>
    </row>
    <row r="3" spans="1:29" ht="54">
      <c r="A3" s="736" t="s">
        <v>560</v>
      </c>
      <c r="B3" s="2285" t="s">
        <v>207</v>
      </c>
      <c r="C3" s="2286" t="s">
        <v>561</v>
      </c>
      <c r="D3" s="2287"/>
      <c r="E3" s="747" t="s">
        <v>560</v>
      </c>
      <c r="F3" s="2288" t="s">
        <v>210</v>
      </c>
      <c r="G3" s="2289" t="s">
        <v>562</v>
      </c>
      <c r="H3" s="2270"/>
      <c r="I3" s="2270"/>
      <c r="J3" s="2270"/>
      <c r="K3" s="2270"/>
      <c r="L3" s="2270"/>
      <c r="M3" s="2270"/>
      <c r="N3" s="2270"/>
      <c r="O3" s="2270"/>
      <c r="P3" s="2270"/>
      <c r="Q3" s="2270"/>
      <c r="R3" s="2270"/>
    </row>
    <row r="4" spans="1:29" ht="41.25">
      <c r="A4" s="747"/>
      <c r="B4" s="903" t="s">
        <v>208</v>
      </c>
      <c r="C4" s="2290" t="s">
        <v>563</v>
      </c>
      <c r="D4" s="2287"/>
      <c r="E4" s="2291"/>
      <c r="F4" s="2201" t="s">
        <v>211</v>
      </c>
      <c r="G4" s="2292" t="s">
        <v>564</v>
      </c>
      <c r="H4" s="2270"/>
      <c r="I4" s="2270"/>
      <c r="J4" s="2270"/>
      <c r="K4" s="2270"/>
      <c r="L4" s="2270"/>
      <c r="M4" s="2270"/>
      <c r="N4" s="2270"/>
      <c r="O4" s="2270"/>
      <c r="P4" s="2270"/>
      <c r="Q4" s="2270"/>
      <c r="R4" s="2270"/>
    </row>
    <row r="5" spans="1:29" ht="41.25">
      <c r="A5" s="747"/>
      <c r="B5" s="903" t="s">
        <v>209</v>
      </c>
      <c r="C5" s="2290" t="s">
        <v>565</v>
      </c>
      <c r="D5" s="2287"/>
      <c r="E5" s="2291"/>
      <c r="F5" s="903" t="s">
        <v>213</v>
      </c>
      <c r="G5" s="2292" t="s">
        <v>566</v>
      </c>
      <c r="H5" s="2270"/>
      <c r="I5" s="2270"/>
      <c r="J5" s="2270"/>
      <c r="K5" s="2270"/>
      <c r="L5" s="2270"/>
      <c r="M5" s="2270"/>
      <c r="N5" s="2270"/>
      <c r="O5" s="2270"/>
      <c r="P5" s="2270"/>
      <c r="Q5" s="2270"/>
      <c r="R5" s="2270"/>
    </row>
    <row r="6" spans="1:29" ht="54">
      <c r="A6" s="747"/>
      <c r="B6" s="903" t="s">
        <v>211</v>
      </c>
      <c r="C6" s="2292" t="s">
        <v>564</v>
      </c>
      <c r="D6" s="2287"/>
      <c r="E6" s="2291"/>
      <c r="F6" s="903" t="s">
        <v>214</v>
      </c>
      <c r="G6" s="2292" t="s">
        <v>567</v>
      </c>
      <c r="H6" s="2270"/>
      <c r="I6" s="2270"/>
      <c r="J6" s="2270"/>
      <c r="K6" s="2270"/>
      <c r="L6" s="2270"/>
      <c r="M6" s="2270"/>
      <c r="N6" s="2270"/>
      <c r="O6" s="2270"/>
      <c r="P6" s="2270"/>
      <c r="Q6" s="2270"/>
      <c r="R6" s="2270"/>
    </row>
    <row r="7" spans="1:29" ht="40.5">
      <c r="A7" s="747"/>
      <c r="B7" s="903" t="s">
        <v>213</v>
      </c>
      <c r="C7" s="2292" t="s">
        <v>566</v>
      </c>
      <c r="D7" s="2293"/>
      <c r="E7" s="2294"/>
      <c r="F7" s="2295" t="s">
        <v>568</v>
      </c>
      <c r="G7" s="2296" t="s">
        <v>569</v>
      </c>
      <c r="H7" s="2270"/>
      <c r="I7" s="2270"/>
      <c r="J7" s="2270"/>
      <c r="K7" s="2270"/>
      <c r="L7" s="2270"/>
      <c r="M7" s="2270"/>
      <c r="N7" s="2270"/>
      <c r="O7" s="2270"/>
      <c r="P7" s="2270"/>
      <c r="Q7" s="2270"/>
      <c r="R7" s="2270"/>
    </row>
    <row r="8" spans="1:29" ht="27">
      <c r="A8" s="747"/>
      <c r="B8" s="903" t="s">
        <v>214</v>
      </c>
      <c r="C8" s="2292" t="s">
        <v>567</v>
      </c>
      <c r="D8" s="2293"/>
      <c r="E8" s="2293"/>
      <c r="F8" s="864"/>
      <c r="G8" s="864"/>
      <c r="H8" s="2270"/>
      <c r="I8" s="2270"/>
      <c r="J8" s="2270"/>
      <c r="K8" s="2270"/>
      <c r="L8" s="2270"/>
      <c r="M8" s="2270"/>
      <c r="N8" s="2270"/>
      <c r="O8" s="2270"/>
      <c r="P8" s="2270"/>
      <c r="Q8" s="2270"/>
      <c r="R8" s="2270"/>
    </row>
    <row r="9" spans="1:29" ht="27">
      <c r="A9" s="747"/>
      <c r="B9" s="903" t="s">
        <v>570</v>
      </c>
      <c r="C9" s="2290" t="s">
        <v>571</v>
      </c>
      <c r="D9" s="2287"/>
      <c r="E9" s="2293"/>
      <c r="F9" s="864"/>
      <c r="G9" s="864"/>
      <c r="H9" s="2270"/>
      <c r="I9" s="2270"/>
      <c r="J9" s="2270"/>
      <c r="K9" s="2270"/>
      <c r="L9" s="2270"/>
      <c r="M9" s="2270"/>
      <c r="N9" s="2270"/>
      <c r="O9" s="2270"/>
      <c r="P9" s="2270"/>
      <c r="Q9" s="2270"/>
      <c r="R9" s="2270"/>
    </row>
    <row r="10" spans="1:29" s="703" customFormat="1" ht="15">
      <c r="A10" s="2297"/>
      <c r="B10" s="2214" t="s">
        <v>572</v>
      </c>
      <c r="C10" s="2298"/>
      <c r="D10" s="2287"/>
      <c r="E10" s="2287"/>
      <c r="F10" s="864"/>
      <c r="G10" s="864"/>
      <c r="H10" s="2299"/>
      <c r="I10" s="2322"/>
      <c r="J10" s="2323"/>
      <c r="K10" s="2299"/>
      <c r="L10" s="2322"/>
      <c r="M10" s="2323"/>
      <c r="N10" s="2299"/>
      <c r="O10" s="2322"/>
      <c r="P10" s="2323"/>
      <c r="Q10" s="2299"/>
      <c r="R10" s="2322"/>
      <c r="S10" s="2270"/>
      <c r="T10" s="2270"/>
      <c r="U10" s="2270"/>
      <c r="V10" s="2270"/>
      <c r="W10" s="2270"/>
      <c r="X10" s="2270"/>
      <c r="Y10" s="2270"/>
      <c r="Z10" s="2270"/>
      <c r="AA10" s="2270"/>
      <c r="AB10" s="2270"/>
      <c r="AC10" s="2270"/>
    </row>
    <row r="11" spans="1:29" s="703" customFormat="1" ht="15">
      <c r="A11" s="2300"/>
      <c r="B11" s="2293"/>
      <c r="C11" s="2287"/>
      <c r="D11" s="2287"/>
      <c r="E11" s="2287"/>
      <c r="F11" s="2293"/>
      <c r="G11" s="980"/>
      <c r="H11" s="2299"/>
      <c r="I11" s="2322"/>
      <c r="J11" s="2323"/>
      <c r="K11" s="2299"/>
      <c r="L11" s="2322"/>
      <c r="M11" s="2323"/>
      <c r="N11" s="2299"/>
      <c r="O11" s="2322"/>
      <c r="P11" s="2323"/>
      <c r="Q11" s="2299"/>
      <c r="R11" s="2322"/>
      <c r="S11" s="2270"/>
      <c r="T11" s="2270"/>
      <c r="U11" s="2270"/>
      <c r="V11" s="2270"/>
      <c r="W11" s="2270"/>
      <c r="X11" s="2270"/>
      <c r="Y11" s="2270"/>
      <c r="Z11" s="2270"/>
      <c r="AA11" s="2270"/>
      <c r="AB11" s="2270"/>
      <c r="AC11" s="2270"/>
    </row>
    <row r="12" spans="1:29" s="2269" customFormat="1" ht="18">
      <c r="A12" s="2300"/>
      <c r="B12" s="2293"/>
      <c r="C12" s="2287"/>
      <c r="D12" s="2301"/>
      <c r="E12" s="2287"/>
      <c r="F12" s="2293"/>
      <c r="G12" s="980"/>
      <c r="H12" s="2302"/>
      <c r="I12" s="2324"/>
      <c r="J12" s="2302"/>
      <c r="K12" s="2302"/>
      <c r="L12" s="2325"/>
      <c r="M12" s="2302"/>
      <c r="N12" s="2326"/>
      <c r="O12" s="2327"/>
      <c r="P12" s="2326"/>
      <c r="Q12" s="2326"/>
      <c r="R12" s="2329"/>
      <c r="S12" s="2330"/>
      <c r="T12" s="2330"/>
      <c r="U12" s="2330"/>
      <c r="V12" s="2330"/>
      <c r="W12" s="2330"/>
      <c r="X12" s="2330"/>
      <c r="Y12" s="2330"/>
      <c r="Z12" s="2330"/>
      <c r="AA12" s="2330"/>
      <c r="AB12" s="2330"/>
      <c r="AC12" s="2330"/>
    </row>
    <row r="13" spans="1:29" ht="18.75">
      <c r="A13" s="2303" t="s">
        <v>573</v>
      </c>
      <c r="B13" s="2301"/>
      <c r="C13" s="2301"/>
      <c r="D13" s="2282"/>
      <c r="E13" s="2301"/>
      <c r="F13" s="2301"/>
      <c r="G13" s="2301"/>
    </row>
    <row r="14" spans="1:29" ht="15">
      <c r="A14" s="2304"/>
      <c r="B14" s="2305"/>
      <c r="C14" s="2306" t="s">
        <v>558</v>
      </c>
      <c r="D14" s="2287"/>
      <c r="E14" s="2307"/>
      <c r="F14" s="2307"/>
      <c r="G14" s="2281" t="s">
        <v>559</v>
      </c>
    </row>
    <row r="15" spans="1:29" ht="57">
      <c r="A15" s="1161" t="s">
        <v>560</v>
      </c>
      <c r="B15" s="2308" t="s">
        <v>207</v>
      </c>
      <c r="C15" s="2309" t="str">
        <f>C3</f>
        <v>估价对象周边居住用地比例、居住小区规模和社区发展完善程度，综合评价居住社区成熟度一般</v>
      </c>
      <c r="D15" s="2287"/>
      <c r="E15" s="2310" t="s">
        <v>560</v>
      </c>
      <c r="F15" s="2308" t="s">
        <v>210</v>
      </c>
      <c r="G15" s="739" t="str">
        <f>G3</f>
        <v>估价对象位于XX开发区，园区建设成熟度XX，产业集聚程度XX</v>
      </c>
    </row>
    <row r="16" spans="1:29" ht="42.75">
      <c r="A16" s="1168"/>
      <c r="B16" s="1050" t="s">
        <v>208</v>
      </c>
      <c r="C16" s="2311" t="str">
        <f>C4</f>
        <v>估价对象位于XX商圈，周边商业氛围成熟，人流量大，商业繁华度好</v>
      </c>
      <c r="D16" s="2287"/>
      <c r="E16" s="2312"/>
      <c r="F16" s="2199" t="s">
        <v>211</v>
      </c>
      <c r="G16" s="743" t="str">
        <f>G4</f>
        <v>估价对象周边道路状况、公共交通通达情况、停车便捷程度，综合评价交通便捷度较好</v>
      </c>
    </row>
    <row r="17" spans="1:18" ht="42.75">
      <c r="A17" s="1168"/>
      <c r="B17" s="1050" t="s">
        <v>209</v>
      </c>
      <c r="C17" s="2311" t="str">
        <f>C5</f>
        <v>估价对象位于XX商圈，周边办公楼项目较多，入驻率高，办公集聚程度较好</v>
      </c>
      <c r="D17" s="2293"/>
      <c r="E17" s="2312"/>
      <c r="F17" s="2199" t="s">
        <v>212</v>
      </c>
      <c r="G17" s="2313"/>
    </row>
    <row r="18" spans="1:18" ht="57">
      <c r="A18" s="1168"/>
      <c r="B18" s="2199" t="s">
        <v>211</v>
      </c>
      <c r="C18" s="743" t="str">
        <f>C6</f>
        <v>估价对象周边道路状况、公共交通通达情况、停车便捷程度，综合评价交通便捷度较好</v>
      </c>
      <c r="D18" s="2293"/>
      <c r="E18" s="2312"/>
      <c r="F18" s="2199" t="s">
        <v>568</v>
      </c>
      <c r="G18" s="743" t="str">
        <f>G7</f>
        <v>该园区内是否有污染型企业，绿化情况，卫生条件，整体环境状况判断</v>
      </c>
    </row>
    <row r="19" spans="1:18" ht="28.5">
      <c r="A19" s="1168"/>
      <c r="B19" s="2199" t="s">
        <v>212</v>
      </c>
      <c r="C19" s="2313"/>
      <c r="D19" s="2287"/>
      <c r="E19" s="2312"/>
      <c r="F19" s="903" t="s">
        <v>213</v>
      </c>
      <c r="G19" s="743" t="str">
        <f>G5</f>
        <v>估价对象所在区域公共配套设施齐备情况</v>
      </c>
    </row>
    <row r="20" spans="1:18" ht="28.5">
      <c r="A20" s="1168"/>
      <c r="B20" s="2199" t="s">
        <v>574</v>
      </c>
      <c r="C20" s="2311" t="str">
        <f>C9</f>
        <v>区域自然环境：；人文环境；综合评价环境状况一般</v>
      </c>
      <c r="D20" s="2293"/>
      <c r="E20" s="2312"/>
      <c r="F20" s="903" t="s">
        <v>214</v>
      </c>
      <c r="G20" s="743" t="str">
        <f>G6</f>
        <v>估价对象所在区域基础设施水平</v>
      </c>
    </row>
    <row r="21" spans="1:18" ht="28.5">
      <c r="A21" s="1168"/>
      <c r="B21" s="903" t="s">
        <v>213</v>
      </c>
      <c r="C21" s="743" t="str">
        <f>C7</f>
        <v>估价对象所在区域公共配套设施齐备情况</v>
      </c>
      <c r="D21" s="2287"/>
      <c r="E21" s="2312"/>
      <c r="F21" s="2199" t="s">
        <v>216</v>
      </c>
      <c r="G21" s="2314"/>
    </row>
    <row r="22" spans="1:18" ht="28.5">
      <c r="A22" s="1168"/>
      <c r="B22" s="903" t="s">
        <v>214</v>
      </c>
      <c r="C22" s="743" t="str">
        <f>C8</f>
        <v>估价对象所在区域基础设施水平</v>
      </c>
      <c r="D22" s="2287"/>
      <c r="E22" s="2312"/>
      <c r="F22" s="2199" t="s">
        <v>572</v>
      </c>
      <c r="G22" s="2315"/>
    </row>
    <row r="23" spans="1:18" s="2270" customFormat="1" ht="15">
      <c r="A23" s="1168"/>
      <c r="B23" s="2199" t="s">
        <v>216</v>
      </c>
      <c r="C23" s="2314"/>
      <c r="D23" s="2275"/>
      <c r="E23" s="2316"/>
      <c r="F23" s="2213" t="s">
        <v>575</v>
      </c>
      <c r="G23" s="2317"/>
      <c r="H23" s="2275"/>
      <c r="I23" s="2276"/>
      <c r="J23" s="2275"/>
      <c r="K23" s="2275"/>
      <c r="L23" s="2276"/>
      <c r="M23" s="2275"/>
      <c r="N23" s="2275"/>
      <c r="O23" s="2276"/>
      <c r="P23" s="2275"/>
      <c r="Q23" s="2275"/>
      <c r="R23" s="2277"/>
    </row>
    <row r="24" spans="1:18" s="2270" customFormat="1" ht="15">
      <c r="A24" s="2318"/>
      <c r="B24" s="2213" t="s">
        <v>572</v>
      </c>
      <c r="C24" s="790">
        <f>C10</f>
        <v>0</v>
      </c>
      <c r="D24" s="2275"/>
      <c r="E24" s="2319"/>
      <c r="F24" s="2319"/>
      <c r="G24" s="2320"/>
      <c r="H24" s="2275"/>
      <c r="I24" s="2276"/>
      <c r="J24" s="2275"/>
      <c r="K24" s="2275"/>
      <c r="L24" s="2276"/>
      <c r="M24" s="2275"/>
      <c r="N24" s="2275"/>
      <c r="O24" s="2276"/>
      <c r="P24" s="2275"/>
      <c r="Q24" s="2275"/>
      <c r="R24" s="2277"/>
    </row>
    <row r="25" spans="1:18" s="2270" customFormat="1">
      <c r="B25" s="2275"/>
      <c r="C25" s="2275"/>
      <c r="D25" s="2275"/>
      <c r="H25" s="2275"/>
      <c r="I25" s="2276"/>
      <c r="J25" s="2275"/>
      <c r="K25" s="2275"/>
      <c r="L25" s="2276"/>
      <c r="M25" s="2275"/>
      <c r="N25" s="2275"/>
      <c r="O25" s="2276"/>
      <c r="P25" s="2275"/>
      <c r="Q25" s="2275"/>
      <c r="R25" s="2277"/>
    </row>
    <row r="26" spans="1:18" s="2270" customFormat="1">
      <c r="B26" s="2275"/>
      <c r="C26" s="2275"/>
      <c r="D26" s="2275"/>
      <c r="H26" s="2275"/>
      <c r="I26" s="2276"/>
      <c r="J26" s="2275"/>
      <c r="K26" s="2275"/>
      <c r="L26" s="2276"/>
      <c r="M26" s="2275"/>
      <c r="N26" s="2275"/>
      <c r="O26" s="2276"/>
      <c r="P26" s="2275"/>
      <c r="Q26" s="2275"/>
      <c r="R26" s="2277"/>
    </row>
    <row r="27" spans="1:18" s="2270" customFormat="1">
      <c r="B27" s="2275"/>
      <c r="C27" s="2275"/>
      <c r="D27" s="2275"/>
      <c r="H27" s="2275"/>
      <c r="I27" s="2276"/>
      <c r="J27" s="2275"/>
      <c r="K27" s="2275"/>
      <c r="L27" s="2276"/>
      <c r="M27" s="2275"/>
      <c r="N27" s="2275"/>
      <c r="O27" s="2276"/>
      <c r="P27" s="2275"/>
      <c r="Q27" s="2275"/>
      <c r="R27" s="2277"/>
    </row>
    <row r="28" spans="1:18" s="2270" customFormat="1">
      <c r="B28" s="2275"/>
      <c r="C28" s="2275"/>
      <c r="D28" s="2275"/>
      <c r="H28" s="2275"/>
      <c r="I28" s="2276"/>
      <c r="J28" s="2275"/>
      <c r="K28" s="2275"/>
      <c r="L28" s="2276"/>
      <c r="M28" s="2275"/>
      <c r="N28" s="2275"/>
      <c r="O28" s="2276"/>
      <c r="P28" s="2275"/>
      <c r="Q28" s="2275"/>
      <c r="R28" s="2277"/>
    </row>
    <row r="29" spans="1:18" s="2270" customFormat="1">
      <c r="B29" s="2275"/>
      <c r="C29" s="2275"/>
      <c r="D29" s="2275"/>
      <c r="H29" s="2275"/>
      <c r="I29" s="2276"/>
      <c r="J29" s="2275"/>
      <c r="K29" s="2275"/>
      <c r="L29" s="2276"/>
      <c r="M29" s="2275"/>
      <c r="N29" s="2275"/>
      <c r="O29" s="2276"/>
      <c r="P29" s="2275"/>
      <c r="Q29" s="2275"/>
      <c r="R29" s="2277"/>
    </row>
    <row r="30" spans="1:18" s="2270" customFormat="1">
      <c r="B30" s="2275"/>
      <c r="C30" s="2275"/>
      <c r="D30" s="2275"/>
      <c r="H30" s="2275"/>
      <c r="I30" s="2276"/>
      <c r="J30" s="2275"/>
      <c r="K30" s="2275"/>
      <c r="L30" s="2276"/>
      <c r="M30" s="2275"/>
      <c r="N30" s="2275"/>
      <c r="O30" s="2276"/>
      <c r="P30" s="2275"/>
      <c r="Q30" s="2275"/>
      <c r="R30" s="2277"/>
    </row>
    <row r="31" spans="1:18" s="2270" customFormat="1">
      <c r="B31" s="2275"/>
      <c r="C31" s="2275"/>
      <c r="D31" s="2275"/>
      <c r="H31" s="2275"/>
      <c r="I31" s="2276"/>
      <c r="J31" s="2275"/>
      <c r="K31" s="2275"/>
      <c r="L31" s="2276"/>
      <c r="M31" s="2275"/>
      <c r="N31" s="2275"/>
      <c r="O31" s="2276"/>
      <c r="P31" s="2275"/>
      <c r="Q31" s="2275"/>
      <c r="R31" s="2277"/>
    </row>
    <row r="32" spans="1:18" s="2270" customFormat="1">
      <c r="B32" s="2275"/>
      <c r="C32" s="2275"/>
      <c r="D32" s="2275"/>
      <c r="H32" s="2275"/>
      <c r="I32" s="2276"/>
      <c r="J32" s="2275"/>
      <c r="K32" s="2275"/>
      <c r="L32" s="2276"/>
      <c r="M32" s="2275"/>
      <c r="N32" s="2275"/>
      <c r="O32" s="2276"/>
      <c r="P32" s="2275"/>
      <c r="Q32" s="2275"/>
      <c r="R32" s="2277"/>
    </row>
    <row r="33" spans="2:18" s="2270" customFormat="1">
      <c r="B33" s="2275"/>
      <c r="C33" s="2275"/>
      <c r="D33" s="2275"/>
      <c r="H33" s="2275"/>
      <c r="I33" s="2276"/>
      <c r="J33" s="2275"/>
      <c r="K33" s="2275"/>
      <c r="L33" s="2276"/>
      <c r="M33" s="2275"/>
      <c r="N33" s="2275"/>
      <c r="O33" s="2276"/>
      <c r="P33" s="2275"/>
      <c r="Q33" s="2275"/>
      <c r="R33" s="2277"/>
    </row>
    <row r="34" spans="2:18" s="2270" customFormat="1">
      <c r="B34" s="2275"/>
      <c r="C34" s="2275"/>
      <c r="D34" s="2275"/>
      <c r="H34" s="2275"/>
      <c r="I34" s="2276"/>
      <c r="J34" s="2275"/>
      <c r="K34" s="2275"/>
      <c r="L34" s="2276"/>
      <c r="M34" s="2275"/>
      <c r="N34" s="2275"/>
      <c r="O34" s="2276"/>
      <c r="P34" s="2275"/>
      <c r="Q34" s="2275"/>
      <c r="R34" s="2277"/>
    </row>
    <row r="35" spans="2:18" s="2270" customFormat="1">
      <c r="B35" s="2275"/>
      <c r="C35" s="2275"/>
      <c r="D35" s="2275"/>
      <c r="H35" s="2275"/>
      <c r="I35" s="2276"/>
      <c r="J35" s="2275"/>
      <c r="K35" s="2275"/>
      <c r="L35" s="2276"/>
      <c r="M35" s="2275"/>
      <c r="N35" s="2275"/>
      <c r="O35" s="2276"/>
      <c r="P35" s="2275"/>
      <c r="Q35" s="2275"/>
      <c r="R35" s="2277"/>
    </row>
    <row r="36" spans="2:18" s="2270" customFormat="1">
      <c r="B36" s="2275"/>
      <c r="C36" s="2275"/>
      <c r="D36" s="2275"/>
      <c r="H36" s="2275"/>
      <c r="I36" s="2276"/>
      <c r="J36" s="2275"/>
      <c r="K36" s="2275"/>
      <c r="L36" s="2276"/>
      <c r="M36" s="2275"/>
      <c r="N36" s="2275"/>
      <c r="O36" s="2276"/>
      <c r="P36" s="2275"/>
      <c r="Q36" s="2275"/>
      <c r="R36" s="2277"/>
    </row>
    <row r="37" spans="2:18" s="2270" customFormat="1">
      <c r="B37" s="2275"/>
      <c r="C37" s="2275"/>
      <c r="D37" s="2275"/>
      <c r="H37" s="2275"/>
      <c r="I37" s="2276"/>
      <c r="J37" s="2275"/>
      <c r="K37" s="2275"/>
      <c r="L37" s="2276"/>
      <c r="M37" s="2275"/>
      <c r="N37" s="2275"/>
      <c r="O37" s="2276"/>
      <c r="P37" s="2275"/>
      <c r="Q37" s="2275"/>
      <c r="R37" s="2277"/>
    </row>
    <row r="38" spans="2:18" s="2270" customFormat="1">
      <c r="B38" s="2275"/>
      <c r="C38" s="2275"/>
      <c r="D38" s="2275"/>
      <c r="E38" s="2275"/>
      <c r="F38" s="2275"/>
      <c r="G38" s="2276"/>
      <c r="H38" s="2275"/>
      <c r="I38" s="2276"/>
      <c r="J38" s="2275"/>
      <c r="K38" s="2275"/>
      <c r="L38" s="2276"/>
      <c r="M38" s="2275"/>
      <c r="N38" s="2275"/>
      <c r="O38" s="2276"/>
      <c r="P38" s="2275"/>
      <c r="Q38" s="2275"/>
      <c r="R38" s="2277"/>
    </row>
    <row r="39" spans="2:18" s="2270" customFormat="1">
      <c r="B39" s="2275"/>
      <c r="C39" s="2275"/>
      <c r="D39" s="2275"/>
      <c r="E39" s="2275"/>
      <c r="F39" s="2275"/>
      <c r="G39" s="2276"/>
      <c r="H39" s="2275"/>
      <c r="I39" s="2276"/>
      <c r="J39" s="2275"/>
      <c r="K39" s="2275"/>
      <c r="L39" s="2276"/>
      <c r="M39" s="2275"/>
      <c r="N39" s="2275"/>
      <c r="O39" s="2276"/>
      <c r="P39" s="2275"/>
      <c r="Q39" s="2275"/>
      <c r="R39" s="2277"/>
    </row>
    <row r="40" spans="2:18" s="2270" customFormat="1">
      <c r="B40" s="2275"/>
      <c r="C40" s="2275"/>
      <c r="D40" s="2275"/>
      <c r="E40" s="2275"/>
      <c r="F40" s="2275"/>
      <c r="G40" s="2276"/>
      <c r="H40" s="2275"/>
      <c r="I40" s="2276"/>
      <c r="J40" s="2275"/>
      <c r="K40" s="2275"/>
      <c r="L40" s="2276"/>
      <c r="M40" s="2275"/>
      <c r="N40" s="2275"/>
      <c r="O40" s="2276"/>
      <c r="P40" s="2275"/>
      <c r="Q40" s="2275"/>
      <c r="R40" s="2277"/>
    </row>
    <row r="41" spans="2:18" s="2270" customFormat="1">
      <c r="B41" s="2275"/>
      <c r="C41" s="2275"/>
      <c r="D41" s="2275"/>
      <c r="E41" s="2275"/>
      <c r="F41" s="2275"/>
      <c r="G41" s="2276"/>
      <c r="H41" s="2275"/>
      <c r="I41" s="2276"/>
      <c r="J41" s="2275"/>
      <c r="K41" s="2275"/>
      <c r="L41" s="2276"/>
      <c r="M41" s="2275"/>
      <c r="N41" s="2275"/>
      <c r="O41" s="2276"/>
      <c r="P41" s="2275"/>
      <c r="Q41" s="2275"/>
      <c r="R41" s="2277"/>
    </row>
    <row r="42" spans="2:18" s="2270" customFormat="1">
      <c r="B42" s="2275"/>
      <c r="C42" s="2275"/>
      <c r="D42" s="2275"/>
      <c r="E42" s="2275"/>
      <c r="F42" s="2275"/>
      <c r="G42" s="2276"/>
      <c r="H42" s="2275"/>
      <c r="I42" s="2276"/>
      <c r="J42" s="2275"/>
      <c r="K42" s="2275"/>
      <c r="L42" s="2276"/>
      <c r="M42" s="2275"/>
      <c r="N42" s="2275"/>
      <c r="O42" s="2276"/>
      <c r="P42" s="2275"/>
      <c r="Q42" s="2275"/>
      <c r="R42" s="2277"/>
    </row>
    <row r="43" spans="2:18" s="2270" customFormat="1">
      <c r="B43" s="2275"/>
      <c r="C43" s="2275"/>
      <c r="D43" s="2275"/>
      <c r="E43" s="2275"/>
      <c r="F43" s="2275"/>
      <c r="G43" s="2276"/>
      <c r="H43" s="2275"/>
      <c r="I43" s="2276"/>
      <c r="J43" s="2275"/>
      <c r="K43" s="2275"/>
      <c r="L43" s="2276"/>
      <c r="M43" s="2275"/>
      <c r="N43" s="2275"/>
      <c r="O43" s="2276"/>
      <c r="P43" s="2275"/>
      <c r="Q43" s="2275"/>
      <c r="R43" s="2277"/>
    </row>
    <row r="44" spans="2:18" s="2270" customFormat="1">
      <c r="B44" s="2275"/>
      <c r="C44" s="2275"/>
      <c r="D44" s="2275"/>
      <c r="E44" s="2275"/>
      <c r="F44" s="2275"/>
      <c r="G44" s="2276"/>
      <c r="H44" s="2275"/>
      <c r="I44" s="2276"/>
      <c r="J44" s="2275"/>
      <c r="K44" s="2275"/>
      <c r="L44" s="2276"/>
      <c r="M44" s="2275"/>
      <c r="N44" s="2275"/>
      <c r="O44" s="2276"/>
      <c r="P44" s="2275"/>
      <c r="Q44" s="2275"/>
      <c r="R44" s="2277"/>
    </row>
    <row r="45" spans="2:18" s="2270" customFormat="1">
      <c r="B45" s="2275"/>
      <c r="C45" s="2275"/>
      <c r="D45" s="2275"/>
      <c r="E45" s="2275"/>
      <c r="F45" s="2275"/>
      <c r="G45" s="2276"/>
      <c r="H45" s="2275"/>
      <c r="I45" s="2276"/>
      <c r="J45" s="2275"/>
      <c r="K45" s="2275"/>
      <c r="L45" s="2276"/>
      <c r="M45" s="2275"/>
      <c r="N45" s="2275"/>
      <c r="O45" s="2276"/>
      <c r="P45" s="2275"/>
      <c r="Q45" s="2275"/>
      <c r="R45" s="2277"/>
    </row>
    <row r="46" spans="2:18" s="2270" customFormat="1">
      <c r="B46" s="2275"/>
      <c r="C46" s="2275"/>
      <c r="D46" s="2275"/>
      <c r="E46" s="2275"/>
      <c r="F46" s="2275"/>
      <c r="G46" s="2276"/>
      <c r="H46" s="2275"/>
      <c r="I46" s="2276"/>
      <c r="J46" s="2275"/>
      <c r="K46" s="2275"/>
      <c r="L46" s="2276"/>
      <c r="M46" s="2275"/>
      <c r="N46" s="2275"/>
      <c r="O46" s="2276"/>
      <c r="P46" s="2275"/>
      <c r="Q46" s="2275"/>
      <c r="R46" s="2277"/>
    </row>
    <row r="47" spans="2:18" s="2270" customFormat="1">
      <c r="B47" s="2275"/>
      <c r="C47" s="2275"/>
      <c r="D47" s="2275"/>
      <c r="E47" s="2275"/>
      <c r="F47" s="2275"/>
      <c r="G47" s="2276"/>
      <c r="H47" s="2275"/>
      <c r="I47" s="2276"/>
      <c r="J47" s="2275"/>
      <c r="K47" s="2275"/>
      <c r="L47" s="2276"/>
      <c r="M47" s="2275"/>
      <c r="N47" s="2275"/>
      <c r="O47" s="2276"/>
      <c r="P47" s="2275"/>
      <c r="Q47" s="2275"/>
      <c r="R47" s="2277"/>
    </row>
    <row r="48" spans="2:18" s="2270" customFormat="1">
      <c r="B48" s="2275"/>
      <c r="C48" s="2275"/>
      <c r="D48" s="2275"/>
      <c r="E48" s="2275"/>
      <c r="F48" s="2275"/>
      <c r="G48" s="2276"/>
      <c r="H48" s="2275"/>
      <c r="I48" s="2276"/>
      <c r="J48" s="2275"/>
      <c r="K48" s="2275"/>
      <c r="L48" s="2276"/>
      <c r="M48" s="2275"/>
      <c r="N48" s="2275"/>
      <c r="O48" s="2276"/>
      <c r="P48" s="2275"/>
      <c r="Q48" s="2275"/>
      <c r="R48" s="2277"/>
    </row>
    <row r="49" spans="2:18" s="2270" customFormat="1">
      <c r="B49" s="2275"/>
      <c r="C49" s="2275"/>
      <c r="D49" s="2275"/>
      <c r="E49" s="2275"/>
      <c r="F49" s="2275"/>
      <c r="G49" s="2276"/>
      <c r="H49" s="2275"/>
      <c r="I49" s="2276"/>
      <c r="J49" s="2275"/>
      <c r="K49" s="2275"/>
      <c r="L49" s="2276"/>
      <c r="M49" s="2275"/>
      <c r="N49" s="2275"/>
      <c r="O49" s="2276"/>
      <c r="P49" s="2275"/>
      <c r="Q49" s="2275"/>
      <c r="R49" s="2277"/>
    </row>
    <row r="50" spans="2:18" s="2270" customFormat="1">
      <c r="B50" s="2275"/>
      <c r="C50" s="2275"/>
      <c r="D50" s="2275"/>
      <c r="E50" s="2275"/>
      <c r="F50" s="2275"/>
      <c r="G50" s="2276"/>
      <c r="H50" s="2275"/>
      <c r="I50" s="2276"/>
      <c r="J50" s="2275"/>
      <c r="K50" s="2275"/>
      <c r="L50" s="2276"/>
      <c r="M50" s="2275"/>
      <c r="N50" s="2275"/>
      <c r="O50" s="2276"/>
      <c r="P50" s="2275"/>
      <c r="Q50" s="2275"/>
      <c r="R50" s="2277"/>
    </row>
    <row r="51" spans="2:18" s="2270" customFormat="1">
      <c r="B51" s="2275"/>
      <c r="C51" s="2275"/>
      <c r="D51" s="2275"/>
      <c r="E51" s="2275"/>
      <c r="F51" s="2275"/>
      <c r="G51" s="2276"/>
      <c r="H51" s="2275"/>
      <c r="I51" s="2276"/>
      <c r="J51" s="2275"/>
      <c r="K51" s="2275"/>
      <c r="L51" s="2276"/>
      <c r="M51" s="2275"/>
      <c r="N51" s="2275"/>
      <c r="O51" s="2276"/>
      <c r="P51" s="2275"/>
      <c r="Q51" s="2275"/>
      <c r="R51" s="2277"/>
    </row>
    <row r="52" spans="2:18" s="2270" customFormat="1">
      <c r="B52" s="2275"/>
      <c r="C52" s="2275"/>
      <c r="D52" s="2275"/>
      <c r="E52" s="2275"/>
      <c r="F52" s="2275"/>
      <c r="G52" s="2276"/>
      <c r="H52" s="2275"/>
      <c r="I52" s="2276"/>
      <c r="J52" s="2275"/>
      <c r="K52" s="2275"/>
      <c r="L52" s="2276"/>
      <c r="M52" s="2275"/>
      <c r="N52" s="2275"/>
      <c r="O52" s="2276"/>
      <c r="P52" s="2275"/>
      <c r="Q52" s="2275"/>
      <c r="R52" s="2277"/>
    </row>
    <row r="53" spans="2:18" s="2270" customFormat="1">
      <c r="B53" s="2275"/>
      <c r="C53" s="2275"/>
      <c r="D53" s="2275"/>
      <c r="E53" s="2275"/>
      <c r="F53" s="2275"/>
      <c r="G53" s="2276"/>
      <c r="H53" s="2275"/>
      <c r="I53" s="2276"/>
      <c r="J53" s="2275"/>
      <c r="K53" s="2275"/>
      <c r="L53" s="2276"/>
      <c r="M53" s="2275"/>
      <c r="N53" s="2275"/>
      <c r="O53" s="2276"/>
      <c r="P53" s="2275"/>
      <c r="Q53" s="2275"/>
      <c r="R53" s="2277"/>
    </row>
    <row r="54" spans="2:18" s="2270" customFormat="1">
      <c r="B54" s="2275"/>
      <c r="C54" s="2275"/>
      <c r="D54" s="2275"/>
      <c r="E54" s="2275"/>
      <c r="F54" s="2275"/>
      <c r="G54" s="2276"/>
      <c r="H54" s="2275"/>
      <c r="I54" s="2276"/>
      <c r="J54" s="2275"/>
      <c r="K54" s="2275"/>
      <c r="L54" s="2276"/>
      <c r="M54" s="2275"/>
      <c r="N54" s="2275"/>
      <c r="O54" s="2276"/>
      <c r="P54" s="2275"/>
      <c r="Q54" s="2275"/>
      <c r="R54" s="2277"/>
    </row>
    <row r="55" spans="2:18" s="2270" customFormat="1">
      <c r="B55" s="2275"/>
      <c r="C55" s="2275"/>
      <c r="D55" s="2275"/>
      <c r="E55" s="2275"/>
      <c r="F55" s="2275"/>
      <c r="G55" s="2276"/>
      <c r="H55" s="2275"/>
      <c r="I55" s="2276"/>
      <c r="J55" s="2275"/>
      <c r="K55" s="2275"/>
      <c r="L55" s="2276"/>
      <c r="M55" s="2275"/>
      <c r="N55" s="2275"/>
      <c r="O55" s="2276"/>
      <c r="P55" s="2275"/>
      <c r="Q55" s="2275"/>
      <c r="R55" s="2277"/>
    </row>
    <row r="56" spans="2:18" s="2270" customFormat="1">
      <c r="B56" s="2275"/>
      <c r="C56" s="2275"/>
      <c r="D56" s="2275"/>
      <c r="E56" s="2275"/>
      <c r="F56" s="2275"/>
      <c r="G56" s="2276"/>
      <c r="H56" s="2275"/>
      <c r="I56" s="2276"/>
      <c r="J56" s="2275"/>
      <c r="K56" s="2275"/>
      <c r="L56" s="2276"/>
      <c r="M56" s="2275"/>
      <c r="N56" s="2275"/>
      <c r="O56" s="2276"/>
      <c r="P56" s="2275"/>
      <c r="Q56" s="2275"/>
      <c r="R56" s="2277"/>
    </row>
    <row r="57" spans="2:18" s="2270" customFormat="1">
      <c r="B57" s="2275"/>
      <c r="C57" s="2275"/>
      <c r="D57" s="2275"/>
      <c r="E57" s="2275"/>
      <c r="F57" s="2275"/>
      <c r="G57" s="2276"/>
      <c r="H57" s="2275"/>
      <c r="I57" s="2276"/>
      <c r="J57" s="2275"/>
      <c r="K57" s="2275"/>
      <c r="L57" s="2276"/>
      <c r="M57" s="2275"/>
      <c r="N57" s="2275"/>
      <c r="O57" s="2276"/>
      <c r="P57" s="2275"/>
      <c r="Q57" s="2275"/>
      <c r="R57" s="2277"/>
    </row>
    <row r="58" spans="2:18" s="2270" customFormat="1">
      <c r="B58" s="2275"/>
      <c r="C58" s="2275"/>
      <c r="D58" s="2275"/>
      <c r="E58" s="2275"/>
      <c r="F58" s="2275"/>
      <c r="G58" s="2276"/>
      <c r="H58" s="2275"/>
      <c r="I58" s="2276"/>
      <c r="J58" s="2275"/>
      <c r="K58" s="2275"/>
      <c r="L58" s="2276"/>
      <c r="M58" s="2275"/>
      <c r="N58" s="2275"/>
      <c r="O58" s="2276"/>
      <c r="P58" s="2275"/>
      <c r="Q58" s="2275"/>
      <c r="R58" s="2277"/>
    </row>
    <row r="59" spans="2:18" s="2270" customFormat="1">
      <c r="B59" s="2275"/>
      <c r="C59" s="2275"/>
      <c r="D59" s="2275"/>
      <c r="E59" s="2275"/>
      <c r="F59" s="2275"/>
      <c r="G59" s="2276"/>
      <c r="H59" s="2275"/>
      <c r="I59" s="2276"/>
      <c r="J59" s="2275"/>
      <c r="K59" s="2275"/>
      <c r="L59" s="2276"/>
      <c r="M59" s="2275"/>
      <c r="N59" s="2275"/>
      <c r="O59" s="2276"/>
      <c r="P59" s="2275"/>
      <c r="Q59" s="2275"/>
      <c r="R59" s="2277"/>
    </row>
    <row r="60" spans="2:18" s="2270" customFormat="1">
      <c r="B60" s="2275"/>
      <c r="C60" s="2275"/>
      <c r="D60" s="2275"/>
      <c r="E60" s="2275"/>
      <c r="F60" s="2275"/>
      <c r="G60" s="2276"/>
      <c r="H60" s="2275"/>
      <c r="I60" s="2276"/>
      <c r="J60" s="2275"/>
      <c r="K60" s="2275"/>
      <c r="L60" s="2276"/>
      <c r="M60" s="2275"/>
      <c r="N60" s="2275"/>
      <c r="O60" s="2276"/>
      <c r="P60" s="2275"/>
      <c r="Q60" s="2275"/>
      <c r="R60" s="2277"/>
    </row>
    <row r="61" spans="2:18" s="2270" customFormat="1">
      <c r="B61" s="2275"/>
      <c r="C61" s="2275"/>
      <c r="D61" s="2275"/>
      <c r="E61" s="2275"/>
      <c r="F61" s="2275"/>
      <c r="G61" s="2276"/>
      <c r="H61" s="2275"/>
      <c r="I61" s="2276"/>
      <c r="J61" s="2275"/>
      <c r="K61" s="2275"/>
      <c r="L61" s="2276"/>
      <c r="M61" s="2275"/>
      <c r="N61" s="2275"/>
      <c r="O61" s="2276"/>
      <c r="P61" s="2275"/>
      <c r="Q61" s="2275"/>
      <c r="R61" s="2277"/>
    </row>
    <row r="62" spans="2:18" s="2270" customFormat="1">
      <c r="B62" s="2275"/>
      <c r="C62" s="2275"/>
      <c r="D62" s="2275"/>
      <c r="E62" s="2275"/>
      <c r="F62" s="2275"/>
      <c r="G62" s="2276"/>
      <c r="H62" s="2275"/>
      <c r="I62" s="2276"/>
      <c r="J62" s="2275"/>
      <c r="K62" s="2275"/>
      <c r="L62" s="2276"/>
      <c r="M62" s="2275"/>
      <c r="N62" s="2275"/>
      <c r="O62" s="2276"/>
      <c r="P62" s="2275"/>
      <c r="Q62" s="2275"/>
      <c r="R62" s="2277"/>
    </row>
    <row r="63" spans="2:18" s="2270" customFormat="1">
      <c r="B63" s="2275"/>
      <c r="C63" s="2275"/>
      <c r="D63" s="2275"/>
      <c r="E63" s="2275"/>
      <c r="F63" s="2275"/>
      <c r="G63" s="2276"/>
      <c r="H63" s="2275"/>
      <c r="I63" s="2276"/>
      <c r="J63" s="2275"/>
      <c r="K63" s="2275"/>
      <c r="L63" s="2276"/>
      <c r="M63" s="2275"/>
      <c r="N63" s="2275"/>
      <c r="O63" s="2276"/>
      <c r="P63" s="2275"/>
      <c r="Q63" s="2275"/>
      <c r="R63" s="2277"/>
    </row>
    <row r="64" spans="2:18" s="2270" customFormat="1">
      <c r="B64" s="2275"/>
      <c r="C64" s="2275"/>
      <c r="D64" s="2275"/>
      <c r="E64" s="2275"/>
      <c r="F64" s="2275"/>
      <c r="G64" s="2276"/>
      <c r="H64" s="2275"/>
      <c r="I64" s="2276"/>
      <c r="J64" s="2275"/>
      <c r="K64" s="2275"/>
      <c r="L64" s="2276"/>
      <c r="M64" s="2275"/>
      <c r="N64" s="2275"/>
      <c r="O64" s="2276"/>
      <c r="P64" s="2275"/>
      <c r="Q64" s="2275"/>
      <c r="R64" s="2277"/>
    </row>
    <row r="65" spans="2:18" s="2270" customFormat="1">
      <c r="B65" s="2275"/>
      <c r="C65" s="2275"/>
      <c r="D65" s="2275"/>
      <c r="E65" s="2275"/>
      <c r="F65" s="2275"/>
      <c r="G65" s="2276"/>
      <c r="H65" s="2275"/>
      <c r="I65" s="2276"/>
      <c r="J65" s="2275"/>
      <c r="K65" s="2275"/>
      <c r="L65" s="2276"/>
      <c r="M65" s="2275"/>
      <c r="N65" s="2275"/>
      <c r="O65" s="2276"/>
      <c r="P65" s="2275"/>
      <c r="Q65" s="2275"/>
      <c r="R65" s="2277"/>
    </row>
    <row r="66" spans="2:18" s="2270" customFormat="1">
      <c r="B66" s="2275"/>
      <c r="C66" s="2275"/>
      <c r="D66" s="2275"/>
      <c r="E66" s="2275"/>
      <c r="F66" s="2275"/>
      <c r="G66" s="2276"/>
      <c r="H66" s="2275"/>
      <c r="I66" s="2276"/>
      <c r="J66" s="2275"/>
      <c r="K66" s="2275"/>
      <c r="L66" s="2276"/>
      <c r="M66" s="2275"/>
      <c r="N66" s="2275"/>
      <c r="O66" s="2276"/>
      <c r="P66" s="2275"/>
      <c r="Q66" s="2275"/>
      <c r="R66" s="2277"/>
    </row>
    <row r="67" spans="2:18" s="2270" customFormat="1">
      <c r="B67" s="2275"/>
      <c r="C67" s="2275"/>
      <c r="D67" s="2275"/>
      <c r="E67" s="2275"/>
      <c r="F67" s="2275"/>
      <c r="G67" s="2276"/>
      <c r="H67" s="2275"/>
      <c r="I67" s="2276"/>
      <c r="J67" s="2275"/>
      <c r="K67" s="2275"/>
      <c r="L67" s="2276"/>
      <c r="M67" s="2275"/>
      <c r="N67" s="2275"/>
      <c r="O67" s="2276"/>
      <c r="P67" s="2275"/>
      <c r="Q67" s="2275"/>
      <c r="R67" s="2277"/>
    </row>
    <row r="68" spans="2:18" s="2270" customFormat="1">
      <c r="B68" s="2275"/>
      <c r="C68" s="2275"/>
      <c r="D68" s="2275"/>
      <c r="E68" s="2275"/>
      <c r="F68" s="2275"/>
      <c r="G68" s="2276"/>
      <c r="H68" s="2275"/>
      <c r="I68" s="2276"/>
      <c r="J68" s="2275"/>
      <c r="K68" s="2275"/>
      <c r="L68" s="2276"/>
      <c r="M68" s="2275"/>
      <c r="N68" s="2275"/>
      <c r="O68" s="2276"/>
      <c r="P68" s="2275"/>
      <c r="Q68" s="2275"/>
      <c r="R68" s="2277"/>
    </row>
    <row r="69" spans="2:18" s="2270" customFormat="1">
      <c r="B69" s="2275"/>
      <c r="C69" s="2275"/>
      <c r="D69" s="2275"/>
      <c r="E69" s="2275"/>
      <c r="F69" s="2275"/>
      <c r="G69" s="2276"/>
      <c r="H69" s="2275"/>
      <c r="I69" s="2276"/>
      <c r="J69" s="2275"/>
      <c r="K69" s="2275"/>
      <c r="L69" s="2276"/>
      <c r="M69" s="2275"/>
      <c r="N69" s="2275"/>
      <c r="O69" s="2276"/>
      <c r="P69" s="2275"/>
      <c r="Q69" s="2275"/>
      <c r="R69" s="2277"/>
    </row>
    <row r="70" spans="2:18" s="2270" customFormat="1">
      <c r="B70" s="2275"/>
      <c r="C70" s="2275"/>
      <c r="D70" s="2275"/>
      <c r="E70" s="2275"/>
      <c r="F70" s="2275"/>
      <c r="G70" s="2276"/>
      <c r="H70" s="2275"/>
      <c r="I70" s="2276"/>
      <c r="J70" s="2275"/>
      <c r="K70" s="2275"/>
      <c r="L70" s="2276"/>
      <c r="M70" s="2275"/>
      <c r="N70" s="2275"/>
      <c r="O70" s="2276"/>
      <c r="P70" s="2275"/>
      <c r="Q70" s="2275"/>
      <c r="R70" s="2277"/>
    </row>
    <row r="71" spans="2:18" s="2270" customFormat="1">
      <c r="B71" s="2275"/>
      <c r="C71" s="2275"/>
      <c r="D71" s="2275"/>
      <c r="E71" s="2275"/>
      <c r="F71" s="2275"/>
      <c r="G71" s="2276"/>
      <c r="H71" s="2275"/>
      <c r="I71" s="2276"/>
      <c r="J71" s="2275"/>
      <c r="K71" s="2275"/>
      <c r="L71" s="2276"/>
      <c r="M71" s="2275"/>
      <c r="N71" s="2275"/>
      <c r="O71" s="2276"/>
      <c r="P71" s="2275"/>
      <c r="Q71" s="2275"/>
      <c r="R71" s="2277"/>
    </row>
    <row r="72" spans="2:18" s="2270" customFormat="1">
      <c r="B72" s="2275"/>
      <c r="C72" s="2275"/>
      <c r="D72" s="2275"/>
      <c r="E72" s="2275"/>
      <c r="F72" s="2275"/>
      <c r="G72" s="2276"/>
      <c r="H72" s="2275"/>
      <c r="I72" s="2276"/>
      <c r="J72" s="2275"/>
      <c r="K72" s="2275"/>
      <c r="L72" s="2276"/>
      <c r="M72" s="2275"/>
      <c r="N72" s="2275"/>
      <c r="O72" s="2276"/>
      <c r="P72" s="2275"/>
      <c r="Q72" s="2275"/>
      <c r="R72" s="2277"/>
    </row>
    <row r="73" spans="2:18" s="2270" customFormat="1">
      <c r="B73" s="2275"/>
      <c r="C73" s="2275"/>
      <c r="D73" s="2275"/>
      <c r="E73" s="2275"/>
      <c r="F73" s="2275"/>
      <c r="G73" s="2276"/>
      <c r="H73" s="2275"/>
      <c r="I73" s="2276"/>
      <c r="J73" s="2275"/>
      <c r="K73" s="2275"/>
      <c r="L73" s="2276"/>
      <c r="M73" s="2275"/>
      <c r="N73" s="2275"/>
      <c r="O73" s="2276"/>
      <c r="P73" s="2275"/>
      <c r="Q73" s="2275"/>
      <c r="R73" s="2277"/>
    </row>
    <row r="74" spans="2:18" s="2270" customFormat="1">
      <c r="B74" s="2275"/>
      <c r="C74" s="2275"/>
      <c r="D74" s="2275"/>
      <c r="E74" s="2275"/>
      <c r="F74" s="2275"/>
      <c r="G74" s="2276"/>
      <c r="H74" s="2275"/>
      <c r="I74" s="2276"/>
      <c r="J74" s="2275"/>
      <c r="K74" s="2275"/>
      <c r="L74" s="2276"/>
      <c r="M74" s="2275"/>
      <c r="N74" s="2275"/>
      <c r="O74" s="2276"/>
      <c r="P74" s="2275"/>
      <c r="Q74" s="2275"/>
      <c r="R74" s="2277"/>
    </row>
    <row r="75" spans="2:18" s="2270" customFormat="1">
      <c r="B75" s="2275"/>
      <c r="C75" s="2275"/>
      <c r="D75" s="2275"/>
      <c r="E75" s="2275"/>
      <c r="F75" s="2275"/>
      <c r="G75" s="2276"/>
      <c r="H75" s="2275"/>
      <c r="I75" s="2276"/>
      <c r="J75" s="2275"/>
      <c r="K75" s="2275"/>
      <c r="L75" s="2276"/>
      <c r="M75" s="2275"/>
      <c r="N75" s="2275"/>
      <c r="O75" s="2276"/>
      <c r="P75" s="2275"/>
      <c r="Q75" s="2275"/>
      <c r="R75" s="2277"/>
    </row>
    <row r="76" spans="2:18" s="2270" customFormat="1">
      <c r="B76" s="2275"/>
      <c r="C76" s="2275"/>
      <c r="D76" s="2275"/>
      <c r="E76" s="2275"/>
      <c r="F76" s="2275"/>
      <c r="G76" s="2276"/>
      <c r="H76" s="2275"/>
      <c r="I76" s="2276"/>
      <c r="J76" s="2275"/>
      <c r="K76" s="2275"/>
      <c r="L76" s="2276"/>
      <c r="M76" s="2275"/>
      <c r="N76" s="2275"/>
      <c r="O76" s="2276"/>
      <c r="P76" s="2275"/>
      <c r="Q76" s="2275"/>
      <c r="R76" s="2277"/>
    </row>
    <row r="77" spans="2:18" s="2270" customFormat="1">
      <c r="B77" s="2275"/>
      <c r="C77" s="2275"/>
      <c r="D77" s="2275"/>
      <c r="E77" s="2275"/>
      <c r="F77" s="2275"/>
      <c r="G77" s="2276"/>
      <c r="H77" s="2275"/>
      <c r="I77" s="2276"/>
      <c r="J77" s="2275"/>
      <c r="K77" s="2275"/>
      <c r="L77" s="2276"/>
      <c r="M77" s="2275"/>
      <c r="N77" s="2275"/>
      <c r="O77" s="2276"/>
      <c r="P77" s="2275"/>
      <c r="Q77" s="2275"/>
      <c r="R77" s="2277"/>
    </row>
    <row r="78" spans="2:18" s="2270" customFormat="1">
      <c r="B78" s="2275"/>
      <c r="C78" s="2275"/>
      <c r="D78" s="2275"/>
      <c r="E78" s="2275"/>
      <c r="F78" s="2275"/>
      <c r="G78" s="2276"/>
      <c r="H78" s="2275"/>
      <c r="I78" s="2276"/>
      <c r="J78" s="2275"/>
      <c r="K78" s="2275"/>
      <c r="L78" s="2276"/>
      <c r="M78" s="2275"/>
      <c r="N78" s="2275"/>
      <c r="O78" s="2276"/>
      <c r="P78" s="2275"/>
      <c r="Q78" s="2275"/>
      <c r="R78" s="2277"/>
    </row>
    <row r="79" spans="2:18" s="2270" customFormat="1">
      <c r="B79" s="2275"/>
      <c r="C79" s="2275"/>
      <c r="D79" s="2275"/>
      <c r="E79" s="2275"/>
      <c r="F79" s="2275"/>
      <c r="G79" s="2276"/>
      <c r="H79" s="2275"/>
      <c r="I79" s="2276"/>
      <c r="J79" s="2275"/>
      <c r="K79" s="2275"/>
      <c r="L79" s="2276"/>
      <c r="M79" s="2275"/>
      <c r="N79" s="2275"/>
      <c r="O79" s="2276"/>
      <c r="P79" s="2275"/>
      <c r="Q79" s="2275"/>
      <c r="R79" s="2277"/>
    </row>
    <row r="80" spans="2:18" s="2270" customFormat="1">
      <c r="B80" s="2275"/>
      <c r="C80" s="2275"/>
      <c r="D80" s="2275"/>
      <c r="E80" s="2275"/>
      <c r="F80" s="2275"/>
      <c r="G80" s="2276"/>
      <c r="H80" s="2275"/>
      <c r="I80" s="2276"/>
      <c r="J80" s="2275"/>
      <c r="K80" s="2275"/>
      <c r="L80" s="2276"/>
      <c r="M80" s="2275"/>
      <c r="N80" s="2275"/>
      <c r="O80" s="2276"/>
      <c r="P80" s="2275"/>
      <c r="Q80" s="2275"/>
      <c r="R80" s="2277"/>
    </row>
    <row r="81" spans="2:18" s="2270" customFormat="1">
      <c r="B81" s="2275"/>
      <c r="C81" s="2275"/>
      <c r="D81" s="2275"/>
      <c r="E81" s="2275"/>
      <c r="F81" s="2275"/>
      <c r="G81" s="2276"/>
      <c r="H81" s="2275"/>
      <c r="I81" s="2276"/>
      <c r="J81" s="2275"/>
      <c r="K81" s="2275"/>
      <c r="L81" s="2276"/>
      <c r="M81" s="2275"/>
      <c r="N81" s="2275"/>
      <c r="O81" s="2276"/>
      <c r="P81" s="2275"/>
      <c r="Q81" s="2275"/>
      <c r="R81" s="2277"/>
    </row>
    <row r="82" spans="2:18" s="2270" customFormat="1">
      <c r="B82" s="2275"/>
      <c r="C82" s="2275"/>
      <c r="D82" s="2275"/>
      <c r="E82" s="2275"/>
      <c r="F82" s="2275"/>
      <c r="G82" s="2276"/>
      <c r="H82" s="2275"/>
      <c r="I82" s="2276"/>
      <c r="J82" s="2275"/>
      <c r="K82" s="2275"/>
      <c r="L82" s="2276"/>
      <c r="M82" s="2275"/>
      <c r="N82" s="2275"/>
      <c r="O82" s="2276"/>
      <c r="P82" s="2275"/>
      <c r="Q82" s="2275"/>
      <c r="R82" s="2277"/>
    </row>
    <row r="83" spans="2:18" s="2270" customFormat="1">
      <c r="B83" s="2275"/>
      <c r="C83" s="2275"/>
      <c r="D83" s="2275"/>
      <c r="E83" s="2275"/>
      <c r="F83" s="2275"/>
      <c r="G83" s="2276"/>
      <c r="H83" s="2275"/>
      <c r="I83" s="2276"/>
      <c r="J83" s="2275"/>
      <c r="K83" s="2275"/>
      <c r="L83" s="2276"/>
      <c r="M83" s="2275"/>
      <c r="N83" s="2275"/>
      <c r="O83" s="2276"/>
      <c r="P83" s="2275"/>
      <c r="Q83" s="2275"/>
      <c r="R83" s="2277"/>
    </row>
    <row r="84" spans="2:18" s="2270" customFormat="1">
      <c r="B84" s="2275"/>
      <c r="C84" s="2275"/>
      <c r="D84" s="2275"/>
      <c r="E84" s="2275"/>
      <c r="F84" s="2275"/>
      <c r="G84" s="2276"/>
      <c r="H84" s="2275"/>
      <c r="I84" s="2276"/>
      <c r="J84" s="2275"/>
      <c r="K84" s="2275"/>
      <c r="L84" s="2276"/>
      <c r="M84" s="2275"/>
      <c r="N84" s="2275"/>
      <c r="O84" s="2276"/>
      <c r="P84" s="2275"/>
      <c r="Q84" s="2275"/>
      <c r="R84" s="2277"/>
    </row>
    <row r="85" spans="2:18" s="2270" customFormat="1">
      <c r="B85" s="2275"/>
      <c r="C85" s="2275"/>
      <c r="D85" s="2275"/>
      <c r="E85" s="2275"/>
      <c r="F85" s="2275"/>
      <c r="G85" s="2276"/>
      <c r="H85" s="2275"/>
      <c r="I85" s="2276"/>
      <c r="J85" s="2275"/>
      <c r="K85" s="2275"/>
      <c r="L85" s="2276"/>
      <c r="M85" s="2275"/>
      <c r="N85" s="2275"/>
      <c r="O85" s="2276"/>
      <c r="P85" s="2275"/>
      <c r="Q85" s="2275"/>
      <c r="R85" s="2277"/>
    </row>
    <row r="86" spans="2:18" s="2270" customFormat="1">
      <c r="B86" s="2275"/>
      <c r="C86" s="2275"/>
      <c r="D86" s="2275"/>
      <c r="E86" s="2275"/>
      <c r="F86" s="2275"/>
      <c r="G86" s="2276"/>
      <c r="H86" s="2275"/>
      <c r="I86" s="2276"/>
      <c r="J86" s="2275"/>
      <c r="K86" s="2275"/>
      <c r="L86" s="2276"/>
      <c r="M86" s="2275"/>
      <c r="N86" s="2275"/>
      <c r="O86" s="2276"/>
      <c r="P86" s="2275"/>
      <c r="Q86" s="2275"/>
      <c r="R86" s="2277"/>
    </row>
    <row r="87" spans="2:18" s="2270" customFormat="1">
      <c r="B87" s="2275"/>
      <c r="C87" s="2275"/>
      <c r="D87" s="2275"/>
      <c r="E87" s="2275"/>
      <c r="F87" s="2275"/>
      <c r="G87" s="2276"/>
      <c r="H87" s="2275"/>
      <c r="I87" s="2276"/>
      <c r="J87" s="2275"/>
      <c r="K87" s="2275"/>
      <c r="L87" s="2276"/>
      <c r="M87" s="2275"/>
      <c r="N87" s="2275"/>
      <c r="O87" s="2276"/>
      <c r="P87" s="2275"/>
      <c r="Q87" s="2275"/>
      <c r="R87" s="2277"/>
    </row>
    <row r="88" spans="2:18" s="2270" customFormat="1">
      <c r="B88" s="2275"/>
      <c r="C88" s="2275"/>
      <c r="D88" s="2275"/>
      <c r="E88" s="2275"/>
      <c r="F88" s="2275"/>
      <c r="G88" s="2276"/>
      <c r="H88" s="2275"/>
      <c r="I88" s="2276"/>
      <c r="J88" s="2275"/>
      <c r="K88" s="2275"/>
      <c r="L88" s="2276"/>
      <c r="M88" s="2275"/>
      <c r="N88" s="2275"/>
      <c r="O88" s="2276"/>
      <c r="P88" s="2275"/>
      <c r="Q88" s="2275"/>
      <c r="R88" s="2277"/>
    </row>
    <row r="89" spans="2:18" s="2270" customFormat="1">
      <c r="B89" s="2275"/>
      <c r="C89" s="2275"/>
      <c r="D89" s="2275"/>
      <c r="E89" s="2275"/>
      <c r="F89" s="2275"/>
      <c r="G89" s="2276"/>
      <c r="H89" s="2275"/>
      <c r="I89" s="2276"/>
      <c r="J89" s="2275"/>
      <c r="K89" s="2275"/>
      <c r="L89" s="2276"/>
      <c r="M89" s="2275"/>
      <c r="N89" s="2275"/>
      <c r="O89" s="2276"/>
      <c r="P89" s="2275"/>
      <c r="Q89" s="2275"/>
      <c r="R89" s="2277"/>
    </row>
    <row r="90" spans="2:18" s="2270" customFormat="1">
      <c r="B90" s="2275"/>
      <c r="C90" s="2275"/>
      <c r="D90" s="2275"/>
      <c r="E90" s="2275"/>
      <c r="F90" s="2275"/>
      <c r="G90" s="2276"/>
      <c r="H90" s="2275"/>
      <c r="I90" s="2276"/>
      <c r="J90" s="2275"/>
      <c r="K90" s="2275"/>
      <c r="L90" s="2276"/>
      <c r="M90" s="2275"/>
      <c r="N90" s="2275"/>
      <c r="O90" s="2276"/>
      <c r="P90" s="2275"/>
      <c r="Q90" s="2275"/>
      <c r="R90" s="2277"/>
    </row>
    <row r="91" spans="2:18" s="2270" customFormat="1">
      <c r="B91" s="2275"/>
      <c r="C91" s="2275"/>
      <c r="D91" s="2275"/>
      <c r="E91" s="2275"/>
      <c r="F91" s="2275"/>
      <c r="G91" s="2276"/>
      <c r="H91" s="2275"/>
      <c r="I91" s="2276"/>
      <c r="J91" s="2275"/>
      <c r="K91" s="2275"/>
      <c r="L91" s="2276"/>
      <c r="M91" s="2275"/>
      <c r="N91" s="2275"/>
      <c r="O91" s="2276"/>
      <c r="P91" s="2275"/>
      <c r="Q91" s="2275"/>
      <c r="R91" s="2277"/>
    </row>
    <row r="92" spans="2:18" s="2270" customFormat="1">
      <c r="B92" s="2275"/>
      <c r="C92" s="2275"/>
      <c r="D92" s="2275"/>
      <c r="E92" s="2275"/>
      <c r="F92" s="2275"/>
      <c r="G92" s="2276"/>
      <c r="H92" s="2275"/>
      <c r="I92" s="2276"/>
      <c r="J92" s="2275"/>
      <c r="K92" s="2275"/>
      <c r="L92" s="2276"/>
      <c r="M92" s="2275"/>
      <c r="N92" s="2275"/>
      <c r="O92" s="2276"/>
      <c r="P92" s="2275"/>
      <c r="Q92" s="2275"/>
      <c r="R92" s="2277"/>
    </row>
    <row r="93" spans="2:18" s="2270" customFormat="1">
      <c r="B93" s="2275"/>
      <c r="C93" s="2275"/>
      <c r="D93" s="2275"/>
      <c r="E93" s="2275"/>
      <c r="F93" s="2275"/>
      <c r="G93" s="2276"/>
      <c r="H93" s="2275"/>
      <c r="I93" s="2276"/>
      <c r="J93" s="2275"/>
      <c r="K93" s="2275"/>
      <c r="L93" s="2276"/>
      <c r="M93" s="2275"/>
      <c r="N93" s="2275"/>
      <c r="O93" s="2276"/>
      <c r="P93" s="2275"/>
      <c r="Q93" s="2275"/>
      <c r="R93" s="2277"/>
    </row>
    <row r="94" spans="2:18" s="2270" customFormat="1">
      <c r="B94" s="2275"/>
      <c r="C94" s="2275"/>
      <c r="D94" s="2275"/>
      <c r="E94" s="2275"/>
      <c r="F94" s="2275"/>
      <c r="G94" s="2276"/>
      <c r="H94" s="2275"/>
      <c r="I94" s="2276"/>
      <c r="J94" s="2275"/>
      <c r="K94" s="2275"/>
      <c r="L94" s="2276"/>
      <c r="M94" s="2275"/>
      <c r="N94" s="2275"/>
      <c r="O94" s="2276"/>
      <c r="P94" s="2275"/>
      <c r="Q94" s="2275"/>
      <c r="R94" s="2277"/>
    </row>
    <row r="95" spans="2:18" s="2270" customFormat="1">
      <c r="B95" s="2275"/>
      <c r="C95" s="2275"/>
      <c r="D95" s="2275"/>
      <c r="E95" s="2275"/>
      <c r="F95" s="2275"/>
      <c r="G95" s="2276"/>
      <c r="H95" s="2275"/>
      <c r="I95" s="2276"/>
      <c r="J95" s="2275"/>
      <c r="K95" s="2275"/>
      <c r="L95" s="2276"/>
      <c r="M95" s="2275"/>
      <c r="N95" s="2275"/>
      <c r="O95" s="2276"/>
      <c r="P95" s="2275"/>
      <c r="Q95" s="2275"/>
      <c r="R95" s="2277"/>
    </row>
    <row r="96" spans="2:18" s="2270" customFormat="1">
      <c r="B96" s="2275"/>
      <c r="C96" s="2275"/>
      <c r="D96" s="2275"/>
      <c r="E96" s="2275"/>
      <c r="F96" s="2275"/>
      <c r="G96" s="2276"/>
      <c r="H96" s="2275"/>
      <c r="I96" s="2276"/>
      <c r="J96" s="2275"/>
      <c r="K96" s="2275"/>
      <c r="L96" s="2276"/>
      <c r="M96" s="2275"/>
      <c r="N96" s="2275"/>
      <c r="O96" s="2276"/>
      <c r="P96" s="2275"/>
      <c r="Q96" s="2275"/>
      <c r="R96" s="2277"/>
    </row>
    <row r="97" spans="2:18" s="2270" customFormat="1">
      <c r="B97" s="2275"/>
      <c r="C97" s="2275"/>
      <c r="D97" s="2275"/>
      <c r="E97" s="2275"/>
      <c r="F97" s="2275"/>
      <c r="G97" s="2276"/>
      <c r="H97" s="2275"/>
      <c r="I97" s="2276"/>
      <c r="J97" s="2275"/>
      <c r="K97" s="2275"/>
      <c r="L97" s="2276"/>
      <c r="M97" s="2275"/>
      <c r="N97" s="2275"/>
      <c r="O97" s="2276"/>
      <c r="P97" s="2275"/>
      <c r="Q97" s="2275"/>
      <c r="R97" s="2277"/>
    </row>
    <row r="98" spans="2:18" s="2270" customFormat="1">
      <c r="B98" s="2275"/>
      <c r="C98" s="2275"/>
      <c r="D98" s="2275"/>
      <c r="E98" s="2275"/>
      <c r="F98" s="2275"/>
      <c r="G98" s="2276"/>
      <c r="H98" s="2275"/>
      <c r="I98" s="2276"/>
      <c r="J98" s="2275"/>
      <c r="K98" s="2275"/>
      <c r="L98" s="2276"/>
      <c r="M98" s="2275"/>
      <c r="N98" s="2275"/>
      <c r="O98" s="2276"/>
      <c r="P98" s="2275"/>
      <c r="Q98" s="2275"/>
      <c r="R98" s="2277"/>
    </row>
    <row r="99" spans="2:18" s="2270" customFormat="1">
      <c r="B99" s="2275"/>
      <c r="C99" s="2275"/>
      <c r="D99" s="2275"/>
      <c r="E99" s="2275"/>
      <c r="F99" s="2275"/>
      <c r="G99" s="2276"/>
      <c r="H99" s="2275"/>
      <c r="I99" s="2276"/>
      <c r="J99" s="2275"/>
      <c r="K99" s="2275"/>
      <c r="L99" s="2276"/>
      <c r="M99" s="2275"/>
      <c r="N99" s="2275"/>
      <c r="O99" s="2276"/>
      <c r="P99" s="2275"/>
      <c r="Q99" s="2275"/>
      <c r="R99" s="2277"/>
    </row>
    <row r="100" spans="2:18" s="2270" customFormat="1">
      <c r="B100" s="2275"/>
      <c r="C100" s="2275"/>
      <c r="D100" s="2275"/>
      <c r="E100" s="2275"/>
      <c r="F100" s="2275"/>
      <c r="G100" s="2276"/>
      <c r="H100" s="2275"/>
      <c r="I100" s="2276"/>
      <c r="J100" s="2275"/>
      <c r="K100" s="2275"/>
      <c r="L100" s="2276"/>
      <c r="M100" s="2275"/>
      <c r="N100" s="2275"/>
      <c r="O100" s="2276"/>
      <c r="P100" s="2275"/>
      <c r="Q100" s="2275"/>
      <c r="R100" s="2277"/>
    </row>
    <row r="101" spans="2:18" s="2270" customFormat="1">
      <c r="B101" s="2275"/>
      <c r="C101" s="2275"/>
      <c r="D101" s="2275"/>
      <c r="E101" s="2275"/>
      <c r="F101" s="2275"/>
      <c r="G101" s="2276"/>
      <c r="H101" s="2275"/>
      <c r="I101" s="2276"/>
      <c r="J101" s="2275"/>
      <c r="K101" s="2275"/>
      <c r="L101" s="2276"/>
      <c r="M101" s="2275"/>
      <c r="N101" s="2275"/>
      <c r="O101" s="2276"/>
      <c r="P101" s="2275"/>
      <c r="Q101" s="2275"/>
      <c r="R101" s="2277"/>
    </row>
    <row r="102" spans="2:18" s="2270" customFormat="1">
      <c r="B102" s="2275"/>
      <c r="C102" s="2275"/>
      <c r="D102" s="2275"/>
      <c r="E102" s="2275"/>
      <c r="F102" s="2275"/>
      <c r="G102" s="2276"/>
      <c r="H102" s="2275"/>
      <c r="I102" s="2276"/>
      <c r="J102" s="2275"/>
      <c r="K102" s="2275"/>
      <c r="L102" s="2276"/>
      <c r="M102" s="2275"/>
      <c r="N102" s="2275"/>
      <c r="O102" s="2276"/>
      <c r="P102" s="2275"/>
      <c r="Q102" s="2275"/>
      <c r="R102" s="2277"/>
    </row>
    <row r="103" spans="2:18" s="2270" customFormat="1">
      <c r="B103" s="2275"/>
      <c r="C103" s="2275"/>
      <c r="D103" s="2275"/>
      <c r="E103" s="2275"/>
      <c r="F103" s="2275"/>
      <c r="G103" s="2276"/>
      <c r="H103" s="2275"/>
      <c r="I103" s="2276"/>
      <c r="J103" s="2275"/>
      <c r="K103" s="2275"/>
      <c r="L103" s="2276"/>
      <c r="M103" s="2275"/>
      <c r="N103" s="2275"/>
      <c r="O103" s="2276"/>
      <c r="P103" s="2275"/>
      <c r="Q103" s="2275"/>
      <c r="R103" s="2277"/>
    </row>
    <row r="104" spans="2:18" s="2270" customFormat="1">
      <c r="B104" s="2275"/>
      <c r="C104" s="2275"/>
      <c r="D104" s="2275"/>
      <c r="E104" s="2275"/>
      <c r="F104" s="2275"/>
      <c r="G104" s="2276"/>
      <c r="H104" s="2275"/>
      <c r="I104" s="2276"/>
      <c r="J104" s="2275"/>
      <c r="K104" s="2275"/>
      <c r="L104" s="2276"/>
      <c r="M104" s="2275"/>
      <c r="N104" s="2275"/>
      <c r="O104" s="2276"/>
      <c r="P104" s="2275"/>
      <c r="Q104" s="2275"/>
      <c r="R104" s="2277"/>
    </row>
    <row r="105" spans="2:18" s="2270" customFormat="1">
      <c r="B105" s="2275"/>
      <c r="C105" s="2275"/>
      <c r="D105" s="2275"/>
      <c r="E105" s="2275"/>
      <c r="F105" s="2275"/>
      <c r="G105" s="2276"/>
      <c r="H105" s="2275"/>
      <c r="I105" s="2276"/>
      <c r="J105" s="2275"/>
      <c r="K105" s="2275"/>
      <c r="L105" s="2276"/>
      <c r="M105" s="2275"/>
      <c r="N105" s="2275"/>
      <c r="O105" s="2276"/>
      <c r="P105" s="2275"/>
      <c r="Q105" s="2275"/>
      <c r="R105" s="2277"/>
    </row>
    <row r="106" spans="2:18" s="2270" customFormat="1">
      <c r="B106" s="2275"/>
      <c r="C106" s="2275"/>
      <c r="D106" s="2275"/>
      <c r="E106" s="2275"/>
      <c r="F106" s="2275"/>
      <c r="G106" s="2276"/>
      <c r="H106" s="2275"/>
      <c r="I106" s="2276"/>
      <c r="J106" s="2275"/>
      <c r="K106" s="2275"/>
      <c r="L106" s="2276"/>
      <c r="M106" s="2275"/>
      <c r="N106" s="2275"/>
      <c r="O106" s="2276"/>
      <c r="P106" s="2275"/>
      <c r="Q106" s="2275"/>
      <c r="R106" s="2277"/>
    </row>
    <row r="107" spans="2:18" s="2270" customFormat="1">
      <c r="B107" s="2275"/>
      <c r="C107" s="2275"/>
      <c r="D107" s="2275"/>
      <c r="E107" s="2275"/>
      <c r="F107" s="2275"/>
      <c r="G107" s="2276"/>
      <c r="H107" s="2275"/>
      <c r="I107" s="2276"/>
      <c r="J107" s="2275"/>
      <c r="K107" s="2275"/>
      <c r="L107" s="2276"/>
      <c r="M107" s="2275"/>
      <c r="N107" s="2275"/>
      <c r="O107" s="2276"/>
      <c r="P107" s="2275"/>
      <c r="Q107" s="2275"/>
      <c r="R107" s="2277"/>
    </row>
    <row r="108" spans="2:18" s="2270" customFormat="1">
      <c r="B108" s="2275"/>
      <c r="C108" s="2275"/>
      <c r="D108" s="2275"/>
      <c r="E108" s="2275"/>
      <c r="F108" s="2275"/>
      <c r="G108" s="2276"/>
      <c r="H108" s="2275"/>
      <c r="I108" s="2276"/>
      <c r="J108" s="2275"/>
      <c r="K108" s="2275"/>
      <c r="L108" s="2276"/>
      <c r="M108" s="2275"/>
      <c r="N108" s="2275"/>
      <c r="O108" s="2276"/>
      <c r="P108" s="2275"/>
      <c r="Q108" s="2275"/>
      <c r="R108" s="2277"/>
    </row>
    <row r="109" spans="2:18" s="2270" customFormat="1">
      <c r="B109" s="2275"/>
      <c r="C109" s="2275"/>
      <c r="D109" s="2275"/>
      <c r="E109" s="2275"/>
      <c r="F109" s="2275"/>
      <c r="G109" s="2276"/>
      <c r="H109" s="2275"/>
      <c r="I109" s="2276"/>
      <c r="J109" s="2275"/>
      <c r="K109" s="2275"/>
      <c r="L109" s="2276"/>
      <c r="M109" s="2275"/>
      <c r="N109" s="2275"/>
      <c r="O109" s="2276"/>
      <c r="P109" s="2275"/>
      <c r="Q109" s="2275"/>
      <c r="R109" s="2277"/>
    </row>
    <row r="110" spans="2:18" s="2270" customFormat="1">
      <c r="B110" s="2275"/>
      <c r="C110" s="2275"/>
      <c r="D110" s="2275"/>
      <c r="E110" s="2275"/>
      <c r="F110" s="2275"/>
      <c r="G110" s="2276"/>
      <c r="H110" s="2275"/>
      <c r="I110" s="2276"/>
      <c r="J110" s="2275"/>
      <c r="K110" s="2275"/>
      <c r="L110" s="2276"/>
      <c r="M110" s="2275"/>
      <c r="N110" s="2275"/>
      <c r="O110" s="2276"/>
      <c r="P110" s="2275"/>
      <c r="Q110" s="2275"/>
      <c r="R110" s="2277"/>
    </row>
    <row r="111" spans="2:18" s="2270" customFormat="1">
      <c r="B111" s="2275"/>
      <c r="C111" s="2275"/>
      <c r="D111" s="2275"/>
      <c r="E111" s="2275"/>
      <c r="F111" s="2275"/>
      <c r="G111" s="2276"/>
      <c r="H111" s="2275"/>
      <c r="I111" s="2276"/>
      <c r="J111" s="2275"/>
      <c r="K111" s="2275"/>
      <c r="L111" s="2276"/>
      <c r="M111" s="2275"/>
      <c r="N111" s="2275"/>
      <c r="O111" s="2276"/>
      <c r="P111" s="2275"/>
      <c r="Q111" s="2275"/>
      <c r="R111" s="2277"/>
    </row>
    <row r="112" spans="2:18" s="2270" customFormat="1">
      <c r="B112" s="2275"/>
      <c r="C112" s="2275"/>
      <c r="D112" s="2275"/>
      <c r="E112" s="2275"/>
      <c r="F112" s="2275"/>
      <c r="G112" s="2276"/>
      <c r="H112" s="2275"/>
      <c r="I112" s="2276"/>
      <c r="J112" s="2275"/>
      <c r="K112" s="2275"/>
      <c r="L112" s="2276"/>
      <c r="M112" s="2275"/>
      <c r="N112" s="2275"/>
      <c r="O112" s="2276"/>
      <c r="P112" s="2275"/>
      <c r="Q112" s="2275"/>
      <c r="R112" s="2277"/>
    </row>
    <row r="113" spans="2:18" s="2270" customFormat="1">
      <c r="B113" s="2275"/>
      <c r="C113" s="2275"/>
      <c r="D113" s="2275"/>
      <c r="E113" s="2275"/>
      <c r="F113" s="2275"/>
      <c r="G113" s="2276"/>
      <c r="H113" s="2275"/>
      <c r="I113" s="2276"/>
      <c r="J113" s="2275"/>
      <c r="K113" s="2275"/>
      <c r="L113" s="2276"/>
      <c r="M113" s="2275"/>
      <c r="N113" s="2275"/>
      <c r="O113" s="2276"/>
      <c r="P113" s="2275"/>
      <c r="Q113" s="2275"/>
      <c r="R113" s="2277"/>
    </row>
    <row r="114" spans="2:18" s="2270" customFormat="1">
      <c r="B114" s="2275"/>
      <c r="C114" s="2275"/>
      <c r="D114" s="2275"/>
      <c r="E114" s="2275"/>
      <c r="F114" s="2275"/>
      <c r="G114" s="2276"/>
      <c r="H114" s="2275"/>
      <c r="I114" s="2276"/>
      <c r="J114" s="2275"/>
      <c r="K114" s="2275"/>
      <c r="L114" s="2276"/>
      <c r="M114" s="2275"/>
      <c r="N114" s="2275"/>
      <c r="O114" s="2276"/>
      <c r="P114" s="2275"/>
      <c r="Q114" s="2275"/>
      <c r="R114" s="2277"/>
    </row>
    <row r="115" spans="2:18" s="2270" customFormat="1">
      <c r="B115" s="2275"/>
      <c r="C115" s="2275"/>
      <c r="D115" s="2275"/>
      <c r="E115" s="2275"/>
      <c r="F115" s="2275"/>
      <c r="G115" s="2276"/>
      <c r="H115" s="2275"/>
      <c r="I115" s="2276"/>
      <c r="J115" s="2275"/>
      <c r="K115" s="2275"/>
      <c r="L115" s="2276"/>
      <c r="M115" s="2275"/>
      <c r="N115" s="2275"/>
      <c r="O115" s="2276"/>
      <c r="P115" s="2275"/>
      <c r="Q115" s="2275"/>
      <c r="R115" s="2277"/>
    </row>
    <row r="116" spans="2:18" s="2270" customFormat="1">
      <c r="B116" s="2275"/>
      <c r="C116" s="2275"/>
      <c r="D116" s="2275"/>
      <c r="E116" s="2275"/>
      <c r="F116" s="2275"/>
      <c r="G116" s="2276"/>
      <c r="H116" s="2275"/>
      <c r="I116" s="2276"/>
      <c r="J116" s="2275"/>
      <c r="K116" s="2275"/>
      <c r="L116" s="2276"/>
      <c r="M116" s="2275"/>
      <c r="N116" s="2275"/>
      <c r="O116" s="2276"/>
      <c r="P116" s="2275"/>
      <c r="Q116" s="2275"/>
      <c r="R116" s="2277"/>
    </row>
    <row r="117" spans="2:18" s="2270" customFormat="1">
      <c r="B117" s="2275"/>
      <c r="C117" s="2275"/>
      <c r="D117" s="2275"/>
      <c r="E117" s="2275"/>
      <c r="F117" s="2275"/>
      <c r="G117" s="2276"/>
      <c r="H117" s="2275"/>
      <c r="I117" s="2276"/>
      <c r="J117" s="2275"/>
      <c r="K117" s="2275"/>
      <c r="L117" s="2276"/>
      <c r="M117" s="2275"/>
      <c r="N117" s="2275"/>
      <c r="O117" s="2276"/>
      <c r="P117" s="2275"/>
      <c r="Q117" s="2275"/>
      <c r="R117" s="2277"/>
    </row>
    <row r="118" spans="2:18" s="2270" customFormat="1">
      <c r="B118" s="2275"/>
      <c r="C118" s="2275"/>
      <c r="D118" s="2275"/>
      <c r="E118" s="2275"/>
      <c r="F118" s="2275"/>
      <c r="G118" s="2276"/>
      <c r="H118" s="2275"/>
      <c r="I118" s="2276"/>
      <c r="J118" s="2275"/>
      <c r="K118" s="2275"/>
      <c r="L118" s="2276"/>
      <c r="M118" s="2275"/>
      <c r="N118" s="2275"/>
      <c r="O118" s="2276"/>
      <c r="P118" s="2275"/>
      <c r="Q118" s="2275"/>
      <c r="R118" s="2277"/>
    </row>
    <row r="119" spans="2:18" s="2270" customFormat="1">
      <c r="B119" s="2275"/>
      <c r="C119" s="2275"/>
      <c r="D119" s="2275"/>
      <c r="E119" s="2275"/>
      <c r="F119" s="2275"/>
      <c r="G119" s="2276"/>
      <c r="H119" s="2275"/>
      <c r="I119" s="2276"/>
      <c r="J119" s="2275"/>
      <c r="K119" s="2275"/>
      <c r="L119" s="2276"/>
      <c r="M119" s="2275"/>
      <c r="N119" s="2275"/>
      <c r="O119" s="2276"/>
      <c r="P119" s="2275"/>
      <c r="Q119" s="2275"/>
      <c r="R119" s="2277"/>
    </row>
    <row r="120" spans="2:18" s="2270" customFormat="1">
      <c r="B120" s="2275"/>
      <c r="C120" s="2275"/>
      <c r="D120" s="2275"/>
      <c r="E120" s="2275"/>
      <c r="F120" s="2275"/>
      <c r="G120" s="2276"/>
      <c r="H120" s="2275"/>
      <c r="I120" s="2276"/>
      <c r="J120" s="2275"/>
      <c r="K120" s="2275"/>
      <c r="L120" s="2276"/>
      <c r="M120" s="2275"/>
      <c r="N120" s="2275"/>
      <c r="O120" s="2276"/>
      <c r="P120" s="2275"/>
      <c r="Q120" s="2275"/>
      <c r="R120" s="2277"/>
    </row>
    <row r="121" spans="2:18" s="2270" customFormat="1">
      <c r="B121" s="2275"/>
      <c r="C121" s="2275"/>
      <c r="D121" s="2275"/>
      <c r="E121" s="2275"/>
      <c r="F121" s="2275"/>
      <c r="G121" s="2276"/>
      <c r="H121" s="2275"/>
      <c r="I121" s="2276"/>
      <c r="J121" s="2275"/>
      <c r="K121" s="2275"/>
      <c r="L121" s="2276"/>
      <c r="M121" s="2275"/>
      <c r="N121" s="2275"/>
      <c r="O121" s="2276"/>
      <c r="P121" s="2275"/>
      <c r="Q121" s="2275"/>
      <c r="R121" s="2277"/>
    </row>
    <row r="122" spans="2:18" s="2270" customFormat="1">
      <c r="B122" s="2275"/>
      <c r="C122" s="2275"/>
      <c r="D122" s="2275"/>
      <c r="E122" s="2275"/>
      <c r="F122" s="2275"/>
      <c r="G122" s="2276"/>
      <c r="H122" s="2275"/>
      <c r="I122" s="2276"/>
      <c r="J122" s="2275"/>
      <c r="K122" s="2275"/>
      <c r="L122" s="2276"/>
      <c r="M122" s="2275"/>
      <c r="N122" s="2275"/>
      <c r="O122" s="2276"/>
      <c r="P122" s="2275"/>
      <c r="Q122" s="2275"/>
      <c r="R122" s="2277"/>
    </row>
    <row r="123" spans="2:18" s="2270" customFormat="1">
      <c r="B123" s="2275"/>
      <c r="C123" s="2275"/>
      <c r="D123" s="2275"/>
      <c r="E123" s="2275"/>
      <c r="F123" s="2275"/>
      <c r="G123" s="2276"/>
      <c r="H123" s="2275"/>
      <c r="I123" s="2276"/>
      <c r="J123" s="2275"/>
      <c r="K123" s="2275"/>
      <c r="L123" s="2276"/>
      <c r="M123" s="2275"/>
      <c r="N123" s="2275"/>
      <c r="O123" s="2276"/>
      <c r="P123" s="2275"/>
      <c r="Q123" s="2275"/>
      <c r="R123" s="2277"/>
    </row>
    <row r="124" spans="2:18" s="2270" customFormat="1">
      <c r="B124" s="2275"/>
      <c r="C124" s="2275"/>
      <c r="D124" s="2275"/>
      <c r="E124" s="2275"/>
      <c r="F124" s="2275"/>
      <c r="G124" s="2276"/>
      <c r="H124" s="2275"/>
      <c r="I124" s="2276"/>
      <c r="J124" s="2275"/>
      <c r="K124" s="2275"/>
      <c r="L124" s="2276"/>
      <c r="M124" s="2275"/>
      <c r="N124" s="2275"/>
      <c r="O124" s="2276"/>
      <c r="P124" s="2275"/>
      <c r="Q124" s="2275"/>
      <c r="R124" s="2277"/>
    </row>
    <row r="125" spans="2:18" s="2270" customFormat="1">
      <c r="B125" s="2275"/>
      <c r="C125" s="2275"/>
      <c r="D125" s="2275"/>
      <c r="E125" s="2275"/>
      <c r="F125" s="2275"/>
      <c r="G125" s="2276"/>
      <c r="H125" s="2275"/>
      <c r="I125" s="2276"/>
      <c r="J125" s="2275"/>
      <c r="K125" s="2275"/>
      <c r="L125" s="2276"/>
      <c r="M125" s="2275"/>
      <c r="N125" s="2275"/>
      <c r="O125" s="2276"/>
      <c r="P125" s="2275"/>
      <c r="Q125" s="2275"/>
      <c r="R125" s="2277"/>
    </row>
    <row r="126" spans="2:18" s="2270" customFormat="1">
      <c r="B126" s="2275"/>
      <c r="C126" s="2275"/>
      <c r="D126" s="2275"/>
      <c r="E126" s="2275"/>
      <c r="F126" s="2275"/>
      <c r="G126" s="2276"/>
      <c r="H126" s="2275"/>
      <c r="I126" s="2276"/>
      <c r="J126" s="2275"/>
      <c r="K126" s="2275"/>
      <c r="L126" s="2276"/>
      <c r="M126" s="2275"/>
      <c r="N126" s="2275"/>
      <c r="O126" s="2276"/>
      <c r="P126" s="2275"/>
      <c r="Q126" s="2275"/>
      <c r="R126" s="2277"/>
    </row>
    <row r="127" spans="2:18" s="2270" customFormat="1">
      <c r="B127" s="2275"/>
      <c r="C127" s="2275"/>
      <c r="D127" s="2275"/>
      <c r="E127" s="2275"/>
      <c r="F127" s="2275"/>
      <c r="G127" s="2276"/>
      <c r="H127" s="2275"/>
      <c r="I127" s="2276"/>
      <c r="J127" s="2275"/>
      <c r="K127" s="2275"/>
      <c r="L127" s="2276"/>
      <c r="M127" s="2275"/>
      <c r="N127" s="2275"/>
      <c r="O127" s="2276"/>
      <c r="P127" s="2275"/>
      <c r="Q127" s="2275"/>
      <c r="R127" s="2277"/>
    </row>
    <row r="128" spans="2:18" s="2270" customFormat="1">
      <c r="B128" s="2275"/>
      <c r="C128" s="2275"/>
      <c r="D128" s="2275"/>
      <c r="E128" s="2275"/>
      <c r="F128" s="2275"/>
      <c r="G128" s="2276"/>
      <c r="H128" s="2275"/>
      <c r="I128" s="2276"/>
      <c r="J128" s="2275"/>
      <c r="K128" s="2275"/>
      <c r="L128" s="2276"/>
      <c r="M128" s="2275"/>
      <c r="N128" s="2275"/>
      <c r="O128" s="2276"/>
      <c r="P128" s="2275"/>
      <c r="Q128" s="2275"/>
      <c r="R128" s="2277"/>
    </row>
    <row r="129" spans="2:18" s="2270" customFormat="1">
      <c r="B129" s="2275"/>
      <c r="C129" s="2275"/>
      <c r="D129" s="2275"/>
      <c r="E129" s="2275"/>
      <c r="F129" s="2275"/>
      <c r="G129" s="2276"/>
      <c r="H129" s="2275"/>
      <c r="I129" s="2276"/>
      <c r="J129" s="2275"/>
      <c r="K129" s="2275"/>
      <c r="L129" s="2276"/>
      <c r="M129" s="2275"/>
      <c r="N129" s="2275"/>
      <c r="O129" s="2276"/>
      <c r="P129" s="2275"/>
      <c r="Q129" s="2275"/>
      <c r="R129" s="2277"/>
    </row>
    <row r="130" spans="2:18" s="2270" customFormat="1">
      <c r="B130" s="2275"/>
      <c r="C130" s="2275"/>
      <c r="D130" s="2275"/>
      <c r="E130" s="2275"/>
      <c r="F130" s="2275"/>
      <c r="G130" s="2276"/>
      <c r="H130" s="2275"/>
      <c r="I130" s="2276"/>
      <c r="J130" s="2275"/>
      <c r="K130" s="2275"/>
      <c r="L130" s="2276"/>
      <c r="M130" s="2275"/>
      <c r="N130" s="2275"/>
      <c r="O130" s="2276"/>
      <c r="P130" s="2275"/>
      <c r="Q130" s="2275"/>
      <c r="R130" s="2277"/>
    </row>
    <row r="131" spans="2:18" s="2270" customFormat="1">
      <c r="B131" s="2275"/>
      <c r="C131" s="2275"/>
      <c r="D131" s="2275"/>
      <c r="E131" s="2275"/>
      <c r="F131" s="2275"/>
      <c r="G131" s="2276"/>
      <c r="H131" s="2275"/>
      <c r="I131" s="2276"/>
      <c r="J131" s="2275"/>
      <c r="K131" s="2275"/>
      <c r="L131" s="2276"/>
      <c r="M131" s="2275"/>
      <c r="N131" s="2275"/>
      <c r="O131" s="2276"/>
      <c r="P131" s="2275"/>
      <c r="Q131" s="2275"/>
      <c r="R131" s="2277"/>
    </row>
    <row r="132" spans="2:18" s="2270" customFormat="1">
      <c r="B132" s="2275"/>
      <c r="C132" s="2275"/>
      <c r="D132" s="2275"/>
      <c r="E132" s="2275"/>
      <c r="F132" s="2275"/>
      <c r="G132" s="2276"/>
      <c r="H132" s="2275"/>
      <c r="I132" s="2276"/>
      <c r="J132" s="2275"/>
      <c r="K132" s="2275"/>
      <c r="L132" s="2276"/>
      <c r="M132" s="2275"/>
      <c r="N132" s="2275"/>
      <c r="O132" s="2276"/>
      <c r="P132" s="2275"/>
      <c r="Q132" s="2275"/>
      <c r="R132" s="2277"/>
    </row>
    <row r="133" spans="2:18" s="2270" customFormat="1">
      <c r="B133" s="2275"/>
      <c r="C133" s="2275"/>
      <c r="D133" s="2275"/>
      <c r="E133" s="2275"/>
      <c r="F133" s="2275"/>
      <c r="G133" s="2276"/>
      <c r="H133" s="2275"/>
      <c r="I133" s="2276"/>
      <c r="J133" s="2275"/>
      <c r="K133" s="2275"/>
      <c r="L133" s="2276"/>
      <c r="M133" s="2275"/>
      <c r="N133" s="2275"/>
      <c r="O133" s="2276"/>
      <c r="P133" s="2275"/>
      <c r="Q133" s="2275"/>
      <c r="R133" s="2277"/>
    </row>
    <row r="134" spans="2:18" s="2270" customFormat="1">
      <c r="B134" s="2275"/>
      <c r="C134" s="2275"/>
      <c r="D134" s="2275"/>
      <c r="E134" s="2275"/>
      <c r="F134" s="2275"/>
      <c r="G134" s="2276"/>
      <c r="H134" s="2275"/>
      <c r="I134" s="2276"/>
      <c r="J134" s="2275"/>
      <c r="K134" s="2275"/>
      <c r="L134" s="2276"/>
      <c r="M134" s="2275"/>
      <c r="N134" s="2275"/>
      <c r="O134" s="2276"/>
      <c r="P134" s="2275"/>
      <c r="Q134" s="2275"/>
      <c r="R134" s="2277"/>
    </row>
    <row r="135" spans="2:18" s="2270" customFormat="1">
      <c r="B135" s="2275"/>
      <c r="C135" s="2275"/>
      <c r="D135" s="2275"/>
      <c r="E135" s="2275"/>
      <c r="F135" s="2275"/>
      <c r="G135" s="2276"/>
      <c r="H135" s="2275"/>
      <c r="I135" s="2276"/>
      <c r="J135" s="2275"/>
      <c r="K135" s="2275"/>
      <c r="L135" s="2276"/>
      <c r="M135" s="2275"/>
      <c r="N135" s="2275"/>
      <c r="O135" s="2276"/>
      <c r="P135" s="2275"/>
      <c r="Q135" s="2275"/>
      <c r="R135" s="2277"/>
    </row>
    <row r="136" spans="2:18" s="2270" customFormat="1">
      <c r="B136" s="2275"/>
      <c r="C136" s="2275"/>
      <c r="D136" s="2275"/>
      <c r="E136" s="2275"/>
      <c r="F136" s="2275"/>
      <c r="G136" s="2276"/>
      <c r="H136" s="2275"/>
      <c r="I136" s="2276"/>
      <c r="J136" s="2275"/>
      <c r="K136" s="2275"/>
      <c r="L136" s="2276"/>
      <c r="M136" s="2275"/>
      <c r="N136" s="2275"/>
      <c r="O136" s="2276"/>
      <c r="P136" s="2275"/>
      <c r="Q136" s="2275"/>
      <c r="R136" s="2277"/>
    </row>
    <row r="137" spans="2:18" s="2270" customFormat="1">
      <c r="B137" s="2275"/>
      <c r="C137" s="2275"/>
      <c r="D137" s="2275"/>
      <c r="E137" s="2275"/>
      <c r="F137" s="2275"/>
      <c r="G137" s="2276"/>
      <c r="H137" s="2275"/>
      <c r="I137" s="2276"/>
      <c r="J137" s="2275"/>
      <c r="K137" s="2275"/>
      <c r="L137" s="2276"/>
      <c r="M137" s="2275"/>
      <c r="N137" s="2275"/>
      <c r="O137" s="2276"/>
      <c r="P137" s="2275"/>
      <c r="Q137" s="2275"/>
      <c r="R137" s="2277"/>
    </row>
    <row r="138" spans="2:18" s="2270" customFormat="1">
      <c r="B138" s="2275"/>
      <c r="C138" s="2275"/>
      <c r="D138" s="2275"/>
      <c r="E138" s="2275"/>
      <c r="F138" s="2275"/>
      <c r="G138" s="2276"/>
      <c r="H138" s="2275"/>
      <c r="I138" s="2276"/>
      <c r="J138" s="2275"/>
      <c r="K138" s="2275"/>
      <c r="L138" s="2276"/>
      <c r="M138" s="2275"/>
      <c r="N138" s="2275"/>
      <c r="O138" s="2276"/>
      <c r="P138" s="2275"/>
      <c r="Q138" s="2275"/>
      <c r="R138" s="2277"/>
    </row>
    <row r="139" spans="2:18" s="2270" customFormat="1">
      <c r="B139" s="2275"/>
      <c r="C139" s="2275"/>
      <c r="D139" s="2275"/>
      <c r="E139" s="2275"/>
      <c r="F139" s="2275"/>
      <c r="G139" s="2276"/>
      <c r="H139" s="2275"/>
      <c r="I139" s="2276"/>
      <c r="J139" s="2275"/>
      <c r="K139" s="2275"/>
      <c r="L139" s="2276"/>
      <c r="M139" s="2275"/>
      <c r="N139" s="2275"/>
      <c r="O139" s="2276"/>
      <c r="P139" s="2275"/>
      <c r="Q139" s="2275"/>
      <c r="R139" s="2277"/>
    </row>
    <row r="140" spans="2:18" s="2270" customFormat="1">
      <c r="B140" s="2275"/>
      <c r="C140" s="2275"/>
      <c r="D140" s="2275"/>
      <c r="E140" s="2275"/>
      <c r="F140" s="2275"/>
      <c r="G140" s="2276"/>
      <c r="H140" s="2275"/>
      <c r="I140" s="2276"/>
      <c r="J140" s="2275"/>
      <c r="K140" s="2275"/>
      <c r="L140" s="2276"/>
      <c r="M140" s="2275"/>
      <c r="N140" s="2275"/>
      <c r="O140" s="2276"/>
      <c r="P140" s="2275"/>
      <c r="Q140" s="2275"/>
      <c r="R140" s="2277"/>
    </row>
    <row r="141" spans="2:18" s="2270" customFormat="1">
      <c r="B141" s="2275"/>
      <c r="C141" s="2275"/>
      <c r="D141" s="2275"/>
      <c r="E141" s="2275"/>
      <c r="F141" s="2275"/>
      <c r="G141" s="2276"/>
      <c r="H141" s="2275"/>
      <c r="I141" s="2276"/>
      <c r="J141" s="2275"/>
      <c r="K141" s="2275"/>
      <c r="L141" s="2276"/>
      <c r="M141" s="2275"/>
      <c r="N141" s="2275"/>
      <c r="O141" s="2276"/>
      <c r="P141" s="2275"/>
      <c r="Q141" s="2275"/>
      <c r="R141" s="2277"/>
    </row>
    <row r="142" spans="2:18" s="2270" customFormat="1">
      <c r="B142" s="2275"/>
      <c r="C142" s="2275"/>
      <c r="D142" s="2275"/>
      <c r="E142" s="2275"/>
      <c r="F142" s="2275"/>
      <c r="G142" s="2276"/>
      <c r="H142" s="2275"/>
      <c r="I142" s="2276"/>
      <c r="J142" s="2275"/>
      <c r="K142" s="2275"/>
      <c r="L142" s="2276"/>
      <c r="M142" s="2275"/>
      <c r="N142" s="2275"/>
      <c r="O142" s="2276"/>
      <c r="P142" s="2275"/>
      <c r="Q142" s="2275"/>
      <c r="R142" s="2277"/>
    </row>
    <row r="143" spans="2:18" s="2270" customFormat="1">
      <c r="B143" s="2275"/>
      <c r="C143" s="2275"/>
      <c r="D143" s="2275"/>
      <c r="E143" s="2275"/>
      <c r="F143" s="2275"/>
      <c r="G143" s="2276"/>
      <c r="H143" s="2275"/>
      <c r="I143" s="2276"/>
      <c r="J143" s="2275"/>
      <c r="K143" s="2275"/>
      <c r="L143" s="2276"/>
      <c r="M143" s="2275"/>
      <c r="N143" s="2275"/>
      <c r="O143" s="2276"/>
      <c r="P143" s="2275"/>
      <c r="Q143" s="2275"/>
      <c r="R143" s="2277"/>
    </row>
    <row r="144" spans="2:18" s="2270" customFormat="1">
      <c r="B144" s="2275"/>
      <c r="C144" s="2275"/>
      <c r="D144" s="2275"/>
      <c r="E144" s="2275"/>
      <c r="F144" s="2275"/>
      <c r="G144" s="2276"/>
      <c r="H144" s="2275"/>
      <c r="I144" s="2276"/>
      <c r="J144" s="2275"/>
      <c r="K144" s="2275"/>
      <c r="L144" s="2276"/>
      <c r="M144" s="2275"/>
      <c r="N144" s="2275"/>
      <c r="O144" s="2276"/>
      <c r="P144" s="2275"/>
      <c r="Q144" s="2275"/>
      <c r="R144" s="2277"/>
    </row>
    <row r="145" spans="2:18" s="2270" customFormat="1">
      <c r="B145" s="2275"/>
      <c r="C145" s="2275"/>
      <c r="D145" s="2275"/>
      <c r="E145" s="2275"/>
      <c r="F145" s="2275"/>
      <c r="G145" s="2276"/>
      <c r="H145" s="2275"/>
      <c r="I145" s="2276"/>
      <c r="J145" s="2275"/>
      <c r="K145" s="2275"/>
      <c r="L145" s="2276"/>
      <c r="M145" s="2275"/>
      <c r="N145" s="2275"/>
      <c r="O145" s="2276"/>
      <c r="P145" s="2275"/>
      <c r="Q145" s="2275"/>
      <c r="R145" s="2277"/>
    </row>
    <row r="146" spans="2:18" s="2270" customFormat="1">
      <c r="B146" s="2275"/>
      <c r="C146" s="2275"/>
      <c r="D146" s="2275"/>
      <c r="E146" s="2275"/>
      <c r="F146" s="2275"/>
      <c r="G146" s="2276"/>
      <c r="H146" s="2275"/>
      <c r="I146" s="2276"/>
      <c r="J146" s="2275"/>
      <c r="K146" s="2275"/>
      <c r="L146" s="2276"/>
      <c r="M146" s="2275"/>
      <c r="N146" s="2275"/>
      <c r="O146" s="2276"/>
      <c r="P146" s="2275"/>
      <c r="Q146" s="2275"/>
      <c r="R146" s="2277"/>
    </row>
    <row r="147" spans="2:18" s="2270" customFormat="1">
      <c r="B147" s="2275"/>
      <c r="C147" s="2275"/>
      <c r="D147" s="2275"/>
      <c r="E147" s="2275"/>
      <c r="F147" s="2275"/>
      <c r="G147" s="2276"/>
      <c r="H147" s="2275"/>
      <c r="I147" s="2276"/>
      <c r="J147" s="2275"/>
      <c r="K147" s="2275"/>
      <c r="L147" s="2276"/>
      <c r="M147" s="2275"/>
      <c r="N147" s="2275"/>
      <c r="O147" s="2276"/>
      <c r="P147" s="2275"/>
      <c r="Q147" s="2275"/>
      <c r="R147" s="2277"/>
    </row>
    <row r="148" spans="2:18" s="2270" customFormat="1">
      <c r="B148" s="2275"/>
      <c r="C148" s="2275"/>
      <c r="D148" s="2275"/>
      <c r="E148" s="2275"/>
      <c r="F148" s="2275"/>
      <c r="G148" s="2276"/>
      <c r="H148" s="2275"/>
      <c r="I148" s="2276"/>
      <c r="J148" s="2275"/>
      <c r="K148" s="2275"/>
      <c r="L148" s="2276"/>
      <c r="M148" s="2275"/>
      <c r="N148" s="2275"/>
      <c r="O148" s="2276"/>
      <c r="P148" s="2275"/>
      <c r="Q148" s="2275"/>
      <c r="R148" s="2277"/>
    </row>
    <row r="149" spans="2:18" s="2270" customFormat="1">
      <c r="B149" s="2275"/>
      <c r="C149" s="2275"/>
      <c r="D149" s="2275"/>
      <c r="E149" s="2275"/>
      <c r="F149" s="2275"/>
      <c r="G149" s="2276"/>
      <c r="H149" s="2275"/>
      <c r="I149" s="2276"/>
      <c r="J149" s="2275"/>
      <c r="K149" s="2275"/>
      <c r="L149" s="2276"/>
      <c r="M149" s="2275"/>
      <c r="N149" s="2275"/>
      <c r="O149" s="2276"/>
      <c r="P149" s="2275"/>
      <c r="Q149" s="2275"/>
      <c r="R149" s="2277"/>
    </row>
    <row r="150" spans="2:18" s="2270" customFormat="1">
      <c r="B150" s="2275"/>
      <c r="C150" s="2275"/>
      <c r="D150" s="2275"/>
      <c r="E150" s="2275"/>
      <c r="F150" s="2275"/>
      <c r="G150" s="2276"/>
      <c r="H150" s="2275"/>
      <c r="I150" s="2276"/>
      <c r="J150" s="2275"/>
      <c r="K150" s="2275"/>
      <c r="L150" s="2276"/>
      <c r="M150" s="2275"/>
      <c r="N150" s="2275"/>
      <c r="O150" s="2276"/>
      <c r="P150" s="2275"/>
      <c r="Q150" s="2275"/>
      <c r="R150" s="2277"/>
    </row>
    <row r="151" spans="2:18" s="2270" customFormat="1">
      <c r="B151" s="2275"/>
      <c r="C151" s="2275"/>
      <c r="D151" s="2275"/>
      <c r="E151" s="2275"/>
      <c r="F151" s="2275"/>
      <c r="G151" s="2276"/>
      <c r="H151" s="2275"/>
      <c r="I151" s="2276"/>
      <c r="J151" s="2275"/>
      <c r="K151" s="2275"/>
      <c r="L151" s="2276"/>
      <c r="M151" s="2275"/>
      <c r="N151" s="2275"/>
      <c r="O151" s="2276"/>
      <c r="P151" s="2275"/>
      <c r="Q151" s="2275"/>
      <c r="R151" s="2277"/>
    </row>
    <row r="152" spans="2:18" s="2270" customFormat="1">
      <c r="B152" s="2275"/>
      <c r="C152" s="2275"/>
      <c r="D152" s="2275"/>
      <c r="E152" s="2275"/>
      <c r="F152" s="2275"/>
      <c r="G152" s="2276"/>
      <c r="H152" s="2275"/>
      <c r="I152" s="2276"/>
      <c r="J152" s="2275"/>
      <c r="K152" s="2275"/>
      <c r="L152" s="2276"/>
      <c r="M152" s="2275"/>
      <c r="N152" s="2275"/>
      <c r="O152" s="2276"/>
      <c r="P152" s="2275"/>
      <c r="Q152" s="2275"/>
      <c r="R152" s="2277"/>
    </row>
    <row r="153" spans="2:18" s="2270" customFormat="1">
      <c r="B153" s="2275"/>
      <c r="C153" s="2275"/>
      <c r="D153" s="2275"/>
      <c r="E153" s="2275"/>
      <c r="F153" s="2275"/>
      <c r="G153" s="2276"/>
      <c r="H153" s="2275"/>
      <c r="I153" s="2276"/>
      <c r="J153" s="2275"/>
      <c r="K153" s="2275"/>
      <c r="L153" s="2276"/>
      <c r="M153" s="2275"/>
      <c r="N153" s="2275"/>
      <c r="O153" s="2276"/>
      <c r="P153" s="2275"/>
      <c r="Q153" s="2275"/>
      <c r="R153" s="2277"/>
    </row>
    <row r="154" spans="2:18" s="2270" customFormat="1">
      <c r="B154" s="2275"/>
      <c r="C154" s="2275"/>
      <c r="D154" s="2275"/>
      <c r="E154" s="2275"/>
      <c r="F154" s="2275"/>
      <c r="G154" s="2276"/>
      <c r="H154" s="2275"/>
      <c r="I154" s="2276"/>
      <c r="J154" s="2275"/>
      <c r="K154" s="2275"/>
      <c r="L154" s="2276"/>
      <c r="M154" s="2275"/>
      <c r="N154" s="2275"/>
      <c r="O154" s="2276"/>
      <c r="P154" s="2275"/>
      <c r="Q154" s="2275"/>
      <c r="R154" s="2277"/>
    </row>
    <row r="155" spans="2:18" s="2270" customFormat="1">
      <c r="B155" s="2275"/>
      <c r="C155" s="2275"/>
      <c r="D155" s="2275"/>
      <c r="E155" s="2275"/>
      <c r="F155" s="2275"/>
      <c r="G155" s="2276"/>
      <c r="H155" s="2275"/>
      <c r="I155" s="2276"/>
      <c r="J155" s="2275"/>
      <c r="K155" s="2275"/>
      <c r="L155" s="2276"/>
      <c r="M155" s="2275"/>
      <c r="N155" s="2275"/>
      <c r="O155" s="2276"/>
      <c r="P155" s="2275"/>
      <c r="Q155" s="2275"/>
      <c r="R155" s="2277"/>
    </row>
    <row r="156" spans="2:18" s="2270" customFormat="1">
      <c r="B156" s="2275"/>
      <c r="C156" s="2275"/>
      <c r="D156" s="2275"/>
      <c r="E156" s="2275"/>
      <c r="F156" s="2275"/>
      <c r="G156" s="2276"/>
      <c r="H156" s="2275"/>
      <c r="I156" s="2276"/>
      <c r="J156" s="2275"/>
      <c r="K156" s="2275"/>
      <c r="L156" s="2276"/>
      <c r="M156" s="2275"/>
      <c r="N156" s="2275"/>
      <c r="O156" s="2276"/>
      <c r="P156" s="2275"/>
      <c r="Q156" s="2275"/>
      <c r="R156" s="2277"/>
    </row>
    <row r="157" spans="2:18" s="2270" customFormat="1">
      <c r="B157" s="2275"/>
      <c r="C157" s="2275"/>
      <c r="D157" s="2275"/>
      <c r="E157" s="2275"/>
      <c r="F157" s="2275"/>
      <c r="G157" s="2276"/>
      <c r="H157" s="2275"/>
      <c r="I157" s="2276"/>
      <c r="J157" s="2275"/>
      <c r="K157" s="2275"/>
      <c r="L157" s="2276"/>
      <c r="M157" s="2275"/>
      <c r="N157" s="2275"/>
      <c r="O157" s="2276"/>
      <c r="P157" s="2275"/>
      <c r="Q157" s="2275"/>
      <c r="R157" s="2277"/>
    </row>
    <row r="158" spans="2:18" s="2270" customFormat="1">
      <c r="B158" s="2275"/>
      <c r="C158" s="2275"/>
      <c r="D158" s="2275"/>
      <c r="E158" s="2275"/>
      <c r="F158" s="2275"/>
      <c r="G158" s="2276"/>
      <c r="H158" s="2275"/>
      <c r="I158" s="2276"/>
      <c r="J158" s="2275"/>
      <c r="K158" s="2275"/>
      <c r="L158" s="2276"/>
      <c r="M158" s="2275"/>
      <c r="N158" s="2275"/>
      <c r="O158" s="2276"/>
      <c r="P158" s="2275"/>
      <c r="Q158" s="2275"/>
      <c r="R158" s="2277"/>
    </row>
    <row r="159" spans="2:18" s="2270" customFormat="1">
      <c r="B159" s="2275"/>
      <c r="C159" s="2275"/>
      <c r="D159" s="2275"/>
      <c r="E159" s="2275"/>
      <c r="F159" s="2275"/>
      <c r="G159" s="2276"/>
      <c r="H159" s="2275"/>
      <c r="I159" s="2276"/>
      <c r="J159" s="2275"/>
      <c r="K159" s="2275"/>
      <c r="L159" s="2276"/>
      <c r="M159" s="2275"/>
      <c r="N159" s="2275"/>
      <c r="O159" s="2276"/>
      <c r="P159" s="2275"/>
      <c r="Q159" s="2275"/>
      <c r="R159" s="2277"/>
    </row>
    <row r="160" spans="2:18" s="2270" customFormat="1">
      <c r="B160" s="2275"/>
      <c r="C160" s="2275"/>
      <c r="D160" s="2275"/>
      <c r="E160" s="2275"/>
      <c r="F160" s="2275"/>
      <c r="G160" s="2276"/>
      <c r="H160" s="2275"/>
      <c r="I160" s="2276"/>
      <c r="J160" s="2275"/>
      <c r="K160" s="2275"/>
      <c r="L160" s="2276"/>
      <c r="M160" s="2275"/>
      <c r="N160" s="2275"/>
      <c r="O160" s="2276"/>
      <c r="P160" s="2275"/>
      <c r="Q160" s="2275"/>
      <c r="R160" s="2277"/>
    </row>
    <row r="161" spans="2:18" s="2270" customFormat="1">
      <c r="B161" s="2275"/>
      <c r="C161" s="2275"/>
      <c r="D161" s="2275"/>
      <c r="E161" s="2275"/>
      <c r="F161" s="2275"/>
      <c r="G161" s="2276"/>
      <c r="H161" s="2275"/>
      <c r="I161" s="2276"/>
      <c r="J161" s="2275"/>
      <c r="K161" s="2275"/>
      <c r="L161" s="2276"/>
      <c r="M161" s="2275"/>
      <c r="N161" s="2275"/>
      <c r="O161" s="2276"/>
      <c r="P161" s="2275"/>
      <c r="Q161" s="2275"/>
      <c r="R161" s="2277"/>
    </row>
    <row r="162" spans="2:18" s="2270" customFormat="1">
      <c r="B162" s="2275"/>
      <c r="C162" s="2275"/>
      <c r="D162" s="2275"/>
      <c r="E162" s="2275"/>
      <c r="F162" s="2275"/>
      <c r="G162" s="2276"/>
      <c r="H162" s="2275"/>
      <c r="I162" s="2276"/>
      <c r="J162" s="2275"/>
      <c r="K162" s="2275"/>
      <c r="L162" s="2276"/>
      <c r="M162" s="2275"/>
      <c r="N162" s="2275"/>
      <c r="O162" s="2276"/>
      <c r="P162" s="2275"/>
      <c r="Q162" s="2275"/>
      <c r="R162" s="2277"/>
    </row>
    <row r="163" spans="2:18" s="2270" customFormat="1">
      <c r="B163" s="2275"/>
      <c r="C163" s="2275"/>
      <c r="D163" s="2275"/>
      <c r="E163" s="2275"/>
      <c r="F163" s="2275"/>
      <c r="G163" s="2276"/>
      <c r="H163" s="2275"/>
      <c r="I163" s="2276"/>
      <c r="J163" s="2275"/>
      <c r="K163" s="2275"/>
      <c r="L163" s="2276"/>
      <c r="M163" s="2275"/>
      <c r="N163" s="2275"/>
      <c r="O163" s="2276"/>
      <c r="P163" s="2275"/>
      <c r="Q163" s="2275"/>
      <c r="R163" s="2277"/>
    </row>
    <row r="164" spans="2:18" s="2270" customFormat="1">
      <c r="B164" s="2275"/>
      <c r="C164" s="2275"/>
      <c r="D164" s="2275"/>
      <c r="E164" s="2275"/>
      <c r="F164" s="2275"/>
      <c r="G164" s="2276"/>
      <c r="H164" s="2275"/>
      <c r="I164" s="2276"/>
      <c r="J164" s="2275"/>
      <c r="K164" s="2275"/>
      <c r="L164" s="2276"/>
      <c r="M164" s="2275"/>
      <c r="N164" s="2275"/>
      <c r="O164" s="2276"/>
      <c r="P164" s="2275"/>
      <c r="Q164" s="2275"/>
      <c r="R164" s="2277"/>
    </row>
    <row r="165" spans="2:18" s="2270" customFormat="1">
      <c r="B165" s="2275"/>
      <c r="C165" s="2275"/>
      <c r="D165" s="2275"/>
      <c r="E165" s="2275"/>
      <c r="F165" s="2275"/>
      <c r="G165" s="2276"/>
      <c r="H165" s="2275"/>
      <c r="I165" s="2276"/>
      <c r="J165" s="2275"/>
      <c r="K165" s="2275"/>
      <c r="L165" s="2276"/>
      <c r="M165" s="2275"/>
      <c r="N165" s="2275"/>
      <c r="O165" s="2276"/>
      <c r="P165" s="2275"/>
      <c r="Q165" s="2275"/>
      <c r="R165" s="2277"/>
    </row>
    <row r="166" spans="2:18" s="2270" customFormat="1">
      <c r="B166" s="2275"/>
      <c r="C166" s="2275"/>
      <c r="D166" s="2275"/>
      <c r="E166" s="2275"/>
      <c r="F166" s="2275"/>
      <c r="G166" s="2276"/>
      <c r="H166" s="2275"/>
      <c r="I166" s="2276"/>
      <c r="J166" s="2275"/>
      <c r="K166" s="2275"/>
      <c r="L166" s="2276"/>
      <c r="M166" s="2275"/>
      <c r="N166" s="2275"/>
      <c r="O166" s="2276"/>
      <c r="P166" s="2275"/>
      <c r="Q166" s="2275"/>
      <c r="R166" s="2277"/>
    </row>
    <row r="167" spans="2:18" s="2270" customFormat="1">
      <c r="B167" s="2275"/>
      <c r="C167" s="2275"/>
      <c r="D167" s="2275"/>
      <c r="E167" s="2275"/>
      <c r="F167" s="2275"/>
      <c r="G167" s="2276"/>
      <c r="H167" s="2275"/>
      <c r="I167" s="2276"/>
      <c r="J167" s="2275"/>
      <c r="K167" s="2275"/>
      <c r="L167" s="2276"/>
      <c r="M167" s="2275"/>
      <c r="N167" s="2275"/>
      <c r="O167" s="2276"/>
      <c r="P167" s="2275"/>
      <c r="Q167" s="2275"/>
      <c r="R167" s="2277"/>
    </row>
    <row r="168" spans="2:18" s="2270" customFormat="1">
      <c r="B168" s="2275"/>
      <c r="C168" s="2275"/>
      <c r="D168" s="2275"/>
      <c r="E168" s="2275"/>
      <c r="F168" s="2275"/>
      <c r="G168" s="2276"/>
      <c r="H168" s="2275"/>
      <c r="I168" s="2276"/>
      <c r="J168" s="2275"/>
      <c r="K168" s="2275"/>
      <c r="L168" s="2276"/>
      <c r="M168" s="2275"/>
      <c r="N168" s="2275"/>
      <c r="O168" s="2276"/>
      <c r="P168" s="2275"/>
      <c r="Q168" s="2275"/>
      <c r="R168" s="2277"/>
    </row>
    <row r="169" spans="2:18" s="2270" customFormat="1">
      <c r="B169" s="2275"/>
      <c r="C169" s="2275"/>
      <c r="D169" s="2275"/>
      <c r="E169" s="2275"/>
      <c r="F169" s="2275"/>
      <c r="G169" s="2276"/>
      <c r="H169" s="2275"/>
      <c r="I169" s="2276"/>
      <c r="J169" s="2275"/>
      <c r="K169" s="2275"/>
      <c r="L169" s="2276"/>
      <c r="M169" s="2275"/>
      <c r="N169" s="2275"/>
      <c r="O169" s="2276"/>
      <c r="P169" s="2275"/>
      <c r="Q169" s="2275"/>
      <c r="R169" s="2277"/>
    </row>
    <row r="170" spans="2:18" s="2270" customFormat="1">
      <c r="B170" s="2275"/>
      <c r="C170" s="2275"/>
      <c r="D170" s="2275"/>
      <c r="E170" s="2275"/>
      <c r="F170" s="2275"/>
      <c r="G170" s="2276"/>
      <c r="H170" s="2275"/>
      <c r="I170" s="2276"/>
      <c r="J170" s="2275"/>
      <c r="K170" s="2275"/>
      <c r="L170" s="2276"/>
      <c r="M170" s="2275"/>
      <c r="N170" s="2275"/>
      <c r="O170" s="2276"/>
      <c r="P170" s="2275"/>
      <c r="Q170" s="2275"/>
      <c r="R170" s="2277"/>
    </row>
    <row r="171" spans="2:18" s="2270" customFormat="1">
      <c r="B171" s="2275"/>
      <c r="C171" s="2275"/>
      <c r="D171" s="2275"/>
      <c r="E171" s="2275"/>
      <c r="F171" s="2275"/>
      <c r="G171" s="2276"/>
      <c r="H171" s="2275"/>
      <c r="I171" s="2276"/>
      <c r="J171" s="2275"/>
      <c r="K171" s="2275"/>
      <c r="L171" s="2276"/>
      <c r="M171" s="2275"/>
      <c r="N171" s="2275"/>
      <c r="O171" s="2276"/>
      <c r="P171" s="2275"/>
      <c r="Q171" s="2275"/>
      <c r="R171" s="2277"/>
    </row>
    <row r="172" spans="2:18" s="2270" customFormat="1">
      <c r="B172" s="2275"/>
      <c r="C172" s="2275"/>
      <c r="D172" s="2275"/>
      <c r="E172" s="2275"/>
      <c r="F172" s="2275"/>
      <c r="G172" s="2276"/>
      <c r="H172" s="2275"/>
      <c r="I172" s="2276"/>
      <c r="J172" s="2275"/>
      <c r="K172" s="2275"/>
      <c r="L172" s="2276"/>
      <c r="M172" s="2275"/>
      <c r="N172" s="2275"/>
      <c r="O172" s="2276"/>
      <c r="P172" s="2275"/>
      <c r="Q172" s="2275"/>
      <c r="R172" s="2277"/>
    </row>
    <row r="173" spans="2:18" s="2270" customFormat="1">
      <c r="B173" s="2275"/>
      <c r="C173" s="2275"/>
      <c r="D173" s="2275"/>
      <c r="E173" s="2275"/>
      <c r="F173" s="2275"/>
      <c r="G173" s="2276"/>
      <c r="H173" s="2275"/>
      <c r="I173" s="2276"/>
      <c r="J173" s="2275"/>
      <c r="K173" s="2275"/>
      <c r="L173" s="2276"/>
      <c r="M173" s="2275"/>
      <c r="N173" s="2275"/>
      <c r="O173" s="2276"/>
      <c r="P173" s="2275"/>
      <c r="Q173" s="2275"/>
      <c r="R173" s="2277"/>
    </row>
    <row r="174" spans="2:18" s="2270" customFormat="1">
      <c r="B174" s="2275"/>
      <c r="C174" s="2275"/>
      <c r="D174" s="2275"/>
      <c r="E174" s="2275"/>
      <c r="F174" s="2275"/>
      <c r="G174" s="2276"/>
      <c r="H174" s="2275"/>
      <c r="I174" s="2276"/>
      <c r="J174" s="2275"/>
      <c r="K174" s="2275"/>
      <c r="L174" s="2276"/>
      <c r="M174" s="2275"/>
      <c r="N174" s="2275"/>
      <c r="O174" s="2276"/>
      <c r="P174" s="2275"/>
      <c r="Q174" s="2275"/>
      <c r="R174" s="2277"/>
    </row>
    <row r="175" spans="2:18" s="2270" customFormat="1">
      <c r="B175" s="2275"/>
      <c r="C175" s="2275"/>
      <c r="D175" s="2275"/>
      <c r="E175" s="2275"/>
      <c r="F175" s="2275"/>
      <c r="G175" s="2276"/>
      <c r="H175" s="2275"/>
      <c r="I175" s="2276"/>
      <c r="J175" s="2275"/>
      <c r="K175" s="2275"/>
      <c r="L175" s="2276"/>
      <c r="M175" s="2275"/>
      <c r="N175" s="2275"/>
      <c r="O175" s="2276"/>
      <c r="P175" s="2275"/>
      <c r="Q175" s="2275"/>
      <c r="R175" s="2277"/>
    </row>
    <row r="176" spans="2:18" s="2270" customFormat="1">
      <c r="B176" s="2275"/>
      <c r="C176" s="2275"/>
      <c r="D176" s="2275"/>
      <c r="E176" s="2275"/>
      <c r="F176" s="2275"/>
      <c r="G176" s="2276"/>
      <c r="H176" s="2275"/>
      <c r="I176" s="2276"/>
      <c r="J176" s="2275"/>
      <c r="K176" s="2275"/>
      <c r="L176" s="2276"/>
      <c r="M176" s="2275"/>
      <c r="N176" s="2275"/>
      <c r="O176" s="2276"/>
      <c r="P176" s="2275"/>
      <c r="Q176" s="2275"/>
      <c r="R176" s="2277"/>
    </row>
    <row r="177" spans="1:18" s="2270" customFormat="1">
      <c r="B177" s="2275"/>
      <c r="C177" s="2275"/>
      <c r="D177" s="2275"/>
      <c r="E177" s="2275"/>
      <c r="F177" s="2275"/>
      <c r="G177" s="2276"/>
      <c r="H177" s="2275"/>
      <c r="I177" s="2276"/>
      <c r="J177" s="2275"/>
      <c r="K177" s="2275"/>
      <c r="L177" s="2276"/>
      <c r="M177" s="2275"/>
      <c r="N177" s="2275"/>
      <c r="O177" s="2276"/>
      <c r="P177" s="2275"/>
      <c r="Q177" s="2275"/>
      <c r="R177" s="2277"/>
    </row>
    <row r="178" spans="1:18" s="2270" customFormat="1">
      <c r="B178" s="2275"/>
      <c r="C178" s="2275"/>
      <c r="D178" s="2275"/>
      <c r="E178" s="2275"/>
      <c r="F178" s="2275"/>
      <c r="G178" s="2276"/>
      <c r="H178" s="2275"/>
      <c r="I178" s="2276"/>
      <c r="J178" s="2275"/>
      <c r="K178" s="2275"/>
      <c r="L178" s="2276"/>
      <c r="M178" s="2275"/>
      <c r="N178" s="2275"/>
      <c r="O178" s="2276"/>
      <c r="P178" s="2275"/>
      <c r="Q178" s="2275"/>
      <c r="R178" s="2277"/>
    </row>
    <row r="179" spans="1:18" s="2270" customFormat="1">
      <c r="B179" s="2275"/>
      <c r="C179" s="2275"/>
      <c r="D179" s="2275"/>
      <c r="E179" s="2275"/>
      <c r="F179" s="2275"/>
      <c r="G179" s="2276"/>
      <c r="H179" s="2275"/>
      <c r="I179" s="2276"/>
      <c r="J179" s="2275"/>
      <c r="K179" s="2275"/>
      <c r="L179" s="2276"/>
      <c r="M179" s="2275"/>
      <c r="N179" s="2275"/>
      <c r="O179" s="2276"/>
      <c r="P179" s="2275"/>
      <c r="Q179" s="2275"/>
      <c r="R179" s="2277"/>
    </row>
    <row r="180" spans="1:18" s="2270" customFormat="1">
      <c r="B180" s="2275"/>
      <c r="C180" s="2275"/>
      <c r="D180" s="2275"/>
      <c r="E180" s="2275"/>
      <c r="F180" s="2275"/>
      <c r="G180" s="2276"/>
      <c r="H180" s="2275"/>
      <c r="I180" s="2276"/>
      <c r="J180" s="2275"/>
      <c r="K180" s="2275"/>
      <c r="L180" s="2276"/>
      <c r="M180" s="2275"/>
      <c r="N180" s="2275"/>
      <c r="O180" s="2276"/>
      <c r="P180" s="2275"/>
      <c r="Q180" s="2275"/>
      <c r="R180" s="2277"/>
    </row>
    <row r="181" spans="1:18" s="2270" customFormat="1">
      <c r="B181" s="2275"/>
      <c r="C181" s="2275"/>
      <c r="D181" s="2275"/>
      <c r="E181" s="2275"/>
      <c r="F181" s="2275"/>
      <c r="G181" s="2276"/>
      <c r="H181" s="2275"/>
      <c r="I181" s="2276"/>
      <c r="J181" s="2275"/>
      <c r="K181" s="2275"/>
      <c r="L181" s="2276"/>
      <c r="M181" s="2275"/>
      <c r="N181" s="2275"/>
      <c r="O181" s="2276"/>
      <c r="P181" s="2275"/>
      <c r="Q181" s="2275"/>
      <c r="R181" s="2277"/>
    </row>
    <row r="182" spans="1:18" s="2270" customFormat="1">
      <c r="B182" s="2275"/>
      <c r="C182" s="2275"/>
      <c r="D182" s="2275"/>
      <c r="E182" s="2275"/>
      <c r="F182" s="2275"/>
      <c r="G182" s="2276"/>
      <c r="H182" s="2275"/>
      <c r="I182" s="2276"/>
      <c r="J182" s="2275"/>
      <c r="K182" s="2275"/>
      <c r="L182" s="2276"/>
      <c r="M182" s="2275"/>
      <c r="N182" s="2275"/>
      <c r="O182" s="2276"/>
      <c r="P182" s="2275"/>
      <c r="Q182" s="2275"/>
      <c r="R182" s="2277"/>
    </row>
    <row r="183" spans="1:18" s="2270" customFormat="1">
      <c r="B183" s="2275"/>
      <c r="C183" s="2275"/>
      <c r="D183" s="2275"/>
      <c r="E183" s="2275"/>
      <c r="F183" s="2275"/>
      <c r="G183" s="2276"/>
      <c r="H183" s="2275"/>
      <c r="I183" s="2276"/>
      <c r="J183" s="2275"/>
      <c r="K183" s="2275"/>
      <c r="L183" s="2276"/>
      <c r="M183" s="2275"/>
      <c r="N183" s="2275"/>
      <c r="O183" s="2276"/>
      <c r="P183" s="2275"/>
      <c r="Q183" s="2275"/>
      <c r="R183" s="2277"/>
    </row>
    <row r="184" spans="1:18" s="2270" customFormat="1">
      <c r="B184" s="2275"/>
      <c r="C184" s="2275"/>
      <c r="D184" s="2275"/>
      <c r="E184" s="2275"/>
      <c r="F184" s="2275"/>
      <c r="G184" s="2276"/>
      <c r="H184" s="2275"/>
      <c r="I184" s="2276"/>
      <c r="J184" s="2275"/>
      <c r="K184" s="2275"/>
      <c r="L184" s="2276"/>
      <c r="M184" s="2275"/>
      <c r="N184" s="2275"/>
      <c r="O184" s="2276"/>
      <c r="P184" s="2275"/>
      <c r="Q184" s="2275"/>
      <c r="R184" s="2277"/>
    </row>
    <row r="185" spans="1:18" s="2270" customFormat="1">
      <c r="B185" s="2275"/>
      <c r="C185" s="2275"/>
      <c r="D185" s="2275"/>
      <c r="E185" s="2275"/>
      <c r="F185" s="2275"/>
      <c r="G185" s="2276"/>
      <c r="H185" s="2275"/>
      <c r="I185" s="2276"/>
      <c r="J185" s="2275"/>
      <c r="K185" s="2275"/>
      <c r="L185" s="2276"/>
      <c r="M185" s="2275"/>
      <c r="N185" s="2275"/>
      <c r="O185" s="2276"/>
      <c r="P185" s="2275"/>
      <c r="Q185" s="2275"/>
      <c r="R185" s="2277"/>
    </row>
    <row r="186" spans="1:18">
      <c r="A186" s="2270"/>
      <c r="B186" s="2275"/>
      <c r="C186" s="2275"/>
      <c r="E186" s="2275"/>
      <c r="F186" s="2275"/>
      <c r="G186" s="2276"/>
    </row>
    <row r="187" spans="1:18">
      <c r="A187" s="2270"/>
      <c r="B187" s="2275"/>
      <c r="C187" s="2275"/>
      <c r="E187" s="2275"/>
      <c r="F187" s="2275"/>
      <c r="G187" s="2276"/>
    </row>
  </sheetData>
  <sheetProtection password="C66D" sheet="1" objects="1" scenarios="1" formatCells="0" formatColumns="0" formatRows="0"/>
  <mergeCells count="1">
    <mergeCell ref="A1:G1"/>
  </mergeCells>
  <phoneticPr fontId="205"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2258" t="s">
        <v>576</v>
      </c>
      <c r="B1" s="2258">
        <f>SUM(B14:B23)</f>
        <v>1024.48</v>
      </c>
      <c r="C1" s="2259"/>
      <c r="D1" s="2259"/>
      <c r="E1" s="2259"/>
      <c r="F1" s="2259"/>
      <c r="G1" s="2260"/>
    </row>
    <row r="2" spans="1:9" ht="16.5">
      <c r="A2" s="2258" t="s">
        <v>577</v>
      </c>
      <c r="B2" s="2258">
        <f>SUM(C14:C23)</f>
        <v>105.21</v>
      </c>
      <c r="C2" s="2259"/>
      <c r="D2" s="2259"/>
      <c r="E2" s="2259"/>
      <c r="F2" s="2259"/>
      <c r="G2" s="2260"/>
    </row>
    <row r="3" spans="1:9" ht="16.5">
      <c r="A3" s="2258" t="s">
        <v>578</v>
      </c>
      <c r="B3" s="2261">
        <f>项目基本情况!D2</f>
        <v>43646</v>
      </c>
      <c r="C3" s="2259"/>
      <c r="D3" s="2259"/>
      <c r="E3" s="2259"/>
      <c r="F3" s="2259"/>
      <c r="G3" s="2260"/>
    </row>
    <row r="4" spans="1:9" ht="33">
      <c r="A4" s="2258" t="s">
        <v>579</v>
      </c>
      <c r="B4" s="2258" t="s">
        <v>580</v>
      </c>
      <c r="C4" s="2258" t="s">
        <v>581</v>
      </c>
      <c r="D4" s="2258" t="s">
        <v>582</v>
      </c>
      <c r="E4" s="2259"/>
      <c r="F4" s="2260"/>
      <c r="G4" s="2260"/>
    </row>
    <row r="5" spans="1:9" ht="16.5">
      <c r="A5" s="2258" t="s">
        <v>583</v>
      </c>
      <c r="B5" s="2258">
        <f ca="1">SUM(D14:D23)</f>
        <v>4242</v>
      </c>
      <c r="C5" s="2258">
        <f ca="1">ROUND(B5*10000/$B$1,0)</f>
        <v>41406</v>
      </c>
      <c r="D5" s="2258">
        <f ca="1">ROUND(B5*10000/$B$2,0)</f>
        <v>403194</v>
      </c>
      <c r="E5" s="2259"/>
      <c r="F5" s="2260"/>
      <c r="G5" s="2260"/>
    </row>
    <row r="6" spans="1:9" ht="16.5">
      <c r="A6" s="2258" t="s">
        <v>584</v>
      </c>
      <c r="B6" s="2258">
        <f ca="1">SUM(G14:G23)</f>
        <v>4242</v>
      </c>
      <c r="C6" s="2258">
        <f t="shared" ref="C6:C8" ca="1" si="0">ROUND(B6*10000/$B$1,0)</f>
        <v>41406</v>
      </c>
      <c r="D6" s="2258">
        <f t="shared" ref="D6:D8" ca="1" si="1">ROUND(B6*10000/$B$2,0)</f>
        <v>403194</v>
      </c>
      <c r="E6" s="2259"/>
      <c r="F6" s="2260"/>
      <c r="G6" s="2260"/>
    </row>
    <row r="7" spans="1:9" ht="16.5">
      <c r="A7" s="2258" t="s">
        <v>585</v>
      </c>
      <c r="B7" s="2258">
        <f>SUM(H14:H23)</f>
        <v>0</v>
      </c>
      <c r="C7" s="2258">
        <f>ROUND(B7*10000/$B$1,0)</f>
        <v>0</v>
      </c>
      <c r="D7" s="2258">
        <f t="shared" si="1"/>
        <v>0</v>
      </c>
      <c r="E7" s="2259"/>
      <c r="F7" s="2260"/>
      <c r="G7" s="2260"/>
    </row>
    <row r="8" spans="1:9" ht="16.5">
      <c r="A8" s="2258" t="s">
        <v>586</v>
      </c>
      <c r="B8" s="2258">
        <f>SUM(I14:I23)</f>
        <v>0</v>
      </c>
      <c r="C8" s="2258">
        <f t="shared" si="0"/>
        <v>0</v>
      </c>
      <c r="D8" s="2258">
        <f t="shared" si="1"/>
        <v>0</v>
      </c>
      <c r="E8" s="2259"/>
      <c r="F8" s="2260"/>
      <c r="G8" s="2260"/>
    </row>
    <row r="9" spans="1:9" ht="16.5">
      <c r="A9" s="2258" t="s">
        <v>587</v>
      </c>
      <c r="B9" s="2262"/>
      <c r="C9" s="2259"/>
      <c r="D9" s="2259"/>
      <c r="E9" s="2259"/>
      <c r="F9" s="2260"/>
      <c r="G9" s="2260"/>
    </row>
    <row r="10" spans="1:9" ht="16.5">
      <c r="A10" s="2258" t="s">
        <v>588</v>
      </c>
      <c r="B10" s="2262"/>
      <c r="C10" s="2259"/>
      <c r="D10" s="2259"/>
      <c r="E10" s="2259"/>
      <c r="F10" s="2260"/>
      <c r="G10" s="2260"/>
    </row>
    <row r="11" spans="1:9" ht="16.5">
      <c r="A11" s="2258" t="s">
        <v>589</v>
      </c>
      <c r="B11" s="2262"/>
      <c r="C11" s="2259"/>
      <c r="D11" s="2259"/>
      <c r="E11" s="2259"/>
      <c r="F11" s="2260"/>
      <c r="G11" s="2260"/>
    </row>
    <row r="12" spans="1:9" ht="16.5">
      <c r="A12" s="2259"/>
      <c r="B12" s="2259"/>
      <c r="C12" s="2259"/>
      <c r="D12" s="2259"/>
      <c r="E12" s="2259"/>
      <c r="F12" s="2260"/>
      <c r="G12" s="2260"/>
    </row>
    <row r="13" spans="1:9" ht="33">
      <c r="A13" s="2263" t="s">
        <v>590</v>
      </c>
      <c r="B13" s="2264" t="s">
        <v>576</v>
      </c>
      <c r="C13" s="2264" t="s">
        <v>577</v>
      </c>
      <c r="D13" s="2264" t="s">
        <v>591</v>
      </c>
      <c r="E13" s="2258" t="s">
        <v>581</v>
      </c>
      <c r="F13" s="2258" t="s">
        <v>582</v>
      </c>
      <c r="G13" s="2264" t="s">
        <v>592</v>
      </c>
      <c r="H13" s="2264" t="s">
        <v>593</v>
      </c>
      <c r="I13" s="2264" t="s">
        <v>594</v>
      </c>
    </row>
    <row r="14" spans="1:9" ht="16.5">
      <c r="A14" s="2265" t="s">
        <v>595</v>
      </c>
      <c r="B14" s="2264">
        <f>项目基本情况!C12</f>
        <v>1024.48</v>
      </c>
      <c r="C14" s="2264">
        <f>项目基本情况!C13</f>
        <v>105.21</v>
      </c>
      <c r="D14" s="2264">
        <f ca="1">IF('数据-取费表'!B3="万元",IF(A14="估价对象1（结果表）",结果表!H121,'结果表 (1修多)'!H124),IF(A14="估价对象1（结果表）",结果表!H121,'结果表 (1修多)'!H124)/10000)</f>
        <v>4242</v>
      </c>
      <c r="E14" s="2264">
        <f ca="1">ROUND(D14*10000/B14,0)</f>
        <v>41406</v>
      </c>
      <c r="F14" s="2264">
        <f ca="1">ROUND(D14*10000/C14,0)</f>
        <v>403194</v>
      </c>
      <c r="G14" s="2264">
        <f ca="1">IF('数据-取费表'!B3="万元",IF(A14="估价对象1（结果表）",结果表!D125,'结果表 (1修多)'!D128),IF(A14="估价对象1（结果表）",结果表!D125,'结果表 (1修多)'!D128)/10000)</f>
        <v>4242</v>
      </c>
      <c r="H14" s="2264" t="str">
        <f>IF('数据-取费表'!B3="万元",IF(A14="估价对象1（结果表）",结果表!D127,'结果表 (1修多)'!D130),IF(A14="估价对象1（结果表）",结果表!D127,'结果表 (1修多)'!D130)/10000)</f>
        <v>——</v>
      </c>
      <c r="I14" s="2264" t="str">
        <f>IF('数据-取费表'!B3="万元",IF(A14="估价对象1（结果表）",结果表!D129,'结果表 (1修多)'!D132),IF(A14="估价对象1（结果表）",结果表!D129,'结果表 (1修多)'!D132)/10000)</f>
        <v>——</v>
      </c>
    </row>
    <row r="15" spans="1:9" ht="16.5">
      <c r="A15" s="2266" t="s">
        <v>596</v>
      </c>
      <c r="B15" s="2267"/>
      <c r="C15" s="2267"/>
      <c r="D15" s="2267"/>
      <c r="E15" s="2264" t="e">
        <f t="shared" ref="E15:E23" si="2">ROUND(D15*10000/B15,0)</f>
        <v>#DIV/0!</v>
      </c>
      <c r="F15" s="2264" t="e">
        <f t="shared" ref="F15:F23" si="3">ROUND(D15*10000/C15,0)</f>
        <v>#DIV/0!</v>
      </c>
      <c r="G15" s="2268"/>
      <c r="H15" s="2268"/>
      <c r="I15" s="2267"/>
    </row>
    <row r="16" spans="1:9" ht="16.5">
      <c r="A16" s="2266" t="s">
        <v>597</v>
      </c>
      <c r="B16" s="2267"/>
      <c r="C16" s="2267"/>
      <c r="D16" s="2267"/>
      <c r="E16" s="2264" t="e">
        <f t="shared" si="2"/>
        <v>#DIV/0!</v>
      </c>
      <c r="F16" s="2264" t="e">
        <f t="shared" si="3"/>
        <v>#DIV/0!</v>
      </c>
      <c r="G16" s="2268"/>
      <c r="H16" s="2268"/>
      <c r="I16" s="2267"/>
    </row>
    <row r="17" spans="1:9" ht="16.5">
      <c r="A17" s="2266" t="s">
        <v>598</v>
      </c>
      <c r="B17" s="2267"/>
      <c r="C17" s="2267"/>
      <c r="D17" s="2267"/>
      <c r="E17" s="2264" t="e">
        <f t="shared" si="2"/>
        <v>#DIV/0!</v>
      </c>
      <c r="F17" s="2264" t="e">
        <f t="shared" si="3"/>
        <v>#DIV/0!</v>
      </c>
      <c r="G17" s="2268"/>
      <c r="H17" s="2268"/>
      <c r="I17" s="2267"/>
    </row>
    <row r="18" spans="1:9" ht="16.5">
      <c r="A18" s="2266" t="s">
        <v>599</v>
      </c>
      <c r="B18" s="2267"/>
      <c r="C18" s="2267"/>
      <c r="D18" s="2267"/>
      <c r="E18" s="2264" t="e">
        <f t="shared" si="2"/>
        <v>#DIV/0!</v>
      </c>
      <c r="F18" s="2264" t="e">
        <f t="shared" si="3"/>
        <v>#DIV/0!</v>
      </c>
      <c r="G18" s="2267"/>
      <c r="H18" s="2267"/>
      <c r="I18" s="2267"/>
    </row>
    <row r="19" spans="1:9" ht="16.5">
      <c r="A19" s="2266" t="s">
        <v>600</v>
      </c>
      <c r="B19" s="2267"/>
      <c r="C19" s="2267"/>
      <c r="D19" s="2267"/>
      <c r="E19" s="2264" t="e">
        <f t="shared" si="2"/>
        <v>#DIV/0!</v>
      </c>
      <c r="F19" s="2264" t="e">
        <f t="shared" si="3"/>
        <v>#DIV/0!</v>
      </c>
      <c r="G19" s="2267"/>
      <c r="H19" s="2267"/>
      <c r="I19" s="2267"/>
    </row>
    <row r="20" spans="1:9" ht="16.5">
      <c r="A20" s="2266" t="s">
        <v>601</v>
      </c>
      <c r="B20" s="2267"/>
      <c r="C20" s="2267"/>
      <c r="D20" s="2267"/>
      <c r="E20" s="2264" t="e">
        <f t="shared" si="2"/>
        <v>#DIV/0!</v>
      </c>
      <c r="F20" s="2264" t="e">
        <f t="shared" si="3"/>
        <v>#DIV/0!</v>
      </c>
      <c r="G20" s="2267"/>
      <c r="H20" s="2267"/>
      <c r="I20" s="2267"/>
    </row>
    <row r="21" spans="1:9" ht="16.5">
      <c r="A21" s="2266" t="s">
        <v>602</v>
      </c>
      <c r="B21" s="2267"/>
      <c r="C21" s="2267"/>
      <c r="D21" s="2267"/>
      <c r="E21" s="2264" t="e">
        <f t="shared" si="2"/>
        <v>#DIV/0!</v>
      </c>
      <c r="F21" s="2264" t="e">
        <f t="shared" si="3"/>
        <v>#DIV/0!</v>
      </c>
      <c r="G21" s="2267"/>
      <c r="H21" s="2267"/>
      <c r="I21" s="2267"/>
    </row>
    <row r="22" spans="1:9" ht="16.5">
      <c r="A22" s="2266" t="s">
        <v>603</v>
      </c>
      <c r="B22" s="2267"/>
      <c r="C22" s="2267"/>
      <c r="D22" s="2267"/>
      <c r="E22" s="2264" t="e">
        <f t="shared" si="2"/>
        <v>#DIV/0!</v>
      </c>
      <c r="F22" s="2264" t="e">
        <f t="shared" si="3"/>
        <v>#DIV/0!</v>
      </c>
      <c r="G22" s="2267"/>
      <c r="H22" s="2267"/>
      <c r="I22" s="2267"/>
    </row>
    <row r="23" spans="1:9" ht="16.5">
      <c r="A23" s="2266" t="s">
        <v>604</v>
      </c>
      <c r="B23" s="2267"/>
      <c r="C23" s="2267"/>
      <c r="D23" s="2267"/>
      <c r="E23" s="2258" t="e">
        <f t="shared" si="2"/>
        <v>#DIV/0!</v>
      </c>
      <c r="F23" s="2258" t="e">
        <f t="shared" si="3"/>
        <v>#DIV/0!</v>
      </c>
      <c r="G23" s="2267"/>
      <c r="H23" s="2267"/>
      <c r="I23" s="2267"/>
    </row>
  </sheetData>
  <sheetProtection password="C66D" sheet="1" objects="1" scenarios="1" formatCells="0" formatColumns="0" formatRows="0"/>
  <phoneticPr fontId="205"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view="pageBreakPreview" zoomScaleNormal="100" zoomScaleSheetLayoutView="100" workbookViewId="0">
      <selection activeCell="E40" sqref="E40"/>
    </sheetView>
  </sheetViews>
  <sheetFormatPr defaultColWidth="12.625" defaultRowHeight="21.75" customHeight="1"/>
  <cols>
    <col min="1" max="2" width="12.625" style="1962"/>
    <col min="3" max="4" width="12.625" style="1962" customWidth="1"/>
    <col min="5" max="9" width="12.625" style="1962"/>
    <col min="10" max="11" width="12.625" style="1354" customWidth="1"/>
    <col min="12" max="12" width="12.625" style="1354"/>
    <col min="13" max="13" width="14.125" style="1354" customWidth="1"/>
    <col min="14" max="26" width="12.625" style="1354"/>
    <col min="27" max="35" width="12.625" style="1961"/>
    <col min="36" max="16384" width="12.625" style="1962"/>
  </cols>
  <sheetData>
    <row r="1" spans="1:12" ht="21.75" customHeight="1">
      <c r="A1" s="1963" t="s">
        <v>605</v>
      </c>
      <c r="B1" s="1964"/>
      <c r="C1" s="1964"/>
      <c r="D1" s="1964"/>
      <c r="E1" s="1964"/>
      <c r="F1" s="1964"/>
      <c r="G1" s="1964"/>
      <c r="H1" s="1964"/>
      <c r="I1" s="1964"/>
    </row>
    <row r="2" spans="1:12" ht="21.75" customHeight="1">
      <c r="A2" s="2839" t="str">
        <f>项目基本情况!B1</f>
        <v>北京市房地产抵押价值预评估</v>
      </c>
      <c r="B2" s="2839"/>
      <c r="C2" s="2839"/>
      <c r="D2" s="2839"/>
      <c r="E2" s="2839"/>
      <c r="F2" s="2839"/>
      <c r="G2" s="2839"/>
      <c r="H2" s="2839"/>
      <c r="I2" s="2839"/>
    </row>
    <row r="3" spans="1:12" ht="12.75">
      <c r="A3" s="2840" t="s">
        <v>606</v>
      </c>
      <c r="B3" s="2841"/>
      <c r="C3" s="2841"/>
      <c r="D3" s="2841"/>
      <c r="E3" s="2841"/>
      <c r="F3" s="2841"/>
      <c r="G3" s="2841"/>
      <c r="H3" s="2841"/>
      <c r="I3" s="2841"/>
    </row>
    <row r="4" spans="1:12" ht="14.25">
      <c r="A4" s="1965" t="s">
        <v>607</v>
      </c>
      <c r="B4" s="1966" t="s">
        <v>608</v>
      </c>
      <c r="C4" s="1967" t="s">
        <v>609</v>
      </c>
      <c r="D4" s="1967" t="s">
        <v>610</v>
      </c>
      <c r="E4" s="2842" t="s">
        <v>611</v>
      </c>
      <c r="F4" s="2843"/>
      <c r="G4" s="2843"/>
      <c r="H4" s="2843"/>
      <c r="I4" s="2844"/>
      <c r="K4" s="1961" t="str">
        <f>IF(ISNUMBER(FIND("比较法",结果表!C4)),"比较法",IF(ISNUMBER(FIND("成本法",结果表!C4)),"成本法",IF(ISNUMBER(FIND("假设开发法",结果表!C4)),"假设开发法",IF(ISNUMBER(FIND("收益法",结果表!C4)),"收益法","基准地价系数修正法"))))</f>
        <v>比较法</v>
      </c>
      <c r="L4" s="1961" t="str">
        <f>IF(ISNUMBER(FIND("比较法",结果表!D4)),"比较法",IF(ISNUMBER(FIND("成本法",结果表!D4)),"成本法",IF(ISNUMBER(FIND("假设开发法",结果表!D4)),"假设开发法",IF(ISNUMBER(FIND("收益法",结果表!D4)),"收益法","基准地价系数修正法"))))</f>
        <v>收益法</v>
      </c>
    </row>
    <row r="5" spans="1:12" ht="12.75">
      <c r="A5" s="2924" t="s">
        <v>612</v>
      </c>
      <c r="B5" s="2900">
        <v>25</v>
      </c>
      <c r="C5" s="2854"/>
      <c r="D5" s="2857"/>
      <c r="E5" s="1611" t="s">
        <v>613</v>
      </c>
      <c r="F5" s="1968"/>
      <c r="G5" s="1968"/>
      <c r="H5" s="1968"/>
      <c r="I5" s="2088"/>
    </row>
    <row r="6" spans="1:12" ht="12.75">
      <c r="A6" s="2924"/>
      <c r="B6" s="2900"/>
      <c r="C6" s="2856"/>
      <c r="D6" s="2857"/>
      <c r="E6" s="1611" t="s">
        <v>614</v>
      </c>
      <c r="F6" s="1968"/>
      <c r="G6" s="1968"/>
      <c r="H6" s="1968"/>
      <c r="I6" s="2088"/>
    </row>
    <row r="7" spans="1:12" ht="12.75">
      <c r="A7" s="2924"/>
      <c r="B7" s="2900"/>
      <c r="C7" s="2855"/>
      <c r="D7" s="2857"/>
      <c r="E7" s="1611" t="s">
        <v>615</v>
      </c>
      <c r="F7" s="1968"/>
      <c r="G7" s="1968"/>
      <c r="H7" s="1968"/>
      <c r="I7" s="2088"/>
    </row>
    <row r="8" spans="1:12" ht="12.75">
      <c r="A8" s="2924" t="s">
        <v>616</v>
      </c>
      <c r="B8" s="2900">
        <v>15</v>
      </c>
      <c r="C8" s="2854"/>
      <c r="D8" s="2857"/>
      <c r="E8" s="1611" t="s">
        <v>617</v>
      </c>
      <c r="F8" s="1968"/>
      <c r="G8" s="1968"/>
      <c r="H8" s="1968"/>
      <c r="I8" s="2088"/>
    </row>
    <row r="9" spans="1:12" ht="12.75">
      <c r="A9" s="2924"/>
      <c r="B9" s="2900"/>
      <c r="C9" s="2855"/>
      <c r="D9" s="2857"/>
      <c r="E9" s="1611" t="s">
        <v>618</v>
      </c>
      <c r="F9" s="1968"/>
      <c r="G9" s="1968"/>
      <c r="H9" s="1968"/>
      <c r="I9" s="2088"/>
    </row>
    <row r="10" spans="1:12" ht="12.75">
      <c r="A10" s="2924" t="s">
        <v>619</v>
      </c>
      <c r="B10" s="2900">
        <v>15</v>
      </c>
      <c r="C10" s="2854"/>
      <c r="D10" s="2857"/>
      <c r="E10" s="1611" t="s">
        <v>620</v>
      </c>
      <c r="F10" s="1968"/>
      <c r="G10" s="1968"/>
      <c r="H10" s="1968"/>
      <c r="I10" s="2088"/>
    </row>
    <row r="11" spans="1:12" ht="12.75">
      <c r="A11" s="2924"/>
      <c r="B11" s="2900"/>
      <c r="C11" s="2855"/>
      <c r="D11" s="2857"/>
      <c r="E11" s="1611" t="s">
        <v>621</v>
      </c>
      <c r="F11" s="1968"/>
      <c r="G11" s="1968"/>
      <c r="H11" s="1968"/>
      <c r="I11" s="2088"/>
    </row>
    <row r="12" spans="1:12" ht="12.75">
      <c r="A12" s="2924" t="s">
        <v>622</v>
      </c>
      <c r="B12" s="2900">
        <v>15</v>
      </c>
      <c r="C12" s="2854"/>
      <c r="D12" s="2857"/>
      <c r="E12" s="1611" t="s">
        <v>623</v>
      </c>
      <c r="F12" s="1968"/>
      <c r="G12" s="1968"/>
      <c r="H12" s="1968"/>
      <c r="I12" s="2088"/>
    </row>
    <row r="13" spans="1:12" ht="12.75">
      <c r="A13" s="2924"/>
      <c r="B13" s="2900"/>
      <c r="C13" s="2855"/>
      <c r="D13" s="2857"/>
      <c r="E13" s="1611" t="s">
        <v>624</v>
      </c>
      <c r="F13" s="1968"/>
      <c r="G13" s="1968"/>
      <c r="H13" s="1968"/>
      <c r="I13" s="2088"/>
    </row>
    <row r="14" spans="1:12" ht="12.75">
      <c r="A14" s="2924" t="s">
        <v>625</v>
      </c>
      <c r="B14" s="2900">
        <v>30</v>
      </c>
      <c r="C14" s="2854">
        <v>5</v>
      </c>
      <c r="D14" s="2857">
        <v>5</v>
      </c>
      <c r="E14" s="1611" t="s">
        <v>626</v>
      </c>
      <c r="F14" s="1968"/>
      <c r="G14" s="1968"/>
      <c r="H14" s="1968"/>
      <c r="I14" s="2088"/>
    </row>
    <row r="15" spans="1:12" ht="12.75">
      <c r="A15" s="2924"/>
      <c r="B15" s="2900"/>
      <c r="C15" s="2856"/>
      <c r="D15" s="2857"/>
      <c r="E15" s="1611" t="s">
        <v>627</v>
      </c>
      <c r="F15" s="1968"/>
      <c r="G15" s="1968"/>
      <c r="H15" s="1968"/>
      <c r="I15" s="2088"/>
    </row>
    <row r="16" spans="1:12" ht="12.75">
      <c r="A16" s="2924"/>
      <c r="B16" s="2900"/>
      <c r="C16" s="2855"/>
      <c r="D16" s="2857"/>
      <c r="E16" s="1611" t="s">
        <v>628</v>
      </c>
      <c r="F16" s="1968"/>
      <c r="G16" s="1968"/>
      <c r="H16" s="1968"/>
      <c r="I16" s="2088"/>
    </row>
    <row r="17" spans="1:35" ht="15">
      <c r="A17" s="1969" t="s">
        <v>629</v>
      </c>
      <c r="B17" s="1970"/>
      <c r="C17" s="1971">
        <f>SUM(C5:C16)</f>
        <v>5</v>
      </c>
      <c r="D17" s="1971">
        <f>SUM(D5:D16)</f>
        <v>5</v>
      </c>
      <c r="E17" s="1964"/>
      <c r="F17" s="1964"/>
      <c r="G17" s="1964"/>
      <c r="H17" s="1964"/>
      <c r="I17" s="1964"/>
    </row>
    <row r="18" spans="1:35" ht="15">
      <c r="A18" s="1972" t="s">
        <v>630</v>
      </c>
      <c r="B18" s="1973"/>
      <c r="C18" s="1974">
        <f>ROUND(C17/SUM(C17:D17),2)</f>
        <v>0.5</v>
      </c>
      <c r="D18" s="1974">
        <f>1-C18</f>
        <v>0.5</v>
      </c>
      <c r="E18" s="1964"/>
      <c r="F18" s="1964"/>
      <c r="G18" s="1964"/>
      <c r="H18" s="1964"/>
      <c r="I18" s="1964"/>
    </row>
    <row r="19" spans="1:35" ht="15">
      <c r="A19" s="1975" t="s">
        <v>631</v>
      </c>
      <c r="B19" s="1976" t="s">
        <v>632</v>
      </c>
      <c r="C19" s="1977">
        <f ca="1">SUMIF(INDIRECT("'"&amp;C4&amp;"'"&amp;"!A:A"),结果表!B19,INDIRECT("'"&amp;C4&amp;"'"&amp;"!B:B"))</f>
        <v>451</v>
      </c>
      <c r="D19" s="1978">
        <f ca="1">SUMIF(INDIRECT("'"&amp;D4&amp;"'"&amp;"!A:A"),结果表!B19,INDIRECT("'"&amp;D4&amp;"'"&amp;"!B:B"))</f>
        <v>443</v>
      </c>
      <c r="E19" s="1975" t="s">
        <v>633</v>
      </c>
      <c r="F19" s="1976" t="s">
        <v>632</v>
      </c>
      <c r="G19" s="1979">
        <f ca="1">ROUND(C19*$C$18+D19*$D$18,0)</f>
        <v>447</v>
      </c>
      <c r="H19" s="1980" t="str">
        <f>'数据-取费表'!B3</f>
        <v>万元</v>
      </c>
      <c r="I19" s="1964"/>
    </row>
    <row r="20" spans="1:35" ht="15">
      <c r="A20" s="1981"/>
      <c r="B20" s="1982" t="s">
        <v>634</v>
      </c>
      <c r="C20" s="1059">
        <f ca="1">SUMIF(INDIRECT("'"&amp;C4&amp;"'"&amp;"!A:A"),结果表!B20,INDIRECT("'"&amp;C4&amp;"'"&amp;"!B:B"))</f>
        <v>42092</v>
      </c>
      <c r="D20" s="1313">
        <f ca="1">SUMIF(INDIRECT("'"&amp;D4&amp;"'"&amp;"!A:A"),结果表!B20,INDIRECT("'"&amp;D4&amp;"'"&amp;"!B:B"))</f>
        <v>41355</v>
      </c>
      <c r="E20" s="1981"/>
      <c r="F20" s="1982" t="s">
        <v>634</v>
      </c>
      <c r="G20" s="1983">
        <f ca="1">ROUND(C20*$C$18+D20*$D$18,0)</f>
        <v>41724</v>
      </c>
      <c r="H20" s="1984" t="s">
        <v>635</v>
      </c>
      <c r="I20" s="1964"/>
    </row>
    <row r="21" spans="1:35" ht="15" customHeight="1">
      <c r="A21" s="1985"/>
      <c r="B21" s="1986"/>
      <c r="C21" s="1987"/>
      <c r="D21" s="1988"/>
      <c r="E21" s="1985"/>
      <c r="F21" s="1986"/>
      <c r="G21" s="1989"/>
      <c r="H21" s="1990"/>
      <c r="I21" s="1964"/>
    </row>
    <row r="22" spans="1:35" ht="14.25">
      <c r="A22" s="1991" t="s">
        <v>636</v>
      </c>
      <c r="B22" s="1992"/>
      <c r="C22" s="1993"/>
      <c r="D22" s="1994">
        <f ca="1">IF(C19&lt;D19,D19/C19-1,C19/D19-1)</f>
        <v>1.8058690744920947E-2</v>
      </c>
      <c r="E22" s="1964"/>
      <c r="F22" s="1964"/>
      <c r="G22" s="1964"/>
      <c r="H22" s="1964"/>
      <c r="I22" s="1964"/>
    </row>
    <row r="23" spans="1:35" ht="12.75">
      <c r="A23" s="1964"/>
      <c r="B23" s="1964"/>
      <c r="C23" s="1964"/>
      <c r="D23" s="1964"/>
      <c r="E23" s="1964"/>
      <c r="F23" s="1964"/>
      <c r="G23" s="1964"/>
      <c r="H23" s="1964"/>
      <c r="I23" s="1964"/>
    </row>
    <row r="24" spans="1:35" ht="21.75" customHeight="1">
      <c r="A24" s="2925" t="s">
        <v>637</v>
      </c>
      <c r="B24" s="1976" t="s">
        <v>632</v>
      </c>
      <c r="C24" s="1979">
        <f>D30</f>
        <v>0</v>
      </c>
      <c r="D24" s="1995"/>
      <c r="E24" s="1964"/>
      <c r="F24" s="1964"/>
      <c r="G24" s="1964"/>
      <c r="H24" s="1964"/>
      <c r="I24" s="1964"/>
    </row>
    <row r="25" spans="1:35" ht="21.75" customHeight="1">
      <c r="A25" s="2926"/>
      <c r="B25" s="1982" t="s">
        <v>634</v>
      </c>
      <c r="C25" s="1996">
        <f>IF(B30=0,0,C30)</f>
        <v>0</v>
      </c>
      <c r="D25" s="1997"/>
      <c r="E25" s="1964"/>
      <c r="F25" s="1964"/>
      <c r="G25" s="1964"/>
      <c r="H25" s="1964"/>
      <c r="I25" s="1964"/>
    </row>
    <row r="26" spans="1:35" ht="13.5" customHeight="1">
      <c r="A26" s="1998" t="s">
        <v>638</v>
      </c>
      <c r="B26" s="1999" t="s">
        <v>639</v>
      </c>
      <c r="C26" s="1999" t="s">
        <v>640</v>
      </c>
      <c r="D26" s="2000" t="s">
        <v>641</v>
      </c>
      <c r="E26" s="1964"/>
      <c r="F26" s="1964"/>
      <c r="G26" s="1964"/>
      <c r="H26" s="1964"/>
      <c r="I26" s="1964"/>
    </row>
    <row r="27" spans="1:35" ht="14.25">
      <c r="A27" s="2001"/>
      <c r="B27" s="1999">
        <v>0</v>
      </c>
      <c r="C27" s="1999">
        <v>0</v>
      </c>
      <c r="D27" s="2000">
        <f>ROUND(C27*B27/10000,0)</f>
        <v>0</v>
      </c>
      <c r="E27" s="1964"/>
      <c r="F27" s="1964"/>
      <c r="G27" s="1964"/>
      <c r="H27" s="1964"/>
      <c r="I27" s="1964"/>
    </row>
    <row r="28" spans="1:35" ht="14.25">
      <c r="A28" s="1998"/>
      <c r="B28" s="1999"/>
      <c r="C28" s="1999"/>
      <c r="D28" s="2000">
        <f t="shared" ref="D28:D29" si="0">ROUND(C28*B28/10000,0)</f>
        <v>0</v>
      </c>
      <c r="E28" s="1964"/>
      <c r="F28" s="1964"/>
      <c r="G28" s="1964"/>
      <c r="H28" s="1964"/>
      <c r="I28" s="1964"/>
    </row>
    <row r="29" spans="1:35" ht="14.25">
      <c r="A29" s="1998"/>
      <c r="B29" s="1999"/>
      <c r="C29" s="1999"/>
      <c r="D29" s="2000">
        <f t="shared" si="0"/>
        <v>0</v>
      </c>
      <c r="E29" s="1964"/>
      <c r="F29" s="1964"/>
      <c r="G29" s="1964"/>
      <c r="H29" s="1964"/>
      <c r="I29" s="1964"/>
    </row>
    <row r="30" spans="1:35" ht="14.25">
      <c r="A30" s="1999" t="s">
        <v>642</v>
      </c>
      <c r="B30" s="1999"/>
      <c r="C30" s="1999"/>
      <c r="D30" s="1999"/>
      <c r="E30" s="2004" t="s">
        <v>643</v>
      </c>
      <c r="F30" s="1964"/>
      <c r="G30" s="1964"/>
      <c r="H30" s="1964"/>
      <c r="I30" s="1964"/>
    </row>
    <row r="31" spans="1:35" s="1959" customFormat="1" ht="14.25">
      <c r="A31" s="2235"/>
      <c r="B31" s="2235"/>
      <c r="C31" s="2235"/>
      <c r="D31" s="2235"/>
      <c r="E31" s="1964"/>
      <c r="F31" s="1964"/>
      <c r="G31" s="1964"/>
      <c r="H31" s="1964"/>
      <c r="I31" s="1964"/>
      <c r="J31" s="1354"/>
      <c r="K31" s="1354"/>
      <c r="L31" s="1354"/>
      <c r="M31" s="1354"/>
      <c r="N31" s="1354"/>
      <c r="O31" s="1354"/>
      <c r="P31" s="1354"/>
      <c r="Q31" s="1354"/>
      <c r="R31" s="1354"/>
      <c r="S31" s="1354"/>
      <c r="T31" s="1354"/>
      <c r="U31" s="1354"/>
      <c r="V31" s="1354"/>
      <c r="W31" s="1354"/>
      <c r="X31" s="1354"/>
      <c r="Y31" s="1354"/>
      <c r="Z31" s="1354"/>
      <c r="AA31" s="1961"/>
      <c r="AB31" s="1961"/>
      <c r="AC31" s="1961"/>
      <c r="AD31" s="1961"/>
      <c r="AE31" s="1961"/>
      <c r="AF31" s="1961"/>
      <c r="AG31" s="1961"/>
      <c r="AH31" s="1961"/>
      <c r="AI31" s="1961"/>
    </row>
    <row r="32" spans="1:35" ht="15">
      <c r="A32" s="2236" t="s">
        <v>644</v>
      </c>
      <c r="B32" s="2237" t="str">
        <f>'数据-取费表'!B4</f>
        <v>总价</v>
      </c>
      <c r="C32" s="2238">
        <f ca="1">IF(B32="总价",G19-C24,G20-C25)</f>
        <v>447</v>
      </c>
      <c r="D32" s="1964" t="str">
        <f>IF(B32="楼面单价","元/平方米",H19)</f>
        <v>万元</v>
      </c>
      <c r="E32" s="1964"/>
      <c r="F32" s="1964"/>
      <c r="G32" s="1964"/>
      <c r="H32" s="1964"/>
      <c r="I32" s="1964"/>
    </row>
    <row r="33" spans="1:16" ht="15">
      <c r="A33" s="2239" t="s">
        <v>645</v>
      </c>
      <c r="B33" s="2240"/>
      <c r="C33" s="2241"/>
      <c r="D33" s="2242" t="s">
        <v>646</v>
      </c>
      <c r="E33" s="2243" t="s">
        <v>647</v>
      </c>
      <c r="F33" s="2244" t="str">
        <f>IF(B32="楼面单价","取值（单价）","取值（总价）")</f>
        <v>取值（总价）</v>
      </c>
      <c r="G33" s="1964"/>
      <c r="H33" s="1964"/>
      <c r="I33" s="1964"/>
    </row>
    <row r="34" spans="1:16" ht="15">
      <c r="A34" s="2245"/>
      <c r="B34" s="2246" t="s">
        <v>648</v>
      </c>
      <c r="C34" s="2247">
        <f ca="1">IF(D33="自定义",F34,C32-C35)</f>
        <v>374</v>
      </c>
      <c r="D34" s="2248">
        <f ca="1">IF(D33="自定义",ROUND(C34/C32,3),1-D35)</f>
        <v>0.83699999999999997</v>
      </c>
      <c r="E34" s="2249" t="s">
        <v>649</v>
      </c>
      <c r="F34" s="2250">
        <v>2000</v>
      </c>
      <c r="G34" s="1964"/>
      <c r="H34" s="1964"/>
      <c r="I34" s="1964"/>
    </row>
    <row r="35" spans="1:16" ht="15">
      <c r="A35" s="2017"/>
      <c r="B35" s="2251" t="s">
        <v>650</v>
      </c>
      <c r="C35" s="2252">
        <f ca="1">IF(D33="自定义",F35,ROUND(C32*D35,0))</f>
        <v>73</v>
      </c>
      <c r="D35" s="2253">
        <f ca="1">IF(D33="自定义",ROUND(C35/C32,3),IF(D33="成本法成本比率",成本法!C56,IF(D33="收益法收益比率",收益法!J38,收益法!J41)))</f>
        <v>0.16300000000000001</v>
      </c>
      <c r="E35" s="2254" t="s">
        <v>651</v>
      </c>
      <c r="F35" s="2038">
        <v>4460</v>
      </c>
      <c r="G35" s="1964"/>
      <c r="H35" s="1964"/>
      <c r="I35" s="1964"/>
    </row>
    <row r="36" spans="1:16" ht="15">
      <c r="A36" s="2927" t="s">
        <v>652</v>
      </c>
      <c r="B36" s="2020" t="s">
        <v>653</v>
      </c>
      <c r="C36" s="2021">
        <v>0</v>
      </c>
      <c r="D36" s="2022"/>
      <c r="E36" s="2023"/>
      <c r="F36" s="2023"/>
      <c r="G36" s="1964"/>
      <c r="H36" s="1964"/>
      <c r="I36" s="1964"/>
    </row>
    <row r="37" spans="1:16" ht="15">
      <c r="A37" s="2928"/>
      <c r="B37" s="2024" t="s">
        <v>654</v>
      </c>
      <c r="C37" s="2025">
        <v>0</v>
      </c>
      <c r="D37" s="1973"/>
      <c r="E37" s="1973"/>
      <c r="F37" s="2023"/>
      <c r="G37" s="1973"/>
      <c r="H37" s="1973"/>
      <c r="I37" s="1973"/>
    </row>
    <row r="38" spans="1:16" ht="15">
      <c r="A38" s="2929"/>
      <c r="B38" s="2026" t="s">
        <v>655</v>
      </c>
      <c r="C38" s="2027">
        <v>0</v>
      </c>
      <c r="D38" s="2028" t="s">
        <v>656</v>
      </c>
      <c r="E38" s="1973"/>
      <c r="F38" s="2023"/>
      <c r="G38" s="1973"/>
      <c r="H38" s="1973"/>
      <c r="I38" s="1973"/>
    </row>
    <row r="39" spans="1:16" ht="15">
      <c r="A39" s="1981" t="s">
        <v>657</v>
      </c>
      <c r="B39" s="2029" t="s">
        <v>639</v>
      </c>
      <c r="C39" s="2030" t="s">
        <v>640</v>
      </c>
      <c r="D39" s="2030" t="s">
        <v>658</v>
      </c>
      <c r="E39" s="2031" t="s">
        <v>641</v>
      </c>
      <c r="F39" s="2023"/>
      <c r="G39" s="1973"/>
      <c r="H39" s="1973"/>
      <c r="I39" s="1973"/>
    </row>
    <row r="40" spans="1:16" ht="14.25">
      <c r="A40" s="2032" t="s">
        <v>659</v>
      </c>
      <c r="B40" s="2033"/>
      <c r="C40" s="1414"/>
      <c r="D40" s="1414"/>
      <c r="E40" s="2034"/>
      <c r="F40" s="2023"/>
      <c r="G40" s="1973"/>
      <c r="H40" s="1973"/>
      <c r="I40" s="1973"/>
    </row>
    <row r="41" spans="1:16" ht="14.25">
      <c r="A41" s="2032" t="s">
        <v>660</v>
      </c>
      <c r="B41" s="2033"/>
      <c r="C41" s="1414"/>
      <c r="D41" s="1414"/>
      <c r="E41" s="2034"/>
      <c r="F41" s="2023"/>
      <c r="G41" s="1973"/>
      <c r="H41" s="1973"/>
      <c r="I41" s="1973"/>
    </row>
    <row r="42" spans="1:16" ht="14.25">
      <c r="A42" s="2035"/>
      <c r="B42" s="2036"/>
      <c r="C42" s="2037"/>
      <c r="D42" s="2037"/>
      <c r="E42" s="2038"/>
      <c r="F42" s="2023"/>
      <c r="G42" s="1973"/>
      <c r="H42" s="1973"/>
      <c r="I42" s="1973"/>
    </row>
    <row r="43" spans="1:16" ht="12.75">
      <c r="A43" s="2039"/>
      <c r="B43" s="2039"/>
      <c r="C43" s="2039"/>
      <c r="D43" s="2039"/>
      <c r="E43" s="2039"/>
      <c r="F43" s="2040"/>
      <c r="G43" s="2040"/>
      <c r="H43" s="2040"/>
      <c r="I43" s="2089"/>
    </row>
    <row r="44" spans="1:16" ht="18.75">
      <c r="A44" s="2041" t="s">
        <v>661</v>
      </c>
      <c r="B44" s="2042"/>
      <c r="C44" s="2042"/>
      <c r="D44" s="2043"/>
      <c r="E44" s="2043"/>
      <c r="F44" s="2044"/>
      <c r="G44" s="2044"/>
      <c r="H44" s="2044"/>
      <c r="I44" s="2044"/>
      <c r="J44" s="2090" t="s">
        <v>662</v>
      </c>
      <c r="K44" s="2091"/>
      <c r="L44" s="2091"/>
      <c r="M44" s="2091"/>
      <c r="N44" s="2091"/>
      <c r="O44" s="2091"/>
      <c r="P44" s="1961"/>
    </row>
    <row r="45" spans="1:16" ht="14.25" customHeight="1">
      <c r="A45" s="2845" t="s">
        <v>663</v>
      </c>
      <c r="B45" s="2846"/>
      <c r="C45" s="2847"/>
      <c r="D45" s="1569">
        <f ca="1">ROUND(I102*F45,0)</f>
        <v>447</v>
      </c>
      <c r="E45" s="2045" t="s">
        <v>664</v>
      </c>
      <c r="F45" s="2046">
        <v>1</v>
      </c>
      <c r="G45" s="2047" t="s">
        <v>665</v>
      </c>
      <c r="H45" s="1964"/>
      <c r="I45" s="1964"/>
      <c r="J45" s="2848" t="s">
        <v>666</v>
      </c>
      <c r="K45" s="2848"/>
      <c r="L45" s="2848"/>
      <c r="M45" s="2848"/>
      <c r="N45" s="2848"/>
      <c r="O45" s="2848"/>
      <c r="P45" s="1961"/>
    </row>
    <row r="46" spans="1:16" ht="14.25" customHeight="1">
      <c r="A46" s="2849" t="s">
        <v>667</v>
      </c>
      <c r="B46" s="2850"/>
      <c r="C46" s="2850"/>
      <c r="D46" s="2850"/>
      <c r="E46" s="2850"/>
      <c r="F46" s="2850"/>
      <c r="G46" s="2851"/>
      <c r="H46" s="2048"/>
      <c r="I46" s="1356"/>
      <c r="J46" s="1479">
        <v>1</v>
      </c>
      <c r="K46" s="2848" t="s">
        <v>668</v>
      </c>
      <c r="L46" s="2848"/>
      <c r="M46" s="2852" t="str">
        <f>项目基本情况!B1</f>
        <v>北京市房地产抵押价值预评估</v>
      </c>
      <c r="N46" s="2852"/>
      <c r="O46" s="2852"/>
      <c r="P46" s="1961"/>
    </row>
    <row r="47" spans="1:16" ht="12" customHeight="1">
      <c r="A47" s="2049" t="s">
        <v>669</v>
      </c>
      <c r="B47" s="2050"/>
      <c r="C47" s="2051"/>
      <c r="D47" s="2052" t="s">
        <v>670</v>
      </c>
      <c r="E47" s="1405" t="s">
        <v>671</v>
      </c>
      <c r="F47" s="1783" t="s">
        <v>672</v>
      </c>
      <c r="G47" s="2053" t="s">
        <v>673</v>
      </c>
      <c r="H47" s="2048"/>
      <c r="I47" s="1356"/>
      <c r="J47" s="1479">
        <v>2</v>
      </c>
      <c r="K47" s="2848" t="s">
        <v>674</v>
      </c>
      <c r="L47" s="2848"/>
      <c r="M47" s="2853">
        <f>'数据-取费表'!B2</f>
        <v>43646</v>
      </c>
      <c r="N47" s="2853"/>
      <c r="O47" s="2853"/>
      <c r="P47" s="1961"/>
    </row>
    <row r="48" spans="1:16" ht="25.5">
      <c r="A48" s="2858" t="s">
        <v>675</v>
      </c>
      <c r="B48" s="2859"/>
      <c r="C48" s="2859"/>
      <c r="D48" s="1611">
        <f ca="1">IF(H48="情况1",0,IF(H48="情况2",D52,IF(H48="情况3",D53,IF(H48="情况4",D54))))</f>
        <v>24</v>
      </c>
      <c r="E48" s="1624" t="str">
        <f>IF(H48="情况4","(销售额-原购置价)×税（费）率","销售额×税（费）率")</f>
        <v>销售额×税（费）率</v>
      </c>
      <c r="F48" s="2054">
        <f>IF(H48="情况1","免征",'数据-取费表'!E29)</f>
        <v>5.6000000000000001E-2</v>
      </c>
      <c r="G48" s="2055" t="s">
        <v>676</v>
      </c>
      <c r="H48" s="2056" t="s">
        <v>677</v>
      </c>
      <c r="I48" s="2048"/>
      <c r="J48" s="1479">
        <v>3</v>
      </c>
      <c r="K48" s="2848" t="s">
        <v>678</v>
      </c>
      <c r="L48" s="2848"/>
      <c r="M48" s="2852">
        <f ca="1">I102</f>
        <v>447</v>
      </c>
      <c r="N48" s="2852"/>
      <c r="O48" s="2852"/>
      <c r="P48" s="1961"/>
    </row>
    <row r="49" spans="1:16" ht="25.5" customHeight="1">
      <c r="A49" s="2057" t="s">
        <v>679</v>
      </c>
      <c r="B49" s="2860" t="s">
        <v>680</v>
      </c>
      <c r="C49" s="2860"/>
      <c r="D49" s="1665">
        <v>0</v>
      </c>
      <c r="E49" s="2058" t="s">
        <v>681</v>
      </c>
      <c r="F49" s="2059" t="s">
        <v>121</v>
      </c>
      <c r="G49" s="2861"/>
      <c r="H49" s="1964"/>
      <c r="I49" s="2093"/>
      <c r="J49" s="1479">
        <v>4</v>
      </c>
      <c r="K49" s="2848" t="str">
        <f>IF(项目基本情况!F5="房地产抵押价值","房地产抵押价值","抵押担保权已注销时的房地产抵押价值")</f>
        <v>房地产抵押价值</v>
      </c>
      <c r="L49" s="2848"/>
      <c r="M49" s="2852">
        <f ca="1">IF(项目基本情况!F5="房地产抵押价值",I110,I112)</f>
        <v>447</v>
      </c>
      <c r="N49" s="2852"/>
      <c r="O49" s="2852"/>
      <c r="P49" s="1961"/>
    </row>
    <row r="50" spans="1:16" ht="25.5" customHeight="1">
      <c r="A50" s="2060"/>
      <c r="B50" s="2860" t="s">
        <v>682</v>
      </c>
      <c r="C50" s="2860"/>
      <c r="D50" s="1691"/>
      <c r="E50" s="2061"/>
      <c r="F50" s="2062"/>
      <c r="G50" s="2862"/>
      <c r="H50" s="1964"/>
      <c r="I50" s="2093"/>
      <c r="J50" s="2848" t="s">
        <v>683</v>
      </c>
      <c r="K50" s="2848"/>
      <c r="L50" s="2848"/>
      <c r="M50" s="2848"/>
      <c r="N50" s="2848"/>
      <c r="O50" s="2848"/>
      <c r="P50" s="1961"/>
    </row>
    <row r="51" spans="1:16" ht="12" customHeight="1">
      <c r="A51" s="2063"/>
      <c r="B51" s="2860" t="s">
        <v>684</v>
      </c>
      <c r="C51" s="2860"/>
      <c r="D51" s="2064"/>
      <c r="E51" s="449"/>
      <c r="F51" s="2062"/>
      <c r="G51" s="2863"/>
      <c r="H51" s="1964"/>
      <c r="I51" s="2093"/>
      <c r="J51" s="2092" t="s">
        <v>685</v>
      </c>
      <c r="K51" s="2848" t="s">
        <v>686</v>
      </c>
      <c r="L51" s="2848"/>
      <c r="M51" s="2092" t="s">
        <v>687</v>
      </c>
      <c r="N51" s="2092" t="s">
        <v>688</v>
      </c>
      <c r="O51" s="2092" t="s">
        <v>689</v>
      </c>
      <c r="P51" s="1961"/>
    </row>
    <row r="52" spans="1:16" ht="24" customHeight="1">
      <c r="A52" s="2065" t="s">
        <v>690</v>
      </c>
      <c r="B52" s="2860" t="s">
        <v>691</v>
      </c>
      <c r="C52" s="2860"/>
      <c r="D52" s="2064">
        <f ca="1">ROUND(D45*'数据-取费表'!E29/(1+'数据-取费表'!F30),0)</f>
        <v>24</v>
      </c>
      <c r="E52" s="1408" t="s">
        <v>692</v>
      </c>
      <c r="F52" s="2066">
        <f>'数据-取费表'!E29</f>
        <v>5.6000000000000001E-2</v>
      </c>
      <c r="G52" s="2067"/>
      <c r="H52" s="1964"/>
      <c r="I52" s="2093"/>
      <c r="J52" s="1479">
        <v>1</v>
      </c>
      <c r="K52" s="2864" t="s">
        <v>693</v>
      </c>
      <c r="L52" s="2864"/>
      <c r="M52" s="2094">
        <f ca="1">D48</f>
        <v>24</v>
      </c>
      <c r="N52" s="1479" t="str">
        <f>E48</f>
        <v>销售额×税（费）率</v>
      </c>
      <c r="O52" s="2095">
        <f>F48</f>
        <v>5.6000000000000001E-2</v>
      </c>
      <c r="P52" s="1961"/>
    </row>
    <row r="53" spans="1:16" ht="12" customHeight="1">
      <c r="A53" s="2065" t="s">
        <v>694</v>
      </c>
      <c r="B53" s="2865" t="s">
        <v>695</v>
      </c>
      <c r="C53" s="2813"/>
      <c r="D53" s="2064">
        <f ca="1">ROUND(D45*'数据-取费表'!E29/(1+'数据-取费表'!F30),0)</f>
        <v>24</v>
      </c>
      <c r="E53" s="1408" t="s">
        <v>692</v>
      </c>
      <c r="F53" s="2066">
        <f>'数据-取费表'!E29</f>
        <v>5.6000000000000001E-2</v>
      </c>
      <c r="G53" s="2067"/>
      <c r="H53" s="1964"/>
      <c r="I53" s="2093"/>
      <c r="J53" s="1479">
        <v>2</v>
      </c>
      <c r="K53" s="2864" t="s">
        <v>696</v>
      </c>
      <c r="L53" s="2864"/>
      <c r="M53" s="2094">
        <f t="shared" ref="M53:O54" ca="1" si="1">D55</f>
        <v>0</v>
      </c>
      <c r="N53" s="1479" t="str">
        <f t="shared" si="1"/>
        <v>销售额×税（费）率</v>
      </c>
      <c r="O53" s="2095">
        <f t="shared" si="1"/>
        <v>5.0000000000000001E-4</v>
      </c>
      <c r="P53" s="1961"/>
    </row>
    <row r="54" spans="1:16" ht="12" customHeight="1">
      <c r="A54" s="2065" t="s">
        <v>697</v>
      </c>
      <c r="B54" s="2865" t="s">
        <v>698</v>
      </c>
      <c r="C54" s="2813"/>
      <c r="D54" s="2064">
        <f ca="1">C68</f>
        <v>24</v>
      </c>
      <c r="E54" s="449" t="s">
        <v>699</v>
      </c>
      <c r="F54" s="2066">
        <f>'数据-取费表'!E29</f>
        <v>5.6000000000000001E-2</v>
      </c>
      <c r="G54" s="2067"/>
      <c r="H54" s="2069"/>
      <c r="I54" s="2093"/>
      <c r="J54" s="1479">
        <v>3</v>
      </c>
      <c r="K54" s="2864" t="s">
        <v>700</v>
      </c>
      <c r="L54" s="2864"/>
      <c r="M54" s="2094">
        <f t="shared" ca="1" si="1"/>
        <v>253</v>
      </c>
      <c r="N54" s="1479" t="str">
        <f t="shared" si="1"/>
        <v>增值额×税（费）率</v>
      </c>
      <c r="O54" s="2096" t="str">
        <f t="shared" si="1"/>
        <v>——</v>
      </c>
      <c r="P54" s="1961"/>
    </row>
    <row r="55" spans="1:16" ht="24" customHeight="1">
      <c r="A55" s="2808" t="s">
        <v>701</v>
      </c>
      <c r="B55" s="2859"/>
      <c r="C55" s="2859"/>
      <c r="D55" s="1663">
        <f ca="1">IF(H55="个人住宅",0,ROUND(D45*I55,0))</f>
        <v>0</v>
      </c>
      <c r="E55" s="1408" t="s">
        <v>702</v>
      </c>
      <c r="F55" s="2066">
        <f>IF(H55="正常",I55,"免征")</f>
        <v>5.0000000000000001E-4</v>
      </c>
      <c r="G55" s="2067"/>
      <c r="H55" s="2056" t="s">
        <v>703</v>
      </c>
      <c r="I55" s="2097">
        <f>'数据-取费表'!E37</f>
        <v>5.0000000000000001E-4</v>
      </c>
      <c r="J55" s="1479">
        <f>IF(H59="非个人房产","",4)</f>
        <v>4</v>
      </c>
      <c r="K55" s="2864" t="str">
        <f>IF(H59="非个人房产","——","个人所得税")</f>
        <v>个人所得税</v>
      </c>
      <c r="L55" s="2864"/>
      <c r="M55" s="2098">
        <f ca="1">D59</f>
        <v>4</v>
      </c>
      <c r="N55" s="2099" t="str">
        <f>E59</f>
        <v>销售额×税（费）率</v>
      </c>
      <c r="O55" s="2100">
        <f>F59</f>
        <v>0.01</v>
      </c>
      <c r="P55" s="1961"/>
    </row>
    <row r="56" spans="1:16" ht="24.75">
      <c r="A56" s="2808" t="s">
        <v>704</v>
      </c>
      <c r="B56" s="2859"/>
      <c r="C56" s="2859"/>
      <c r="D56" s="1663">
        <f ca="1">IF(H56="个人住宅",D57,D58)</f>
        <v>253</v>
      </c>
      <c r="E56" s="1408" t="s">
        <v>705</v>
      </c>
      <c r="F56" s="2066" t="str">
        <f>IF(H56="正常",F58,"免征")</f>
        <v>——</v>
      </c>
      <c r="G56" s="2071" t="s">
        <v>706</v>
      </c>
      <c r="H56" s="2072" t="s">
        <v>703</v>
      </c>
      <c r="I56" s="2074"/>
      <c r="J56" s="1479" t="str">
        <f>IF(项目基本情况!I6="上海银行",IF(J55="",4,J55+1),"")</f>
        <v/>
      </c>
      <c r="K56" s="2866" t="str">
        <f>IF(项目基本情况!I6="上海银行","其他处置费用","")</f>
        <v/>
      </c>
      <c r="L56" s="2867"/>
      <c r="M56" s="2094" t="str">
        <f>IF(项目基本情况!I6="上海银行",M69,"")</f>
        <v/>
      </c>
      <c r="N56" s="2868" t="str">
        <f>IF(项目基本情况!I6="上海银行","包含处置中涉及的律师、诉讼、拍卖、评估等费用","")</f>
        <v/>
      </c>
      <c r="O56" s="2869"/>
      <c r="P56" s="1961"/>
    </row>
    <row r="57" spans="1:16" ht="12.75">
      <c r="A57" s="2065" t="s">
        <v>679</v>
      </c>
      <c r="B57" s="2842" t="s">
        <v>707</v>
      </c>
      <c r="C57" s="2844"/>
      <c r="D57" s="2073">
        <v>0</v>
      </c>
      <c r="E57" s="2058" t="s">
        <v>681</v>
      </c>
      <c r="F57" s="1360"/>
      <c r="G57" s="2067"/>
      <c r="H57" s="2074"/>
      <c r="I57" s="2074"/>
      <c r="J57" s="2864">
        <f>IF(AND(J55="",J56=""),4,IF(项目基本情况!I6="上海银行",J56+1,J55+1))</f>
        <v>5</v>
      </c>
      <c r="K57" s="2864" t="s">
        <v>708</v>
      </c>
      <c r="L57" s="2101" t="s">
        <v>709</v>
      </c>
      <c r="M57" s="2102"/>
      <c r="N57" s="2103">
        <f ca="1">SUMIF(M52:M56,"&lt;9e307")</f>
        <v>281</v>
      </c>
      <c r="O57" s="2104"/>
      <c r="P57" s="2105">
        <f ca="1">N57/M49</f>
        <v>0.62863534675615218</v>
      </c>
    </row>
    <row r="58" spans="1:16" ht="24.75">
      <c r="A58" s="2065" t="s">
        <v>690</v>
      </c>
      <c r="B58" s="2842" t="s">
        <v>710</v>
      </c>
      <c r="C58" s="2843"/>
      <c r="D58" s="1663">
        <f ca="1">IF(H58="转让取得",C81,C97)</f>
        <v>253</v>
      </c>
      <c r="E58" s="1408" t="s">
        <v>705</v>
      </c>
      <c r="F58" s="1405" t="s">
        <v>121</v>
      </c>
      <c r="G58" s="2067"/>
      <c r="H58" s="2072" t="s">
        <v>711</v>
      </c>
      <c r="I58" s="2074"/>
      <c r="J58" s="2864"/>
      <c r="K58" s="2864"/>
      <c r="L58" s="2101" t="s">
        <v>712</v>
      </c>
      <c r="M58" s="2106"/>
      <c r="N58" s="2107" t="str">
        <f ca="1">IF(H19="元",NUMBERSTRING(INT(N57),2)&amp;"元整",NUMBERSTRING(INT(N57*10000),2)&amp;"元整")</f>
        <v>贰佰捌拾壹万元整</v>
      </c>
      <c r="O58" s="2108"/>
      <c r="P58" s="1961"/>
    </row>
    <row r="59" spans="1:16" ht="25.5">
      <c r="A59" s="2809" t="s">
        <v>713</v>
      </c>
      <c r="B59" s="2832"/>
      <c r="C59" s="2832"/>
      <c r="D59" s="2077">
        <f ca="1">IF(H59="非个人房产","——",IF(H59="个人住宅",0,ROUND(D45*I59,0)))</f>
        <v>4</v>
      </c>
      <c r="E59" s="2078" t="str">
        <f>IF(H59="非个人房产","——","销售额×税（费）率")</f>
        <v>销售额×税（费）率</v>
      </c>
      <c r="F59" s="2079">
        <f>IF(H59="非个人房产","——",IF(H59="个人住宅","免征",I59))</f>
        <v>0.01</v>
      </c>
      <c r="G59" s="2080" t="s">
        <v>706</v>
      </c>
      <c r="H59" s="2072" t="s">
        <v>714</v>
      </c>
      <c r="I59" s="2109">
        <v>0.01</v>
      </c>
      <c r="J59" s="2875">
        <f>J57+1</f>
        <v>6</v>
      </c>
      <c r="K59" s="2864" t="s">
        <v>715</v>
      </c>
      <c r="L59" s="1479" t="s">
        <v>709</v>
      </c>
      <c r="M59" s="2110"/>
      <c r="N59" s="2111">
        <f ca="1">M49-N57</f>
        <v>166</v>
      </c>
      <c r="O59" s="2112"/>
      <c r="P59" s="1961"/>
    </row>
    <row r="60" spans="1:16" ht="12" customHeight="1">
      <c r="A60" s="2081"/>
      <c r="B60" s="1964"/>
      <c r="C60" s="1964"/>
      <c r="D60" s="1964"/>
      <c r="E60" s="2074"/>
      <c r="F60" s="2074"/>
      <c r="G60" s="2074"/>
      <c r="H60" s="2039"/>
      <c r="I60" s="1964"/>
      <c r="J60" s="2876"/>
      <c r="K60" s="2864"/>
      <c r="L60" s="2101" t="s">
        <v>712</v>
      </c>
      <c r="M60" s="2106"/>
      <c r="N60" s="2107" t="str">
        <f ca="1">IF(H19="元",NUMBERSTRING(INT(N59),2)&amp;"元整",NUMBERSTRING(INT(N59*10000),2)&amp;"元整")</f>
        <v>壹佰陆拾陆万元整</v>
      </c>
      <c r="O60" s="2108"/>
      <c r="P60" s="1961"/>
    </row>
    <row r="61" spans="1:16" ht="12.75">
      <c r="A61" s="2870" t="s">
        <v>716</v>
      </c>
      <c r="B61" s="2870"/>
      <c r="C61" s="2870"/>
      <c r="D61" s="2870"/>
      <c r="E61" s="2870"/>
      <c r="F61" s="2074"/>
      <c r="G61" s="2074"/>
      <c r="H61" s="2039"/>
      <c r="I61" s="1964"/>
      <c r="J61" s="1479">
        <f>J59+1</f>
        <v>7</v>
      </c>
      <c r="K61" s="2864" t="s">
        <v>717</v>
      </c>
      <c r="L61" s="2864"/>
      <c r="M61" s="2113"/>
      <c r="N61" s="2114">
        <f ca="1">IF(H19="元",ROUND(N59/项目基本情况!C12,0),ROUND(N59*10000/项目基本情况!C12,0))</f>
        <v>1620</v>
      </c>
      <c r="O61" s="2115"/>
      <c r="P61" s="1961"/>
    </row>
    <row r="62" spans="1:16" ht="12.75">
      <c r="A62" s="2871" t="s">
        <v>718</v>
      </c>
      <c r="B62" s="2872"/>
      <c r="C62" s="461"/>
      <c r="D62" s="461" t="s">
        <v>719</v>
      </c>
      <c r="E62" s="2082" t="s">
        <v>673</v>
      </c>
      <c r="F62" s="2074"/>
      <c r="G62" s="2074"/>
      <c r="H62" s="2039"/>
      <c r="I62" s="1964"/>
      <c r="J62" s="1961"/>
      <c r="K62" s="1961"/>
      <c r="L62" s="1961"/>
      <c r="M62" s="1961"/>
      <c r="N62" s="1961"/>
      <c r="O62" s="1961"/>
      <c r="P62" s="1961"/>
    </row>
    <row r="63" spans="1:16" ht="12.75">
      <c r="A63" s="2083">
        <v>1</v>
      </c>
      <c r="B63" s="2084" t="s">
        <v>720</v>
      </c>
      <c r="C63" s="2085">
        <f ca="1">ROUND((C64+C65)/(1+'数据-取费表'!F30),0)</f>
        <v>426</v>
      </c>
      <c r="D63" s="2086"/>
      <c r="E63" s="2087"/>
      <c r="F63" s="2074"/>
      <c r="G63" s="2074"/>
      <c r="H63" s="2039"/>
      <c r="I63" s="1964"/>
      <c r="J63" s="2877" t="s">
        <v>721</v>
      </c>
      <c r="K63" s="2116" t="s">
        <v>722</v>
      </c>
      <c r="L63" s="2117">
        <f ca="1">IF(M49&gt;10000,M49*0.5%,IF(AND(M49&gt;1000,M49&lt;=10000),M49*1%,IF(AND(M49&gt;100,M49&lt;=1000),M49*3%,IF(AND(M49&gt;10,M49&lt;=100),M49*5%,M49*8%))))</f>
        <v>13.41</v>
      </c>
      <c r="M63" s="1405">
        <f ca="1">ROUND(L63,1)</f>
        <v>13.4</v>
      </c>
      <c r="N63" s="1961"/>
      <c r="O63" s="1961"/>
      <c r="P63" s="1961"/>
    </row>
    <row r="64" spans="1:16" ht="12.75">
      <c r="A64" s="2118" t="s">
        <v>723</v>
      </c>
      <c r="B64" s="411" t="s">
        <v>724</v>
      </c>
      <c r="C64" s="2119">
        <f ca="1">D45</f>
        <v>447</v>
      </c>
      <c r="D64" s="437" t="s">
        <v>121</v>
      </c>
      <c r="E64" s="2120"/>
      <c r="F64" s="2074"/>
      <c r="G64" s="2074"/>
      <c r="H64" s="2039"/>
      <c r="I64" s="1964"/>
      <c r="J64" s="2877"/>
      <c r="K64" s="2116" t="s">
        <v>725</v>
      </c>
      <c r="L64" s="2117">
        <f ca="1">IF(M49&gt;2000,M49*0.5%,IF(AND(M49&gt;1000,M49&lt;=2000),M49*0.6%,IF(AND(M49&gt;500,M49&lt;=1000),M49*0.7%,IF(AND(M49&gt;200,M49&lt;=500),M49*0.8%,IF(AND(M49&gt;100,M49&lt;=200),M49*0.9%,IF(AND(M49&gt;50,M49&lt;=100),M49*1%,IF(AND(M49&gt;20,M49&lt;=50),M49*1.5%,IF(AND(M49&gt;10,M49&lt;=20),M49*2%,IF(AND(M49&gt;1,M49&lt;=10),M49*2.5%)))))))))</f>
        <v>3.5760000000000001</v>
      </c>
      <c r="M64" s="1405">
        <f t="shared" ref="M64:M65" ca="1" si="2">ROUND(L64,1)</f>
        <v>3.6</v>
      </c>
      <c r="N64" s="1961" t="s">
        <v>726</v>
      </c>
      <c r="O64" s="1961"/>
      <c r="P64" s="1961"/>
    </row>
    <row r="65" spans="1:35" ht="12.75">
      <c r="A65" s="2118" t="s">
        <v>727</v>
      </c>
      <c r="B65" s="411" t="s">
        <v>728</v>
      </c>
      <c r="C65" s="2121"/>
      <c r="D65" s="437"/>
      <c r="E65" s="2120"/>
      <c r="F65" s="2074"/>
      <c r="G65" s="2074"/>
      <c r="H65" s="2039"/>
      <c r="I65" s="1964"/>
      <c r="J65" s="2877"/>
      <c r="K65" s="2116" t="s">
        <v>729</v>
      </c>
      <c r="L65" s="2117">
        <f ca="1">IF(M49&gt;1000,M49*0.1%,IF(AND(M49&gt;500,M49&lt;=1000),M49*0.5%,IF(AND(M49&gt;50,M49&lt;=500),M49*1%,IF(AND(M49&gt;1,M49&lt;=50),M49*1.5%))))</f>
        <v>4.47</v>
      </c>
      <c r="M65" s="1405">
        <f t="shared" ca="1" si="2"/>
        <v>4.5</v>
      </c>
      <c r="N65" s="1961" t="s">
        <v>726</v>
      </c>
      <c r="O65" s="1961"/>
      <c r="P65" s="1961"/>
    </row>
    <row r="66" spans="1:35" ht="12.75">
      <c r="A66" s="2122" t="s">
        <v>730</v>
      </c>
      <c r="B66" s="2123" t="s">
        <v>731</v>
      </c>
      <c r="C66" s="2124"/>
      <c r="D66" s="506" t="s">
        <v>121</v>
      </c>
      <c r="E66" s="2125" t="s">
        <v>732</v>
      </c>
      <c r="F66" s="2074"/>
      <c r="G66" s="2074"/>
      <c r="H66" s="2039"/>
      <c r="I66" s="1964"/>
      <c r="J66" s="2877"/>
      <c r="K66" s="2116" t="s">
        <v>733</v>
      </c>
      <c r="L66" s="2117">
        <f ca="1">M49*0.5%</f>
        <v>2.2349999999999999</v>
      </c>
      <c r="M66" s="1405">
        <f ca="1">IF(L66&gt;0.5,0.5,ROUND(L66,0))</f>
        <v>0.5</v>
      </c>
      <c r="N66" s="1961" t="s">
        <v>734</v>
      </c>
      <c r="O66" s="1961"/>
      <c r="P66" s="1961"/>
    </row>
    <row r="67" spans="1:35" ht="12.75">
      <c r="A67" s="2122" t="s">
        <v>735</v>
      </c>
      <c r="B67" s="2123" t="s">
        <v>736</v>
      </c>
      <c r="C67" s="2126">
        <f ca="1">C63-C66</f>
        <v>426</v>
      </c>
      <c r="D67" s="437" t="s">
        <v>121</v>
      </c>
      <c r="E67" s="2120"/>
      <c r="F67" s="2074"/>
      <c r="G67" s="2074"/>
      <c r="H67" s="2039"/>
      <c r="I67" s="1964"/>
      <c r="J67" s="2877"/>
      <c r="K67" s="2116" t="s">
        <v>737</v>
      </c>
      <c r="L67" s="2117">
        <f ca="1">IF(M49&gt;=10000,(8.25+(M49-10000)*0.01%),IF(AND(M49&gt;=8000,M49&lt;10000),(7.85+(M49-8000)*0.02%),IF(AND(M49&gt;=5000,M49&lt;8000),(6.65+(M49-5000)*0.04%),IF(AND(M49&gt;=2000,M49&lt;5000),(4.25+(PM49-2000)*0.08%),IF(AND(M49&gt;=1000,M49&lt;2000),(2.75+(M49-1000)*0.15%),IF(AND(M49&gt;=100,M49&lt;1000),(0.5+(M49-100)*0.25%),IF(AND(M49&gt;0,M49&lt;100),M49*0.5%)))))))</f>
        <v>1.3675000000000002</v>
      </c>
      <c r="M67" s="1405">
        <f ca="1">ROUND(L67*0.9,1)</f>
        <v>1.2</v>
      </c>
      <c r="N67" s="1961"/>
      <c r="O67" s="1961"/>
      <c r="P67" s="1961"/>
    </row>
    <row r="68" spans="1:35" ht="12.75">
      <c r="A68" s="2127" t="s">
        <v>738</v>
      </c>
      <c r="B68" s="2128" t="s">
        <v>739</v>
      </c>
      <c r="C68" s="2129">
        <f ca="1">IF(C67&lt;=0,0,ROUND(C67*D68,0))</f>
        <v>24</v>
      </c>
      <c r="D68" s="628">
        <f>'数据-取费表'!E29</f>
        <v>5.6000000000000001E-2</v>
      </c>
      <c r="E68" s="2130"/>
      <c r="F68" s="2074"/>
      <c r="G68" s="2074"/>
      <c r="H68" s="2039"/>
      <c r="I68" s="1964"/>
      <c r="J68" s="2877"/>
      <c r="K68" s="2116" t="s">
        <v>740</v>
      </c>
      <c r="L68" s="2117">
        <f ca="1">IF(M49&gt;10000,M49*0.5%,IF(AND(M49&gt;5000,M49&lt;=10000),M49*1%,IF(AND(M49&gt;1000,M49&lt;=5000),M49*2%,IF(AND(M49&gt;200,M49&lt;=1000),M49*3%,M49*5%))))</f>
        <v>13.41</v>
      </c>
      <c r="M68" s="1405">
        <f ca="1">ROUND(L68,1)</f>
        <v>13.4</v>
      </c>
      <c r="N68" s="1961"/>
      <c r="O68" s="1961"/>
      <c r="P68" s="1961"/>
    </row>
    <row r="69" spans="1:35" s="1959" customFormat="1" ht="7.5" customHeight="1">
      <c r="A69" s="2131"/>
      <c r="B69" s="2132"/>
      <c r="C69" s="2133"/>
      <c r="D69" s="556"/>
      <c r="E69" s="2134"/>
      <c r="F69" s="2074"/>
      <c r="G69" s="2074"/>
      <c r="H69" s="2039"/>
      <c r="I69" s="1964"/>
      <c r="J69" s="2877"/>
      <c r="K69" s="2116" t="s">
        <v>741</v>
      </c>
      <c r="L69" s="2202"/>
      <c r="M69" s="1405">
        <f ca="1">ROUND(SUM(M63:M68),0)</f>
        <v>37</v>
      </c>
      <c r="N69" s="2105">
        <f ca="1">M69/M49</f>
        <v>8.2774049217002238E-2</v>
      </c>
      <c r="O69" s="1961"/>
      <c r="P69" s="1961"/>
      <c r="Q69" s="1354"/>
      <c r="R69" s="1354"/>
      <c r="S69" s="1354"/>
      <c r="T69" s="1354"/>
      <c r="U69" s="1354"/>
      <c r="V69" s="1354"/>
      <c r="W69" s="1354"/>
      <c r="X69" s="1354"/>
      <c r="Y69" s="1354"/>
      <c r="Z69" s="1354"/>
      <c r="AA69" s="1961"/>
      <c r="AB69" s="1961"/>
      <c r="AC69" s="1961"/>
      <c r="AD69" s="1961"/>
      <c r="AE69" s="1961"/>
      <c r="AF69" s="1961"/>
      <c r="AG69" s="1961"/>
      <c r="AH69" s="1961"/>
      <c r="AI69" s="1961"/>
    </row>
    <row r="70" spans="1:35" s="1960" customFormat="1" ht="14.25">
      <c r="A70" s="2873" t="s">
        <v>742</v>
      </c>
      <c r="B70" s="2874"/>
      <c r="C70" s="2874"/>
      <c r="D70" s="2874"/>
      <c r="E70" s="2874"/>
      <c r="F70" s="2874"/>
      <c r="G70" s="2874"/>
      <c r="H70" s="2874"/>
      <c r="I70" s="2203"/>
      <c r="O70" s="363"/>
      <c r="P70" s="363"/>
      <c r="Q70" s="363"/>
      <c r="R70" s="363"/>
      <c r="S70" s="363"/>
      <c r="T70" s="363"/>
      <c r="U70" s="363"/>
      <c r="V70" s="363"/>
      <c r="W70" s="363"/>
      <c r="X70" s="363"/>
      <c r="Y70" s="363"/>
      <c r="Z70" s="363"/>
      <c r="AA70" s="2212"/>
      <c r="AB70" s="2212"/>
      <c r="AC70" s="2212"/>
      <c r="AD70" s="2212"/>
      <c r="AE70" s="2212"/>
      <c r="AF70" s="2212"/>
      <c r="AG70" s="2212"/>
      <c r="AH70" s="2212"/>
      <c r="AI70" s="2212"/>
    </row>
    <row r="71" spans="1:35" s="1960" customFormat="1" ht="14.25">
      <c r="A71" s="2871" t="s">
        <v>718</v>
      </c>
      <c r="B71" s="2872"/>
      <c r="C71" s="461"/>
      <c r="D71" s="461" t="s">
        <v>719</v>
      </c>
      <c r="E71" s="2135" t="s">
        <v>673</v>
      </c>
      <c r="F71" s="2136"/>
      <c r="G71" s="2136"/>
      <c r="H71" s="2137"/>
      <c r="I71" s="2204"/>
      <c r="O71" s="363"/>
      <c r="P71" s="363"/>
      <c r="Q71" s="363"/>
      <c r="R71" s="363"/>
      <c r="S71" s="363"/>
      <c r="T71" s="363"/>
      <c r="U71" s="363"/>
      <c r="V71" s="363"/>
      <c r="W71" s="363"/>
      <c r="X71" s="363"/>
      <c r="Y71" s="363"/>
      <c r="Z71" s="363"/>
      <c r="AA71" s="2212"/>
      <c r="AB71" s="2212"/>
      <c r="AC71" s="2212"/>
      <c r="AD71" s="2212"/>
      <c r="AE71" s="2212"/>
      <c r="AF71" s="2212"/>
      <c r="AG71" s="2212"/>
      <c r="AH71" s="2212"/>
      <c r="AI71" s="2212"/>
    </row>
    <row r="72" spans="1:35" s="1960" customFormat="1" ht="14.25">
      <c r="A72" s="2138">
        <v>1</v>
      </c>
      <c r="B72" s="2123" t="s">
        <v>743</v>
      </c>
      <c r="C72" s="2126">
        <f ca="1">ROUND(D45/(1+'数据-取费表'!F30),0)</f>
        <v>426</v>
      </c>
      <c r="D72" s="437" t="s">
        <v>121</v>
      </c>
      <c r="E72" s="1684" t="s">
        <v>744</v>
      </c>
      <c r="F72" s="1604"/>
      <c r="G72" s="1604"/>
      <c r="H72" s="2139"/>
      <c r="I72" s="2204"/>
      <c r="O72" s="363"/>
      <c r="P72" s="363"/>
      <c r="Q72" s="363"/>
      <c r="R72" s="363"/>
      <c r="S72" s="363"/>
      <c r="T72" s="363"/>
      <c r="U72" s="363"/>
      <c r="V72" s="363"/>
      <c r="W72" s="363"/>
      <c r="X72" s="363"/>
      <c r="Y72" s="363"/>
      <c r="Z72" s="363"/>
      <c r="AA72" s="2212"/>
      <c r="AB72" s="2212"/>
      <c r="AC72" s="2212"/>
      <c r="AD72" s="2212"/>
      <c r="AE72" s="2212"/>
      <c r="AF72" s="2212"/>
      <c r="AG72" s="2212"/>
      <c r="AH72" s="2212"/>
      <c r="AI72" s="2212"/>
    </row>
    <row r="73" spans="1:35" s="1960" customFormat="1" ht="14.25">
      <c r="A73" s="2140">
        <v>2</v>
      </c>
      <c r="B73" s="1783" t="s">
        <v>745</v>
      </c>
      <c r="C73" s="2126">
        <f ca="1">C74+C78</f>
        <v>3</v>
      </c>
      <c r="D73" s="437" t="s">
        <v>121</v>
      </c>
      <c r="E73" s="1603"/>
      <c r="F73" s="1604"/>
      <c r="G73" s="1604"/>
      <c r="H73" s="2139"/>
      <c r="I73" s="2204"/>
      <c r="O73" s="363"/>
      <c r="P73" s="363"/>
      <c r="Q73" s="363"/>
      <c r="R73" s="363"/>
      <c r="S73" s="363"/>
      <c r="T73" s="363"/>
      <c r="U73" s="363"/>
      <c r="V73" s="363"/>
      <c r="W73" s="363"/>
      <c r="X73" s="363"/>
      <c r="Y73" s="363"/>
      <c r="Z73" s="363"/>
      <c r="AA73" s="2212"/>
      <c r="AB73" s="2212"/>
      <c r="AC73" s="2212"/>
      <c r="AD73" s="2212"/>
      <c r="AE73" s="2212"/>
      <c r="AF73" s="2212"/>
      <c r="AG73" s="2212"/>
      <c r="AH73" s="2212"/>
      <c r="AI73" s="2212"/>
    </row>
    <row r="74" spans="1:35" s="1960" customFormat="1" ht="24">
      <c r="A74" s="2141" t="s">
        <v>746</v>
      </c>
      <c r="B74" s="411" t="s">
        <v>747</v>
      </c>
      <c r="C74" s="437">
        <f>ROUND(IF(G77="2016年5月1日后购买",C75/(1+'数据-取费表'!F30)+C76+C77,C75+C76+C77),0)</f>
        <v>0</v>
      </c>
      <c r="D74" s="437" t="s">
        <v>121</v>
      </c>
      <c r="E74" s="1603"/>
      <c r="F74" s="1604"/>
      <c r="G74" s="1604"/>
      <c r="H74" s="2139"/>
      <c r="I74" s="2204"/>
      <c r="O74" s="363"/>
      <c r="P74" s="363"/>
      <c r="Q74" s="363"/>
      <c r="R74" s="363"/>
      <c r="S74" s="363"/>
      <c r="T74" s="363"/>
      <c r="U74" s="363"/>
      <c r="V74" s="363"/>
      <c r="W74" s="363"/>
      <c r="X74" s="363"/>
      <c r="Y74" s="363"/>
      <c r="Z74" s="363"/>
      <c r="AA74" s="2212"/>
      <c r="AB74" s="2212"/>
      <c r="AC74" s="2212"/>
      <c r="AD74" s="2212"/>
      <c r="AE74" s="2212"/>
      <c r="AF74" s="2212"/>
      <c r="AG74" s="2212"/>
      <c r="AH74" s="2212"/>
      <c r="AI74" s="2212"/>
    </row>
    <row r="75" spans="1:35" s="1960" customFormat="1" ht="14.25">
      <c r="A75" s="2141" t="s">
        <v>748</v>
      </c>
      <c r="B75" s="411" t="s">
        <v>749</v>
      </c>
      <c r="C75" s="541"/>
      <c r="D75" s="437" t="s">
        <v>121</v>
      </c>
      <c r="E75" s="2142" t="s">
        <v>750</v>
      </c>
      <c r="F75" s="2143" t="s">
        <v>751</v>
      </c>
      <c r="G75" s="2142" t="s">
        <v>752</v>
      </c>
      <c r="H75" s="2144"/>
      <c r="I75" s="545"/>
      <c r="O75" s="363"/>
      <c r="P75" s="363"/>
      <c r="Q75" s="363"/>
      <c r="R75" s="363"/>
      <c r="S75" s="363"/>
      <c r="T75" s="363"/>
      <c r="U75" s="363"/>
      <c r="V75" s="363"/>
      <c r="W75" s="363"/>
      <c r="X75" s="363"/>
      <c r="Y75" s="363"/>
      <c r="Z75" s="363"/>
      <c r="AA75" s="2212"/>
      <c r="AB75" s="2212"/>
      <c r="AC75" s="2212"/>
      <c r="AD75" s="2212"/>
      <c r="AE75" s="2212"/>
      <c r="AF75" s="2212"/>
      <c r="AG75" s="2212"/>
      <c r="AH75" s="2212"/>
      <c r="AI75" s="2212"/>
    </row>
    <row r="76" spans="1:35" s="1960" customFormat="1" ht="24.75" customHeight="1">
      <c r="A76" s="2141" t="s">
        <v>753</v>
      </c>
      <c r="B76" s="2145" t="s">
        <v>754</v>
      </c>
      <c r="C76" s="437">
        <f>IF(F75="购房发票",ROUND(C75*H75*D76,0),0)</f>
        <v>0</v>
      </c>
      <c r="D76" s="2146">
        <v>0.05</v>
      </c>
      <c r="E76" s="2865" t="s">
        <v>755</v>
      </c>
      <c r="F76" s="2860"/>
      <c r="G76" s="2860"/>
      <c r="H76" s="2878"/>
      <c r="I76" s="2204"/>
      <c r="O76" s="363"/>
      <c r="P76" s="363"/>
      <c r="Q76" s="363"/>
      <c r="R76" s="363"/>
      <c r="S76" s="363"/>
      <c r="T76" s="363"/>
      <c r="U76" s="363"/>
      <c r="V76" s="363"/>
      <c r="W76" s="363"/>
      <c r="X76" s="363"/>
      <c r="Y76" s="363"/>
      <c r="Z76" s="363"/>
      <c r="AA76" s="2212"/>
      <c r="AB76" s="2212"/>
      <c r="AC76" s="2212"/>
      <c r="AD76" s="2212"/>
      <c r="AE76" s="2212"/>
      <c r="AF76" s="2212"/>
      <c r="AG76" s="2212"/>
      <c r="AH76" s="2212"/>
      <c r="AI76" s="2212"/>
    </row>
    <row r="77" spans="1:35" s="1960" customFormat="1" ht="24.75" customHeight="1">
      <c r="A77" s="2141" t="s">
        <v>756</v>
      </c>
      <c r="B77" s="411" t="s">
        <v>757</v>
      </c>
      <c r="C77" s="437">
        <f>ROUND(IF(G77="个人住宅",0,IF(G77="2016年5月1日前购买",C75*D77,C75*D77/(1+'数据-取费表'!F30))),0)</f>
        <v>0</v>
      </c>
      <c r="D77" s="2148">
        <f>'数据-取费表'!E36+'数据-取费表'!E37</f>
        <v>3.0499999999999999E-2</v>
      </c>
      <c r="E77" s="1684" t="s">
        <v>758</v>
      </c>
      <c r="F77" s="2149"/>
      <c r="G77" s="2150" t="s">
        <v>759</v>
      </c>
      <c r="H77" s="2147" t="str">
        <f>IF(G77="个人买卖住房","免征印花税"," ")</f>
        <v/>
      </c>
      <c r="I77" s="2204"/>
      <c r="J77" s="363"/>
      <c r="K77" s="363"/>
      <c r="L77" s="363"/>
      <c r="M77" s="363"/>
      <c r="N77" s="363"/>
      <c r="O77" s="363"/>
      <c r="P77" s="363"/>
      <c r="Q77" s="363"/>
      <c r="R77" s="363"/>
      <c r="S77" s="363"/>
      <c r="T77" s="363"/>
      <c r="U77" s="363"/>
      <c r="V77" s="363"/>
      <c r="W77" s="363"/>
      <c r="X77" s="363"/>
      <c r="Y77" s="363"/>
      <c r="Z77" s="363"/>
      <c r="AA77" s="2212"/>
      <c r="AB77" s="2212"/>
      <c r="AC77" s="2212"/>
      <c r="AD77" s="2212"/>
      <c r="AE77" s="2212"/>
      <c r="AF77" s="2212"/>
      <c r="AG77" s="2212"/>
      <c r="AH77" s="2212"/>
      <c r="AI77" s="2212"/>
    </row>
    <row r="78" spans="1:35" s="1960" customFormat="1" ht="24.75" customHeight="1">
      <c r="A78" s="2141" t="s">
        <v>760</v>
      </c>
      <c r="B78" s="411" t="s">
        <v>761</v>
      </c>
      <c r="C78" s="2151">
        <f ca="1">ROUND(D45*D78/(1+'数据-取费表'!F30),0)</f>
        <v>3</v>
      </c>
      <c r="D78" s="2152">
        <f>'数据-取费表'!E31</f>
        <v>6.0000000000000001E-3</v>
      </c>
      <c r="E78" s="2879" t="s">
        <v>762</v>
      </c>
      <c r="F78" s="2880"/>
      <c r="G78" s="2880"/>
      <c r="H78" s="2881"/>
      <c r="I78" s="2205"/>
      <c r="J78" s="363"/>
      <c r="K78" s="363"/>
      <c r="L78" s="363"/>
      <c r="M78" s="363"/>
      <c r="N78" s="363"/>
      <c r="O78" s="363"/>
      <c r="P78" s="363"/>
      <c r="Q78" s="363"/>
      <c r="R78" s="363"/>
      <c r="S78" s="363"/>
      <c r="T78" s="363"/>
      <c r="U78" s="363"/>
      <c r="V78" s="363"/>
      <c r="W78" s="363"/>
      <c r="X78" s="363"/>
      <c r="Y78" s="363"/>
      <c r="Z78" s="363"/>
      <c r="AA78" s="2212"/>
      <c r="AB78" s="2212"/>
      <c r="AC78" s="2212"/>
      <c r="AD78" s="2212"/>
      <c r="AE78" s="2212"/>
      <c r="AF78" s="2212"/>
      <c r="AG78" s="2212"/>
      <c r="AH78" s="2212"/>
      <c r="AI78" s="2212"/>
    </row>
    <row r="79" spans="1:35" s="1960" customFormat="1" ht="14.25">
      <c r="A79" s="2156" t="s">
        <v>735</v>
      </c>
      <c r="B79" s="2123" t="s">
        <v>763</v>
      </c>
      <c r="C79" s="2126">
        <f ca="1">C72-C73</f>
        <v>423</v>
      </c>
      <c r="D79" s="437" t="s">
        <v>121</v>
      </c>
      <c r="E79" s="1603"/>
      <c r="F79" s="1604"/>
      <c r="G79" s="1604"/>
      <c r="H79" s="2139"/>
      <c r="I79" s="2204"/>
      <c r="J79" s="363"/>
      <c r="K79" s="363"/>
      <c r="L79" s="363"/>
      <c r="M79" s="363"/>
      <c r="N79" s="363"/>
      <c r="O79" s="363"/>
      <c r="P79" s="363"/>
      <c r="Q79" s="363"/>
      <c r="R79" s="363"/>
      <c r="S79" s="363"/>
      <c r="T79" s="363"/>
      <c r="U79" s="363"/>
      <c r="V79" s="363"/>
      <c r="W79" s="363"/>
      <c r="X79" s="363"/>
      <c r="Y79" s="363"/>
      <c r="Z79" s="363"/>
      <c r="AA79" s="2212"/>
      <c r="AB79" s="2212"/>
      <c r="AC79" s="2212"/>
      <c r="AD79" s="2212"/>
      <c r="AE79" s="2212"/>
      <c r="AF79" s="2212"/>
      <c r="AG79" s="2212"/>
      <c r="AH79" s="2212"/>
      <c r="AI79" s="2212"/>
    </row>
    <row r="80" spans="1:35" s="1960" customFormat="1" ht="24">
      <c r="A80" s="2156" t="s">
        <v>738</v>
      </c>
      <c r="B80" s="2123" t="s">
        <v>764</v>
      </c>
      <c r="C80" s="2157">
        <f ca="1">IF(C79&lt;=0,0,C79/C73)</f>
        <v>141</v>
      </c>
      <c r="D80" s="437" t="s">
        <v>121</v>
      </c>
      <c r="E80" s="1684" t="str">
        <f ca="1">IF(C80&gt;=200%,"增值额超过扣除项目金额200%",IF(C80&gt;=100%,"增值额超过扣除项目金额100%，未超过200%",IF(C80&gt;=50%,"增值额超过扣除项目金额50%，未超过100%",IF(C80&lt;50%,"增值额未超过扣除项目金额50%"))))</f>
        <v>增值额超过扣除项目金额200%</v>
      </c>
      <c r="F80" s="1604"/>
      <c r="G80" s="1604"/>
      <c r="H80" s="2139"/>
      <c r="I80" s="2204"/>
      <c r="J80" s="363"/>
      <c r="K80" s="363"/>
      <c r="L80" s="363"/>
      <c r="M80" s="363"/>
      <c r="N80" s="363"/>
      <c r="O80" s="363"/>
      <c r="P80" s="363"/>
      <c r="Q80" s="363"/>
      <c r="R80" s="363"/>
      <c r="S80" s="363"/>
      <c r="T80" s="363"/>
      <c r="U80" s="363"/>
      <c r="V80" s="363"/>
      <c r="W80" s="363"/>
      <c r="X80" s="363"/>
      <c r="Y80" s="363"/>
      <c r="Z80" s="363"/>
      <c r="AA80" s="2212"/>
      <c r="AB80" s="2212"/>
      <c r="AC80" s="2212"/>
      <c r="AD80" s="2212"/>
      <c r="AE80" s="2212"/>
      <c r="AF80" s="2212"/>
      <c r="AG80" s="2212"/>
      <c r="AH80" s="2212"/>
      <c r="AI80" s="2212"/>
    </row>
    <row r="81" spans="1:35" s="1960" customFormat="1" ht="24">
      <c r="A81" s="2158" t="s">
        <v>765</v>
      </c>
      <c r="B81" s="2128" t="s">
        <v>766</v>
      </c>
      <c r="C81" s="2159">
        <f ca="1">ROUND(IF(C79&lt;=0,0,IF(C80&gt;=200%,C79*60%-C73*35%,IF(C80&gt;=100%,C79*50%-C73*15%,IF(C80&gt;=50%,C79*40%-C73*5%,IF(C80&lt;50%,C79*30%,0))))),0)</f>
        <v>253</v>
      </c>
      <c r="D81" s="458" t="s">
        <v>121</v>
      </c>
      <c r="E81" s="216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61"/>
      <c r="G81" s="2161"/>
      <c r="H81" s="2162"/>
      <c r="I81" s="2204"/>
      <c r="J81" s="363"/>
      <c r="K81" s="363"/>
      <c r="L81" s="363"/>
      <c r="M81" s="363"/>
      <c r="N81" s="363"/>
      <c r="O81" s="363"/>
      <c r="P81" s="363"/>
      <c r="Q81" s="363"/>
      <c r="R81" s="363"/>
      <c r="S81" s="363"/>
      <c r="T81" s="363"/>
      <c r="U81" s="363"/>
      <c r="V81" s="363"/>
      <c r="W81" s="363"/>
      <c r="X81" s="363"/>
      <c r="Y81" s="363"/>
      <c r="Z81" s="363"/>
      <c r="AA81" s="2212"/>
      <c r="AB81" s="2212"/>
      <c r="AC81" s="2212"/>
      <c r="AD81" s="2212"/>
      <c r="AE81" s="2212"/>
      <c r="AF81" s="2212"/>
      <c r="AG81" s="2212"/>
      <c r="AH81" s="2212"/>
      <c r="AI81" s="2212"/>
    </row>
    <row r="82" spans="1:35" s="1960" customFormat="1" ht="7.5" customHeight="1">
      <c r="A82" s="2163"/>
      <c r="B82" s="2164"/>
      <c r="C82" s="545"/>
      <c r="D82" s="545"/>
      <c r="E82" s="2164"/>
      <c r="F82" s="2164"/>
      <c r="G82" s="2164"/>
      <c r="H82" s="2165"/>
      <c r="I82" s="2205"/>
      <c r="J82" s="363"/>
      <c r="K82" s="363"/>
      <c r="L82" s="363"/>
      <c r="M82" s="363"/>
      <c r="N82" s="363"/>
      <c r="O82" s="363"/>
      <c r="P82" s="363"/>
      <c r="Q82" s="363"/>
      <c r="R82" s="363"/>
      <c r="S82" s="363"/>
      <c r="T82" s="363"/>
      <c r="U82" s="363"/>
      <c r="V82" s="363"/>
      <c r="W82" s="363"/>
      <c r="X82" s="363"/>
      <c r="Y82" s="363"/>
      <c r="Z82" s="363"/>
      <c r="AA82" s="2212"/>
      <c r="AB82" s="2212"/>
      <c r="AC82" s="2212"/>
      <c r="AD82" s="2212"/>
      <c r="AE82" s="2212"/>
      <c r="AF82" s="2212"/>
      <c r="AG82" s="2212"/>
      <c r="AH82" s="2212"/>
      <c r="AI82" s="2212"/>
    </row>
    <row r="83" spans="1:35" s="1960" customFormat="1" ht="14.25">
      <c r="A83" s="2873" t="s">
        <v>767</v>
      </c>
      <c r="B83" s="2874"/>
      <c r="C83" s="2874"/>
      <c r="D83" s="2874"/>
      <c r="E83" s="2874"/>
      <c r="F83" s="2874"/>
      <c r="G83" s="2874"/>
      <c r="H83" s="2874"/>
      <c r="I83" s="545"/>
      <c r="J83" s="363"/>
      <c r="K83" s="363"/>
      <c r="L83" s="363"/>
      <c r="M83" s="363"/>
      <c r="N83" s="363"/>
      <c r="O83" s="363"/>
      <c r="P83" s="363"/>
      <c r="Q83" s="363"/>
      <c r="R83" s="363"/>
      <c r="S83" s="363"/>
      <c r="T83" s="363"/>
      <c r="U83" s="363"/>
      <c r="V83" s="363"/>
      <c r="W83" s="363"/>
      <c r="X83" s="363"/>
      <c r="Y83" s="363"/>
      <c r="Z83" s="363"/>
      <c r="AA83" s="2212"/>
      <c r="AB83" s="2212"/>
      <c r="AC83" s="2212"/>
      <c r="AD83" s="2212"/>
      <c r="AE83" s="2212"/>
      <c r="AF83" s="2212"/>
      <c r="AG83" s="2212"/>
      <c r="AH83" s="2212"/>
      <c r="AI83" s="2212"/>
    </row>
    <row r="84" spans="1:35" s="1960" customFormat="1" ht="14.25">
      <c r="A84" s="2871" t="s">
        <v>718</v>
      </c>
      <c r="B84" s="2872"/>
      <c r="C84" s="461"/>
      <c r="D84" s="461" t="s">
        <v>719</v>
      </c>
      <c r="E84" s="2135" t="s">
        <v>673</v>
      </c>
      <c r="F84" s="2136"/>
      <c r="G84" s="2136"/>
      <c r="H84" s="2166"/>
      <c r="I84" s="545"/>
      <c r="J84" s="363"/>
      <c r="K84" s="363"/>
      <c r="L84" s="363"/>
      <c r="M84" s="363"/>
      <c r="N84" s="363"/>
      <c r="O84" s="363"/>
      <c r="P84" s="363"/>
      <c r="Q84" s="363"/>
      <c r="R84" s="363"/>
      <c r="S84" s="363"/>
      <c r="T84" s="363"/>
      <c r="U84" s="363"/>
      <c r="V84" s="363"/>
      <c r="W84" s="363"/>
      <c r="X84" s="363"/>
      <c r="Y84" s="363"/>
      <c r="Z84" s="363"/>
      <c r="AA84" s="2212"/>
      <c r="AB84" s="2212"/>
      <c r="AC84" s="2212"/>
      <c r="AD84" s="2212"/>
      <c r="AE84" s="2212"/>
      <c r="AF84" s="2212"/>
      <c r="AG84" s="2212"/>
      <c r="AH84" s="2212"/>
      <c r="AI84" s="2212"/>
    </row>
    <row r="85" spans="1:35" s="1960" customFormat="1" ht="24">
      <c r="A85" s="2138">
        <v>1</v>
      </c>
      <c r="B85" s="2123" t="s">
        <v>743</v>
      </c>
      <c r="C85" s="2126">
        <f ca="1">ROUND(D45/(1+'数据-取费表'!F30),0)</f>
        <v>426</v>
      </c>
      <c r="D85" s="437" t="s">
        <v>121</v>
      </c>
      <c r="E85" s="1603" t="s">
        <v>744</v>
      </c>
      <c r="F85" s="1604"/>
      <c r="G85" s="1604"/>
      <c r="H85" s="2167"/>
      <c r="I85" s="545"/>
      <c r="J85" s="363"/>
      <c r="K85" s="363"/>
      <c r="L85" s="363"/>
      <c r="M85" s="363"/>
      <c r="N85" s="363"/>
      <c r="O85" s="363"/>
      <c r="P85" s="363"/>
      <c r="Q85" s="363"/>
      <c r="R85" s="363"/>
      <c r="S85" s="363"/>
      <c r="T85" s="363"/>
      <c r="U85" s="363"/>
      <c r="V85" s="363"/>
      <c r="W85" s="363"/>
      <c r="X85" s="363"/>
      <c r="Y85" s="363"/>
      <c r="Z85" s="363"/>
      <c r="AA85" s="2212"/>
      <c r="AB85" s="2212"/>
      <c r="AC85" s="2212"/>
      <c r="AD85" s="2212"/>
      <c r="AE85" s="2212"/>
      <c r="AF85" s="2212"/>
      <c r="AG85" s="2212"/>
      <c r="AH85" s="2212"/>
      <c r="AI85" s="2212"/>
    </row>
    <row r="86" spans="1:35" s="1960" customFormat="1" ht="14.25">
      <c r="A86" s="2140">
        <v>2</v>
      </c>
      <c r="B86" s="1783" t="s">
        <v>745</v>
      </c>
      <c r="C86" s="2126">
        <f ca="1">IF(H88="仅含出让金",C87+C90+C91+C92+C93+C94,C87+C91+C92+C93+C94)</f>
        <v>3</v>
      </c>
      <c r="D86" s="2168"/>
      <c r="E86" s="1603"/>
      <c r="F86" s="1604"/>
      <c r="G86" s="1604"/>
      <c r="H86" s="2167"/>
      <c r="I86" s="545"/>
      <c r="J86" s="363"/>
      <c r="K86" s="363"/>
      <c r="L86" s="363"/>
      <c r="M86" s="363"/>
      <c r="N86" s="363"/>
      <c r="O86" s="363"/>
      <c r="P86" s="363"/>
      <c r="Q86" s="363"/>
      <c r="R86" s="363"/>
      <c r="S86" s="363"/>
      <c r="T86" s="363"/>
      <c r="U86" s="363"/>
      <c r="V86" s="363"/>
      <c r="W86" s="363"/>
      <c r="X86" s="363"/>
      <c r="Y86" s="363"/>
      <c r="Z86" s="363"/>
      <c r="AA86" s="2212"/>
      <c r="AB86" s="2212"/>
      <c r="AC86" s="2212"/>
      <c r="AD86" s="2212"/>
      <c r="AE86" s="2212"/>
      <c r="AF86" s="2212"/>
      <c r="AG86" s="2212"/>
      <c r="AH86" s="2212"/>
      <c r="AI86" s="2212"/>
    </row>
    <row r="87" spans="1:35" s="1960" customFormat="1" ht="14.25">
      <c r="A87" s="2141" t="s">
        <v>746</v>
      </c>
      <c r="B87" s="411" t="s">
        <v>768</v>
      </c>
      <c r="C87" s="2151">
        <f>C88+C89</f>
        <v>0</v>
      </c>
      <c r="D87" s="2152"/>
      <c r="E87" s="2153"/>
      <c r="F87" s="2154"/>
      <c r="G87" s="2154"/>
      <c r="H87" s="2155"/>
      <c r="I87" s="545"/>
      <c r="J87" s="363"/>
      <c r="K87" s="363"/>
      <c r="L87" s="363"/>
      <c r="M87" s="363"/>
      <c r="N87" s="363"/>
      <c r="O87" s="363"/>
      <c r="P87" s="363"/>
      <c r="Q87" s="363"/>
      <c r="R87" s="363"/>
      <c r="S87" s="363"/>
      <c r="T87" s="363"/>
      <c r="U87" s="363"/>
      <c r="V87" s="363"/>
      <c r="W87" s="363"/>
      <c r="X87" s="363"/>
      <c r="Y87" s="363"/>
      <c r="Z87" s="363"/>
      <c r="AA87" s="2212"/>
      <c r="AB87" s="2212"/>
      <c r="AC87" s="2212"/>
      <c r="AD87" s="2212"/>
      <c r="AE87" s="2212"/>
      <c r="AF87" s="2212"/>
      <c r="AG87" s="2212"/>
      <c r="AH87" s="2212"/>
      <c r="AI87" s="2212"/>
    </row>
    <row r="88" spans="1:35" s="1960" customFormat="1" ht="14.25">
      <c r="A88" s="2141" t="s">
        <v>748</v>
      </c>
      <c r="B88" s="411" t="s">
        <v>769</v>
      </c>
      <c r="C88" s="2169"/>
      <c r="D88" s="2152"/>
      <c r="E88" s="2170" t="s">
        <v>770</v>
      </c>
      <c r="F88" s="2154"/>
      <c r="G88" s="2171" t="s">
        <v>771</v>
      </c>
      <c r="H88" s="2172"/>
      <c r="I88" s="545"/>
      <c r="J88" s="363"/>
      <c r="K88" s="363"/>
      <c r="L88" s="363"/>
      <c r="M88" s="363"/>
      <c r="N88" s="363"/>
      <c r="O88" s="363"/>
      <c r="P88" s="363"/>
      <c r="Q88" s="363"/>
      <c r="R88" s="363"/>
      <c r="S88" s="363"/>
      <c r="T88" s="363"/>
      <c r="U88" s="363"/>
      <c r="V88" s="363"/>
      <c r="W88" s="363"/>
      <c r="X88" s="363"/>
      <c r="Y88" s="363"/>
      <c r="Z88" s="363"/>
      <c r="AA88" s="2212"/>
      <c r="AB88" s="2212"/>
      <c r="AC88" s="2212"/>
      <c r="AD88" s="2212"/>
      <c r="AE88" s="2212"/>
      <c r="AF88" s="2212"/>
      <c r="AG88" s="2212"/>
      <c r="AH88" s="2212"/>
      <c r="AI88" s="2212"/>
    </row>
    <row r="89" spans="1:35" s="1960" customFormat="1" ht="14.25">
      <c r="A89" s="2141" t="s">
        <v>753</v>
      </c>
      <c r="B89" s="411" t="s">
        <v>757</v>
      </c>
      <c r="C89" s="2151">
        <f>ROUND(C88*D89,0)</f>
        <v>0</v>
      </c>
      <c r="D89" s="2152">
        <f>'数据-取费表'!E36+'数据-取费表'!E37</f>
        <v>3.0499999999999999E-2</v>
      </c>
      <c r="E89" s="2170" t="s">
        <v>772</v>
      </c>
      <c r="F89" s="2154"/>
      <c r="G89" s="2154"/>
      <c r="H89" s="2155"/>
      <c r="I89" s="545"/>
      <c r="J89" s="363"/>
      <c r="K89" s="363"/>
      <c r="L89" s="363"/>
      <c r="M89" s="363"/>
      <c r="N89" s="363"/>
      <c r="O89" s="363"/>
      <c r="P89" s="363"/>
      <c r="Q89" s="363"/>
      <c r="R89" s="363"/>
      <c r="S89" s="363"/>
      <c r="T89" s="363"/>
      <c r="U89" s="363"/>
      <c r="V89" s="363"/>
      <c r="W89" s="363"/>
      <c r="X89" s="363"/>
      <c r="Y89" s="363"/>
      <c r="Z89" s="363"/>
      <c r="AA89" s="2212"/>
      <c r="AB89" s="2212"/>
      <c r="AC89" s="2212"/>
      <c r="AD89" s="2212"/>
      <c r="AE89" s="2212"/>
      <c r="AF89" s="2212"/>
      <c r="AG89" s="2212"/>
      <c r="AH89" s="2212"/>
      <c r="AI89" s="2212"/>
    </row>
    <row r="90" spans="1:35" s="1960" customFormat="1" ht="14.25">
      <c r="A90" s="2141" t="s">
        <v>760</v>
      </c>
      <c r="B90" s="411" t="s">
        <v>773</v>
      </c>
      <c r="C90" s="2169"/>
      <c r="D90" s="2152"/>
      <c r="E90" s="2170" t="str">
        <f>IF(H88="-","土地取得成本中已包含该笔费用"," ")</f>
        <v/>
      </c>
      <c r="F90" s="2154"/>
      <c r="G90" s="2154"/>
      <c r="H90" s="2155"/>
      <c r="I90" s="545"/>
      <c r="J90" s="363"/>
      <c r="K90" s="363"/>
      <c r="L90" s="363"/>
      <c r="M90" s="363"/>
      <c r="N90" s="363"/>
      <c r="O90" s="363"/>
      <c r="P90" s="363"/>
      <c r="Q90" s="363"/>
      <c r="R90" s="363"/>
      <c r="S90" s="363"/>
      <c r="T90" s="363"/>
      <c r="U90" s="363"/>
      <c r="V90" s="363"/>
      <c r="W90" s="363"/>
      <c r="X90" s="363"/>
      <c r="Y90" s="363"/>
      <c r="Z90" s="363"/>
      <c r="AA90" s="2212"/>
      <c r="AB90" s="2212"/>
      <c r="AC90" s="2212"/>
      <c r="AD90" s="2212"/>
      <c r="AE90" s="2212"/>
      <c r="AF90" s="2212"/>
      <c r="AG90" s="2212"/>
      <c r="AH90" s="2212"/>
      <c r="AI90" s="2212"/>
    </row>
    <row r="91" spans="1:35" s="1960" customFormat="1" ht="30.75" customHeight="1">
      <c r="A91" s="2141" t="s">
        <v>774</v>
      </c>
      <c r="B91" s="411" t="s">
        <v>775</v>
      </c>
      <c r="C91" s="2151">
        <f>IF(H91="——",成本法!C33,I91)</f>
        <v>0</v>
      </c>
      <c r="D91" s="2152"/>
      <c r="E91" s="2879" t="s">
        <v>776</v>
      </c>
      <c r="F91" s="2880"/>
      <c r="G91" s="2880"/>
      <c r="H91" s="2173" t="s">
        <v>777</v>
      </c>
      <c r="I91" s="2206"/>
      <c r="J91" s="363"/>
      <c r="K91" s="363"/>
      <c r="L91" s="363"/>
      <c r="M91" s="363"/>
      <c r="N91" s="363"/>
      <c r="O91" s="363"/>
      <c r="P91" s="363"/>
      <c r="Q91" s="363"/>
      <c r="R91" s="363"/>
      <c r="S91" s="363"/>
      <c r="T91" s="363"/>
      <c r="U91" s="363"/>
      <c r="V91" s="363"/>
      <c r="W91" s="363"/>
      <c r="X91" s="363"/>
      <c r="Y91" s="363"/>
      <c r="Z91" s="363"/>
      <c r="AA91" s="2212"/>
      <c r="AB91" s="2212"/>
      <c r="AC91" s="2212"/>
      <c r="AD91" s="2212"/>
      <c r="AE91" s="2212"/>
      <c r="AF91" s="2212"/>
      <c r="AG91" s="2212"/>
      <c r="AH91" s="2212"/>
      <c r="AI91" s="2212"/>
    </row>
    <row r="92" spans="1:35" s="1960" customFormat="1" ht="25.5" customHeight="1">
      <c r="A92" s="2141" t="s">
        <v>778</v>
      </c>
      <c r="B92" s="411" t="s">
        <v>779</v>
      </c>
      <c r="C92" s="2151">
        <f>ROUND((C87+C90+C91)*D92,0)</f>
        <v>0</v>
      </c>
      <c r="D92" s="2152">
        <v>0.1</v>
      </c>
      <c r="E92" s="2879" t="s">
        <v>780</v>
      </c>
      <c r="F92" s="2880"/>
      <c r="G92" s="2880"/>
      <c r="H92" s="2881"/>
      <c r="I92" s="545"/>
      <c r="J92" s="363"/>
      <c r="K92" s="363"/>
      <c r="L92" s="363"/>
      <c r="M92" s="363"/>
      <c r="N92" s="363"/>
      <c r="O92" s="363"/>
      <c r="P92" s="363"/>
      <c r="Q92" s="363"/>
      <c r="R92" s="363"/>
      <c r="S92" s="363"/>
      <c r="T92" s="363"/>
      <c r="U92" s="363"/>
      <c r="V92" s="363"/>
      <c r="W92" s="363"/>
      <c r="X92" s="363"/>
      <c r="Y92" s="363"/>
      <c r="Z92" s="363"/>
      <c r="AA92" s="2212"/>
      <c r="AB92" s="2212"/>
      <c r="AC92" s="2212"/>
      <c r="AD92" s="2212"/>
      <c r="AE92" s="2212"/>
      <c r="AF92" s="2212"/>
      <c r="AG92" s="2212"/>
      <c r="AH92" s="2212"/>
      <c r="AI92" s="2212"/>
    </row>
    <row r="93" spans="1:35" s="1960" customFormat="1" ht="25.5" customHeight="1">
      <c r="A93" s="2141" t="s">
        <v>781</v>
      </c>
      <c r="B93" s="411" t="s">
        <v>761</v>
      </c>
      <c r="C93" s="2151">
        <f ca="1">ROUND(D45*D93/(1+'数据-取费表'!F30),0)</f>
        <v>3</v>
      </c>
      <c r="D93" s="2152">
        <f>'数据-取费表'!E31</f>
        <v>6.0000000000000001E-3</v>
      </c>
      <c r="E93" s="2879" t="s">
        <v>762</v>
      </c>
      <c r="F93" s="2880"/>
      <c r="G93" s="2880"/>
      <c r="H93" s="2881"/>
      <c r="I93" s="545"/>
      <c r="J93" s="363"/>
      <c r="K93" s="363"/>
      <c r="L93" s="363"/>
      <c r="M93" s="363"/>
      <c r="N93" s="363"/>
      <c r="O93" s="363"/>
      <c r="P93" s="363"/>
      <c r="Q93" s="363"/>
      <c r="R93" s="363"/>
      <c r="S93" s="363"/>
      <c r="T93" s="363"/>
      <c r="U93" s="363"/>
      <c r="V93" s="363"/>
      <c r="W93" s="363"/>
      <c r="X93" s="363"/>
      <c r="Y93" s="363"/>
      <c r="Z93" s="363"/>
      <c r="AA93" s="2212"/>
      <c r="AB93" s="2212"/>
      <c r="AC93" s="2212"/>
      <c r="AD93" s="2212"/>
      <c r="AE93" s="2212"/>
      <c r="AF93" s="2212"/>
      <c r="AG93" s="2212"/>
      <c r="AH93" s="2212"/>
      <c r="AI93" s="2212"/>
    </row>
    <row r="94" spans="1:35" s="1960" customFormat="1" ht="25.5" customHeight="1">
      <c r="A94" s="2141" t="s">
        <v>782</v>
      </c>
      <c r="B94" s="411" t="s">
        <v>783</v>
      </c>
      <c r="C94" s="2151">
        <f>ROUND((C87+C90+C91)*D94,0)</f>
        <v>0</v>
      </c>
      <c r="D94" s="2152">
        <v>0.2</v>
      </c>
      <c r="E94" s="2879" t="s">
        <v>784</v>
      </c>
      <c r="F94" s="2880"/>
      <c r="G94" s="2880"/>
      <c r="H94" s="2881"/>
      <c r="I94" s="545"/>
      <c r="J94" s="363"/>
      <c r="K94" s="363"/>
      <c r="L94" s="363"/>
      <c r="M94" s="363"/>
      <c r="N94" s="363"/>
      <c r="O94" s="363"/>
      <c r="P94" s="363"/>
      <c r="Q94" s="363"/>
      <c r="R94" s="363"/>
      <c r="S94" s="363"/>
      <c r="T94" s="363"/>
      <c r="U94" s="363"/>
      <c r="V94" s="363"/>
      <c r="W94" s="363"/>
      <c r="X94" s="363"/>
      <c r="Y94" s="363"/>
      <c r="Z94" s="363"/>
      <c r="AA94" s="2212"/>
      <c r="AB94" s="2212"/>
      <c r="AC94" s="2212"/>
      <c r="AD94" s="2212"/>
      <c r="AE94" s="2212"/>
      <c r="AF94" s="2212"/>
      <c r="AG94" s="2212"/>
      <c r="AH94" s="2212"/>
      <c r="AI94" s="2212"/>
    </row>
    <row r="95" spans="1:35" s="1960" customFormat="1" ht="14.25">
      <c r="A95" s="2156" t="s">
        <v>735</v>
      </c>
      <c r="B95" s="2123" t="s">
        <v>763</v>
      </c>
      <c r="C95" s="2126">
        <f ca="1">ROUND(C85-C86,0)</f>
        <v>423</v>
      </c>
      <c r="D95" s="437" t="s">
        <v>121</v>
      </c>
      <c r="E95" s="1603"/>
      <c r="F95" s="1604"/>
      <c r="G95" s="1604"/>
      <c r="H95" s="2167"/>
      <c r="I95" s="545"/>
      <c r="J95" s="363"/>
      <c r="K95" s="363"/>
      <c r="L95" s="363"/>
      <c r="M95" s="363"/>
      <c r="N95" s="363"/>
      <c r="O95" s="363"/>
      <c r="P95" s="363"/>
      <c r="Q95" s="363"/>
      <c r="R95" s="363"/>
      <c r="S95" s="363"/>
      <c r="T95" s="363"/>
      <c r="U95" s="363"/>
      <c r="V95" s="363"/>
      <c r="W95" s="363"/>
      <c r="X95" s="363"/>
      <c r="Y95" s="363"/>
      <c r="Z95" s="363"/>
      <c r="AA95" s="2212"/>
      <c r="AB95" s="2212"/>
      <c r="AC95" s="2212"/>
      <c r="AD95" s="2212"/>
      <c r="AE95" s="2212"/>
      <c r="AF95" s="2212"/>
      <c r="AG95" s="2212"/>
      <c r="AH95" s="2212"/>
      <c r="AI95" s="2212"/>
    </row>
    <row r="96" spans="1:35" s="1960" customFormat="1" ht="24">
      <c r="A96" s="2156" t="s">
        <v>738</v>
      </c>
      <c r="B96" s="2123" t="s">
        <v>764</v>
      </c>
      <c r="C96" s="2157">
        <f ca="1">IF(C95&lt;=0,0,C95/C86)</f>
        <v>141</v>
      </c>
      <c r="D96" s="437" t="s">
        <v>121</v>
      </c>
      <c r="E96" s="1684" t="str">
        <f ca="1">IF(C96&gt;=200%,"增值额超过扣除项目金额200%",IF(C96&gt;=100%,"增值额超过扣除项目金额100%，未超过200%",IF(C96&gt;=50%,"增值额超过扣除项目金额50%，未超过100%",IF(C96&lt;50%,"增值额未超过扣除项目金额50%"))))</f>
        <v>增值额超过扣除项目金额200%</v>
      </c>
      <c r="F96" s="1604"/>
      <c r="G96" s="1604"/>
      <c r="H96" s="2167"/>
      <c r="I96" s="545"/>
      <c r="J96" s="363"/>
      <c r="K96" s="363"/>
      <c r="L96" s="363"/>
      <c r="M96" s="363"/>
      <c r="N96" s="363"/>
      <c r="O96" s="363"/>
      <c r="P96" s="363"/>
      <c r="Q96" s="363"/>
      <c r="R96" s="363"/>
      <c r="S96" s="363"/>
      <c r="T96" s="363"/>
      <c r="U96" s="363"/>
      <c r="V96" s="363"/>
      <c r="W96" s="363"/>
      <c r="X96" s="363"/>
      <c r="Y96" s="363"/>
      <c r="Z96" s="363"/>
      <c r="AA96" s="2212"/>
      <c r="AB96" s="2212"/>
      <c r="AC96" s="2212"/>
      <c r="AD96" s="2212"/>
      <c r="AE96" s="2212"/>
      <c r="AF96" s="2212"/>
      <c r="AG96" s="2212"/>
      <c r="AH96" s="2212"/>
      <c r="AI96" s="2212"/>
    </row>
    <row r="97" spans="1:35" s="1960" customFormat="1" ht="24">
      <c r="A97" s="2158" t="s">
        <v>765</v>
      </c>
      <c r="B97" s="2128" t="s">
        <v>766</v>
      </c>
      <c r="C97" s="2159">
        <f ca="1">ROUND(IF(C95&lt;=0,0,IF(C96&gt;=200%,C95*60%-C86*35%,IF(C96&gt;=100%,C95*50%-C86*15%,IF(C96&gt;=50%,C95*40%-C86*5%,IF(C96&lt;50%,C95*30%,0))))),0)</f>
        <v>253</v>
      </c>
      <c r="D97" s="458" t="s">
        <v>121</v>
      </c>
      <c r="E97" s="216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61"/>
      <c r="G97" s="2161"/>
      <c r="H97" s="2174"/>
      <c r="I97" s="545"/>
      <c r="J97" s="363"/>
      <c r="K97" s="363"/>
      <c r="L97" s="363"/>
      <c r="M97" s="363"/>
      <c r="N97" s="363"/>
      <c r="O97" s="363"/>
      <c r="P97" s="363"/>
      <c r="Q97" s="363"/>
      <c r="R97" s="363"/>
      <c r="S97" s="363"/>
      <c r="T97" s="363"/>
      <c r="U97" s="363"/>
      <c r="V97" s="363"/>
      <c r="W97" s="363"/>
      <c r="X97" s="363"/>
      <c r="Y97" s="363"/>
      <c r="Z97" s="363"/>
      <c r="AA97" s="2212"/>
      <c r="AB97" s="2212"/>
      <c r="AC97" s="2212"/>
      <c r="AD97" s="2212"/>
      <c r="AE97" s="2212"/>
      <c r="AF97" s="2212"/>
      <c r="AG97" s="2212"/>
      <c r="AH97" s="2212"/>
      <c r="AI97" s="2212"/>
    </row>
    <row r="98" spans="1:35" ht="21.75" customHeight="1">
      <c r="A98" s="2041" t="s">
        <v>785</v>
      </c>
      <c r="B98" s="1964"/>
      <c r="C98" s="1964"/>
      <c r="D98" s="1964"/>
      <c r="E98" s="2074"/>
      <c r="F98" s="2074"/>
      <c r="G98" s="2074"/>
      <c r="H98" s="2039"/>
      <c r="I98" s="1964"/>
    </row>
    <row r="99" spans="1:35" ht="15.75">
      <c r="A99" s="2882" t="s">
        <v>786</v>
      </c>
      <c r="B99" s="2883"/>
      <c r="C99" s="2883"/>
      <c r="D99" s="2884"/>
      <c r="E99" s="1964"/>
      <c r="F99" s="2885" t="s">
        <v>787</v>
      </c>
      <c r="G99" s="2886"/>
      <c r="H99" s="2886"/>
      <c r="I99" s="2887"/>
    </row>
    <row r="100" spans="1:35" ht="15.75">
      <c r="A100" s="2888" t="s">
        <v>788</v>
      </c>
      <c r="B100" s="2889"/>
      <c r="C100" s="2175" t="str">
        <f>C4</f>
        <v>比较法-办公</v>
      </c>
      <c r="D100" s="2176" t="str">
        <f>D4</f>
        <v>收益法</v>
      </c>
      <c r="E100" s="1964"/>
      <c r="F100" s="2890" t="s">
        <v>789</v>
      </c>
      <c r="G100" s="2891"/>
      <c r="H100" s="2890" t="s">
        <v>790</v>
      </c>
      <c r="I100" s="2892"/>
    </row>
    <row r="101" spans="1:35" ht="15.75">
      <c r="A101" s="2930" t="s">
        <v>791</v>
      </c>
      <c r="B101" s="2177" t="str">
        <f>IF(H19="元","总价（元）","总价（万元）")</f>
        <v>总价（万元）</v>
      </c>
      <c r="C101" s="2175">
        <f ca="1">C19</f>
        <v>451</v>
      </c>
      <c r="D101" s="2176">
        <f ca="1">D19</f>
        <v>443</v>
      </c>
      <c r="E101" s="1964"/>
      <c r="F101" s="2890" t="str">
        <f>项目基本情况!I1</f>
        <v>北京市房地产</v>
      </c>
      <c r="G101" s="2891"/>
      <c r="H101" s="2893">
        <f>项目基本情况!C12</f>
        <v>1024.48</v>
      </c>
      <c r="I101" s="2892"/>
    </row>
    <row r="102" spans="1:35" ht="15.75">
      <c r="A102" s="2930"/>
      <c r="B102" s="2177" t="s">
        <v>792</v>
      </c>
      <c r="C102" s="2178">
        <f ca="1">C20</f>
        <v>42092</v>
      </c>
      <c r="D102" s="2179">
        <f ca="1">D20</f>
        <v>41355</v>
      </c>
      <c r="E102" s="1964"/>
      <c r="F102" s="2944" t="s">
        <v>793</v>
      </c>
      <c r="G102" s="2945"/>
      <c r="H102" s="2180" t="str">
        <f>C106</f>
        <v>总价（万元）</v>
      </c>
      <c r="I102" s="2207">
        <f ca="1">H121</f>
        <v>447</v>
      </c>
    </row>
    <row r="103" spans="1:35" ht="15">
      <c r="A103" s="2930" t="s">
        <v>794</v>
      </c>
      <c r="B103" s="2181" t="str">
        <f>B101</f>
        <v>总价（万元）</v>
      </c>
      <c r="C103" s="2187">
        <f ca="1">H121</f>
        <v>447</v>
      </c>
      <c r="D103" s="2183"/>
      <c r="E103" s="1964"/>
      <c r="F103" s="2944"/>
      <c r="G103" s="2945"/>
      <c r="H103" s="2180" t="s">
        <v>792</v>
      </c>
      <c r="I103" s="2208">
        <f ca="1">I121</f>
        <v>4363</v>
      </c>
    </row>
    <row r="104" spans="1:35" ht="15.75">
      <c r="A104" s="2931"/>
      <c r="B104" s="2190" t="s">
        <v>792</v>
      </c>
      <c r="C104" s="2191">
        <f ca="1">I121</f>
        <v>4363</v>
      </c>
      <c r="D104" s="2192"/>
      <c r="E104" s="1964"/>
      <c r="F104" s="2894"/>
      <c r="G104" s="2895"/>
      <c r="H104" s="2896"/>
      <c r="I104" s="2897"/>
    </row>
    <row r="105" spans="1:35" ht="15.75">
      <c r="A105" s="2882" t="s">
        <v>795</v>
      </c>
      <c r="B105" s="2883"/>
      <c r="C105" s="2883"/>
      <c r="D105" s="2884"/>
      <c r="E105" s="1964"/>
      <c r="F105" s="2898" t="s">
        <v>796</v>
      </c>
      <c r="G105" s="2899"/>
      <c r="H105" s="2189" t="str">
        <f>C108</f>
        <v>总额（万元）</v>
      </c>
      <c r="I105" s="2207">
        <f>SUMIF(I106:I108,"&lt;9E307")</f>
        <v>0</v>
      </c>
    </row>
    <row r="106" spans="1:35" ht="15">
      <c r="A106" s="2940" t="s">
        <v>797</v>
      </c>
      <c r="B106" s="2941"/>
      <c r="C106" s="2180" t="str">
        <f>B101</f>
        <v>总价（万元）</v>
      </c>
      <c r="D106" s="2193">
        <f ca="1">H121</f>
        <v>447</v>
      </c>
      <c r="E106" s="1964"/>
      <c r="F106" s="2908" t="s">
        <v>798</v>
      </c>
      <c r="G106" s="2909"/>
      <c r="H106" s="2189" t="str">
        <f>C109</f>
        <v>总额（万元）</v>
      </c>
      <c r="I106" s="2208">
        <f>IF(D36="同一抵押权人同一抵押物续贷",C36&amp;"（未扣减，详见特别提示）",C36)</f>
        <v>0</v>
      </c>
      <c r="K106" s="1973" t="str">
        <f>IF(D123=0,"本次评估不存在"&amp;A123&amp;"。","本次评估"&amp;A123&amp;"为"&amp;D123&amp;"元人民币。")</f>
        <v>本次评估不存在估价师所知悉的法定优先受偿款。</v>
      </c>
    </row>
    <row r="107" spans="1:35" ht="15">
      <c r="A107" s="2940"/>
      <c r="B107" s="2941"/>
      <c r="C107" s="2180" t="s">
        <v>792</v>
      </c>
      <c r="D107" s="2194">
        <f ca="1">I121</f>
        <v>4363</v>
      </c>
      <c r="E107" s="1964"/>
      <c r="F107" s="2908" t="s">
        <v>799</v>
      </c>
      <c r="G107" s="2909"/>
      <c r="H107" s="2189" t="str">
        <f>C110</f>
        <v>总额（万元）</v>
      </c>
      <c r="I107" s="2208">
        <f>C37</f>
        <v>0</v>
      </c>
      <c r="K107" s="2209"/>
    </row>
    <row r="108" spans="1:35" ht="15">
      <c r="A108" s="2910" t="s">
        <v>800</v>
      </c>
      <c r="B108" s="2911"/>
      <c r="C108" s="2189" t="str">
        <f>IF(H19="元","总额（元）","总额（万元）")</f>
        <v>总额（万元）</v>
      </c>
      <c r="D108" s="2193">
        <f>IF(D36="正常操作",I106+I107+I108,I107+I108)</f>
        <v>0</v>
      </c>
      <c r="E108" s="1964"/>
      <c r="F108" s="2908" t="s">
        <v>801</v>
      </c>
      <c r="G108" s="2909"/>
      <c r="H108" s="2189" t="str">
        <f>C111</f>
        <v>总额（万元）</v>
      </c>
      <c r="I108" s="2208">
        <f>C38</f>
        <v>0</v>
      </c>
    </row>
    <row r="109" spans="1:35" ht="15.75">
      <c r="A109" s="2908" t="s">
        <v>798</v>
      </c>
      <c r="B109" s="2909"/>
      <c r="C109" s="2189" t="str">
        <f>C108</f>
        <v>总额（万元）</v>
      </c>
      <c r="D109" s="781">
        <f>IF(D36="同一抵押权人同一抵押物续贷",C36&amp;"（未扣减，详见特别提示）",C36)</f>
        <v>0</v>
      </c>
      <c r="E109" s="1964"/>
      <c r="F109" s="2894"/>
      <c r="G109" s="2895"/>
      <c r="H109" s="2912"/>
      <c r="I109" s="2913"/>
    </row>
    <row r="110" spans="1:35" ht="28.5" customHeight="1">
      <c r="A110" s="2908" t="s">
        <v>799</v>
      </c>
      <c r="B110" s="2909"/>
      <c r="C110" s="2189" t="str">
        <f>C108</f>
        <v>总额（万元）</v>
      </c>
      <c r="D110" s="781">
        <f>C37</f>
        <v>0</v>
      </c>
      <c r="E110" s="1964"/>
      <c r="F110" s="2936" t="str">
        <f>IF(项目基本情况!F5="已注销","——","3.房地产抵押价值")</f>
        <v>3.房地产抵押价值</v>
      </c>
      <c r="G110" s="2937"/>
      <c r="H110" s="2255" t="str">
        <f>C112</f>
        <v>总价（万元）</v>
      </c>
      <c r="I110" s="2256">
        <f ca="1">IF(F110="——","——",I102-I105)</f>
        <v>447</v>
      </c>
    </row>
    <row r="111" spans="1:35" ht="15">
      <c r="A111" s="2908" t="s">
        <v>801</v>
      </c>
      <c r="B111" s="2909"/>
      <c r="C111" s="2189" t="str">
        <f>C108</f>
        <v>总额（万元）</v>
      </c>
      <c r="D111" s="781">
        <f>C38</f>
        <v>0</v>
      </c>
      <c r="E111" s="1964"/>
      <c r="F111" s="2946"/>
      <c r="G111" s="2947"/>
      <c r="H111" s="2180" t="s">
        <v>792</v>
      </c>
      <c r="I111" s="2210">
        <f ca="1">D113</f>
        <v>4363</v>
      </c>
    </row>
    <row r="112" spans="1:35" ht="26.25" customHeight="1">
      <c r="A112" s="2940" t="str">
        <f>IF(项目基本情况!F5="已注销","——","3.房地产抵押价值")</f>
        <v>3.房地产抵押价值</v>
      </c>
      <c r="B112" s="2941"/>
      <c r="C112" s="2180" t="str">
        <f>B101</f>
        <v>总价（万元）</v>
      </c>
      <c r="D112" s="2193">
        <f ca="1">IF(A112="——","——",D106-D108)</f>
        <v>447</v>
      </c>
      <c r="E112" s="1964"/>
      <c r="F112" s="2936" t="str">
        <f>IF(项目基本情况!F5="已注销及未注销","4.抵押担保权已注销时的房地产抵押价值",IF(项目基本情况!F5="已注销","3.抵押担保权已注销时的房地产抵押价值","——"))</f>
        <v>——</v>
      </c>
      <c r="G112" s="2937"/>
      <c r="H112" s="2255" t="str">
        <f>C114</f>
        <v>总价（万元）</v>
      </c>
      <c r="I112" s="2256" t="str">
        <f>IF(F112="——","——",I102-I107-I108)</f>
        <v>——</v>
      </c>
    </row>
    <row r="113" spans="1:15" ht="15">
      <c r="A113" s="2940"/>
      <c r="B113" s="2941"/>
      <c r="C113" s="2180" t="s">
        <v>792</v>
      </c>
      <c r="D113" s="2194">
        <f ca="1">ROUND(IF(D112=D106,D107,IF(H19="元",D112/项目基本情况!C12,D112*10000/项目基本情况!C12)),0)</f>
        <v>4363</v>
      </c>
      <c r="E113" s="1964"/>
      <c r="F113" s="2946"/>
      <c r="G113" s="2947"/>
      <c r="H113" s="2180" t="s">
        <v>792</v>
      </c>
      <c r="I113" s="2257" t="str">
        <f>D115</f>
        <v>——</v>
      </c>
    </row>
    <row r="114" spans="1:15" ht="15.75">
      <c r="A114" s="2940" t="str">
        <f>IF(项目基本情况!F5="已注销及未注销","4.抵押担保权已注销时的房地产抵押价值",IF(项目基本情况!F5="已注销","3.抵押担保权已注销时的房地产抵押价值","——"))</f>
        <v>——</v>
      </c>
      <c r="B114" s="2941"/>
      <c r="C114" s="2180" t="str">
        <f>B101</f>
        <v>总价（万元）</v>
      </c>
      <c r="D114" s="2193" t="str">
        <f>IF(A114="——","——",D106-D110-D111)</f>
        <v>——</v>
      </c>
      <c r="E114" s="1964"/>
      <c r="F114" s="2936" t="str">
        <f>IF(项目基本情况!G5="抵押净值",IF(OR(项目基本情况!F5="已注销",项目基本情况!F5="房地产抵押价值"),"4.抵押净值","5.抵押净值"),"——")</f>
        <v>——</v>
      </c>
      <c r="G114" s="2937"/>
      <c r="H114" s="2180" t="str">
        <f>C116</f>
        <v>总价（万元）</v>
      </c>
      <c r="I114" s="2207" t="str">
        <f>IF(F114="——","——",N59)</f>
        <v>——</v>
      </c>
    </row>
    <row r="115" spans="1:15" ht="15">
      <c r="A115" s="2940"/>
      <c r="B115" s="2941"/>
      <c r="C115" s="2180" t="s">
        <v>792</v>
      </c>
      <c r="D115" s="2194" t="str">
        <f>IF(A114="——","——",ROUND(IF(D114=D106,D107,IF(H19="元",D114/项目基本情况!C12,D114*10000/项目基本情况!C12)),0))</f>
        <v>——</v>
      </c>
      <c r="E115" s="1964"/>
      <c r="F115" s="2938"/>
      <c r="G115" s="2939"/>
      <c r="H115" s="2196" t="s">
        <v>792</v>
      </c>
      <c r="I115" s="2211" t="str">
        <f ca="1">D117</f>
        <v>——</v>
      </c>
    </row>
    <row r="116" spans="1:15" ht="15.75">
      <c r="A116" s="2940" t="str">
        <f>IF(项目基本情况!G5="抵押净值",IF(OR(项目基本情况!F5="已注销",项目基本情况!F5="房地产抵押价值"),"4.抵押净值","5.抵押净值"),"——")</f>
        <v>——</v>
      </c>
      <c r="B116" s="2941"/>
      <c r="C116" s="2180" t="str">
        <f>B101</f>
        <v>总价（万元）</v>
      </c>
      <c r="D116" s="2193" t="str">
        <f>IF(A116="——","——",N59)</f>
        <v>——</v>
      </c>
      <c r="E116" s="1964"/>
      <c r="F116" s="2959"/>
      <c r="G116" s="2959"/>
      <c r="H116" s="2960"/>
      <c r="I116" s="2960"/>
      <c r="N116" s="1351"/>
      <c r="O116" s="1351"/>
    </row>
    <row r="117" spans="1:15" ht="15">
      <c r="A117" s="2942"/>
      <c r="B117" s="2943"/>
      <c r="C117" s="2196" t="s">
        <v>792</v>
      </c>
      <c r="D117" s="2198" t="str">
        <f ca="1">IF(D116=D112,D113,IF(A116="——","——",N61))</f>
        <v>——</v>
      </c>
      <c r="E117" s="1964"/>
      <c r="F117" s="2961" t="str">
        <f>IF(B32="总价","（以上估价结果中单价为总价除以建筑面积得出）","（以上估价结果中总价为楼面单价乘以建筑面积得出）")</f>
        <v>（以上估价结果中单价为总价除以建筑面积得出）</v>
      </c>
      <c r="G117" s="2961"/>
      <c r="H117" s="2961"/>
      <c r="I117" s="2961"/>
      <c r="N117" s="1351"/>
      <c r="O117" s="1351"/>
    </row>
    <row r="118" spans="1:15" ht="15">
      <c r="A118" s="2962" t="s">
        <v>802</v>
      </c>
      <c r="B118" s="2963"/>
      <c r="C118" s="2963"/>
      <c r="D118" s="2963"/>
      <c r="E118" s="2963"/>
      <c r="F118" s="2963"/>
      <c r="G118" s="2963"/>
      <c r="H118" s="2963"/>
      <c r="I118" s="2963"/>
    </row>
    <row r="119" spans="1:15" ht="14.25">
      <c r="A119" s="2902" t="s">
        <v>803</v>
      </c>
      <c r="B119" s="2906" t="s">
        <v>804</v>
      </c>
      <c r="C119" s="2906" t="s">
        <v>805</v>
      </c>
      <c r="D119" s="2964" t="s">
        <v>806</v>
      </c>
      <c r="E119" s="2965"/>
      <c r="F119" s="2900" t="s">
        <v>650</v>
      </c>
      <c r="G119" s="2900"/>
      <c r="H119" s="2900" t="s">
        <v>807</v>
      </c>
      <c r="I119" s="2901"/>
    </row>
    <row r="120" spans="1:15" ht="14.25">
      <c r="A120" s="2902"/>
      <c r="B120" s="2907"/>
      <c r="C120" s="2907"/>
      <c r="D120" s="903" t="s">
        <v>808</v>
      </c>
      <c r="E120" s="903" t="s">
        <v>634</v>
      </c>
      <c r="F120" s="903" t="s">
        <v>808</v>
      </c>
      <c r="G120" s="903" t="s">
        <v>634</v>
      </c>
      <c r="H120" s="903" t="s">
        <v>808</v>
      </c>
      <c r="I120" s="781" t="s">
        <v>634</v>
      </c>
    </row>
    <row r="121" spans="1:15" ht="14.25">
      <c r="A121" s="2199" t="str">
        <f>项目基本情况!I1</f>
        <v>北京市房地产</v>
      </c>
      <c r="B121" s="903">
        <f>项目基本情况!C12</f>
        <v>1024.48</v>
      </c>
      <c r="C121" s="903">
        <f>项目基本情况!C13</f>
        <v>105.21</v>
      </c>
      <c r="D121" s="903">
        <f ca="1">ROUND(IF(B32="总价",C34,IF('数据-取费表'!B3="万元",E121*B121/10000,E121*B121)),0)</f>
        <v>374</v>
      </c>
      <c r="E121" s="903">
        <f ca="1">ROUND(IF(B32="楼面单价",C34,IF(H19="元",D121/B121,D121*10000/B121)),0)</f>
        <v>3651</v>
      </c>
      <c r="F121" s="903">
        <f ca="1">ROUND(IF(B32="总价",C35,IF('数据-取费表'!B3="万元",G121*B121/10000,G121*B121)),0)</f>
        <v>73</v>
      </c>
      <c r="G121" s="903">
        <f ca="1">ROUND(IF(B32="楼面单价",C35,IF(H19="元",F121/B121,F121*10000/B121)),0)</f>
        <v>713</v>
      </c>
      <c r="H121" s="903">
        <f ca="1">ROUND(IF(B32="总价",C32,IF('数据-取费表'!B3="万元",I121*B121/10000,I121*B121)),0)</f>
        <v>447</v>
      </c>
      <c r="I121" s="781">
        <f ca="1">ROUND(IF(B32="楼面单价",C32,IF(H19="元",H121/B121,H121*10000/B121)),0)</f>
        <v>4363</v>
      </c>
    </row>
    <row r="122" spans="1:15" ht="14.25">
      <c r="A122" s="2902" t="s">
        <v>809</v>
      </c>
      <c r="B122" s="2900"/>
      <c r="C122" s="2900"/>
      <c r="D122" s="2903" t="str">
        <f ca="1">IF(H19="元",NUMBERSTRING(INT(D121),2)&amp;"元整",NUMBERSTRING(INT(D121*10000),2)&amp;"元整")</f>
        <v>叁佰柒拾肆万元整</v>
      </c>
      <c r="E122" s="2904"/>
      <c r="F122" s="2903" t="str">
        <f ca="1">IF(H19="元",NUMBERSTRING(INT(F121),2)&amp;"元整",NUMBERSTRING(INT(F121*10000),2)&amp;"元整")</f>
        <v>柒拾叁万元整</v>
      </c>
      <c r="G122" s="2904"/>
      <c r="H122" s="2903" t="str">
        <f ca="1">IF(H19="元",NUMBERSTRING(INT(H121),2)&amp;"元整",NUMBERSTRING(INT(H121*10000),2)&amp;"元整")</f>
        <v>肆佰肆拾柒万元整</v>
      </c>
      <c r="I122" s="2905"/>
    </row>
    <row r="123" spans="1:15" ht="15">
      <c r="A123" s="2932" t="str">
        <f>IF(项目基本情况!D5="房地产市场价值","——",MID(A108,3,LEN(A108)-2))</f>
        <v>估价师所知悉的法定优先受偿款</v>
      </c>
      <c r="B123" s="2933"/>
      <c r="C123" s="2934"/>
      <c r="D123" s="2916">
        <f>I105</f>
        <v>0</v>
      </c>
      <c r="E123" s="2933"/>
      <c r="F123" s="2933"/>
      <c r="G123" s="2933"/>
      <c r="H123" s="2933"/>
      <c r="I123" s="2935"/>
    </row>
    <row r="124" spans="1:15" ht="14.25">
      <c r="A124" s="2950" t="s">
        <v>809</v>
      </c>
      <c r="B124" s="2951"/>
      <c r="C124" s="2952"/>
      <c r="D124" s="2953">
        <f>H109</f>
        <v>0</v>
      </c>
      <c r="E124" s="2954"/>
      <c r="F124" s="2954"/>
      <c r="G124" s="2954"/>
      <c r="H124" s="2954"/>
      <c r="I124" s="2955"/>
    </row>
    <row r="125" spans="1:15" ht="15">
      <c r="A125" s="2914" t="str">
        <f>IF(项目基本情况!D5="房地产市场价值","——",MID(A112,3,LEN(A112)-2))</f>
        <v>房地产抵押价值</v>
      </c>
      <c r="B125" s="2915"/>
      <c r="C125" s="2915"/>
      <c r="D125" s="2916">
        <f ca="1">I110</f>
        <v>447</v>
      </c>
      <c r="E125" s="2933"/>
      <c r="F125" s="2933"/>
      <c r="G125" s="2933"/>
      <c r="H125" s="2933"/>
      <c r="I125" s="2935"/>
    </row>
    <row r="126" spans="1:15" ht="14.25">
      <c r="A126" s="2902" t="s">
        <v>809</v>
      </c>
      <c r="B126" s="2900"/>
      <c r="C126" s="2900"/>
      <c r="D126" s="2953">
        <f ca="1">I111</f>
        <v>4363</v>
      </c>
      <c r="E126" s="2954"/>
      <c r="F126" s="2954"/>
      <c r="G126" s="2954"/>
      <c r="H126" s="2954"/>
      <c r="I126" s="2955"/>
    </row>
    <row r="127" spans="1:15" ht="15">
      <c r="A127" s="2914" t="str">
        <f>IF(项目基本情况!D5="房地产市场价值","——",MID(A114,3,LEN(A114)-2))</f>
        <v/>
      </c>
      <c r="B127" s="2915"/>
      <c r="C127" s="2915"/>
      <c r="D127" s="2956" t="str">
        <f>I112</f>
        <v>——</v>
      </c>
      <c r="E127" s="2957"/>
      <c r="F127" s="2957"/>
      <c r="G127" s="2957"/>
      <c r="H127" s="2957"/>
      <c r="I127" s="2958"/>
    </row>
    <row r="128" spans="1:15" ht="14.25">
      <c r="A128" s="2902" t="s">
        <v>809</v>
      </c>
      <c r="B128" s="2900"/>
      <c r="C128" s="2948"/>
      <c r="D128" s="2949" t="str">
        <f>I113</f>
        <v>——</v>
      </c>
      <c r="E128" s="2949"/>
      <c r="F128" s="2949"/>
      <c r="G128" s="2949"/>
      <c r="H128" s="2949"/>
      <c r="I128" s="2949"/>
    </row>
    <row r="129" spans="1:9" ht="15">
      <c r="A129" s="2914" t="str">
        <f>IF(项目基本情况!D5="房地产市场价值","——",MID(F114,3,LEN(F114)-2))</f>
        <v/>
      </c>
      <c r="B129" s="2915"/>
      <c r="C129" s="2916"/>
      <c r="D129" s="2917" t="str">
        <f>I114</f>
        <v>——</v>
      </c>
      <c r="E129" s="2917"/>
      <c r="F129" s="2917"/>
      <c r="G129" s="2917"/>
      <c r="H129" s="2917"/>
      <c r="I129" s="2917"/>
    </row>
    <row r="130" spans="1:9" ht="14.25">
      <c r="A130" s="2918" t="s">
        <v>809</v>
      </c>
      <c r="B130" s="2919"/>
      <c r="C130" s="2919"/>
      <c r="D130" s="2920">
        <f>H116</f>
        <v>0</v>
      </c>
      <c r="E130" s="2921"/>
      <c r="F130" s="2921"/>
      <c r="G130" s="2921"/>
      <c r="H130" s="2921"/>
      <c r="I130" s="2922"/>
    </row>
    <row r="131" spans="1:9" ht="12.75">
      <c r="A131" s="2134" t="str">
        <f>IF(H19="元","单位：平方米、元、元/平方米（币种：人民币）","单位：平方米、万元、元/平方米（币种：人民币）")</f>
        <v>单位：平方米、万元、元/平方米（币种：人民币）</v>
      </c>
      <c r="B131" s="2134"/>
      <c r="C131" s="2134"/>
      <c r="D131" s="2134"/>
      <c r="E131" s="2134"/>
      <c r="F131" s="2134"/>
      <c r="G131" s="2134"/>
      <c r="H131" s="2134"/>
      <c r="I131" s="2134"/>
    </row>
    <row r="132" spans="1:9" ht="12.75">
      <c r="A132" s="2923" t="str">
        <f>IF(B32="总价","（以上估价结果中楼面单价为总价除以建筑面积得出）","（以上估价结果中总价为楼面单价乘以建筑面积得出）")</f>
        <v>（以上估价结果中楼面单价为总价除以建筑面积得出）</v>
      </c>
      <c r="B132" s="2923"/>
      <c r="C132" s="2923"/>
      <c r="D132" s="2923"/>
      <c r="E132" s="2923"/>
      <c r="F132" s="2923"/>
      <c r="G132" s="2923"/>
      <c r="H132" s="2923"/>
      <c r="I132" s="2923"/>
    </row>
    <row r="133" spans="1:9" ht="21.75" customHeight="1">
      <c r="A133" s="2215" t="s">
        <v>810</v>
      </c>
      <c r="B133" s="2216"/>
      <c r="C133" s="2217" t="s">
        <v>811</v>
      </c>
      <c r="D133" s="2218"/>
      <c r="E133" s="2218"/>
      <c r="F133" s="2218"/>
      <c r="G133" s="2218"/>
      <c r="H133" s="2219"/>
      <c r="I133" s="2232"/>
    </row>
    <row r="134" spans="1:9" ht="21.75" customHeight="1">
      <c r="A134" s="2220">
        <v>1</v>
      </c>
      <c r="B134" s="2221"/>
      <c r="C134" s="2221"/>
      <c r="D134" s="2218"/>
      <c r="E134" s="2218"/>
      <c r="F134" s="2218"/>
      <c r="G134" s="2218"/>
      <c r="H134" s="2219"/>
      <c r="I134" s="2232"/>
    </row>
    <row r="135" spans="1:9" ht="21.75" customHeight="1">
      <c r="A135" s="2220">
        <v>2</v>
      </c>
      <c r="B135" s="2221"/>
      <c r="C135" s="2221"/>
      <c r="D135" s="2218"/>
      <c r="E135" s="2218"/>
      <c r="F135" s="2218"/>
      <c r="G135" s="2218"/>
      <c r="H135" s="2219"/>
      <c r="I135" s="2232"/>
    </row>
    <row r="136" spans="1:9" ht="21.75" customHeight="1">
      <c r="A136" s="2220">
        <v>3</v>
      </c>
      <c r="B136" s="2221"/>
      <c r="C136" s="2221"/>
      <c r="D136" s="2218"/>
      <c r="E136" s="2218"/>
      <c r="F136" s="1351"/>
      <c r="G136" s="1351"/>
      <c r="H136" s="1351"/>
      <c r="I136" s="1351"/>
    </row>
    <row r="137" spans="1:9" ht="21.75" customHeight="1">
      <c r="A137" s="2222"/>
      <c r="B137" s="2223"/>
      <c r="C137" s="2223"/>
      <c r="D137" s="2224"/>
      <c r="E137" s="2224"/>
      <c r="F137" s="2224"/>
      <c r="G137" s="2224"/>
      <c r="H137" s="2225"/>
      <c r="I137" s="2233"/>
    </row>
    <row r="138" spans="1:9" ht="21.75" customHeight="1">
      <c r="A138" s="2221"/>
      <c r="B138" s="2221"/>
      <c r="C138" s="2221"/>
      <c r="D138" s="2218"/>
      <c r="E138" s="2218"/>
      <c r="F138" s="2218"/>
      <c r="G138" s="2218"/>
      <c r="H138" s="2219"/>
      <c r="I138" s="1354"/>
    </row>
    <row r="139" spans="1:9" ht="21.75" customHeight="1">
      <c r="A139" s="1354"/>
      <c r="B139" s="1354"/>
      <c r="C139" s="1354"/>
      <c r="D139" s="1354"/>
      <c r="E139" s="1354"/>
      <c r="F139" s="2226" t="s">
        <v>812</v>
      </c>
      <c r="G139" s="2227"/>
      <c r="H139" s="2227"/>
      <c r="I139" s="2234" t="s">
        <v>813</v>
      </c>
    </row>
    <row r="140" spans="1:9" ht="21.75" customHeight="1">
      <c r="A140" s="1354"/>
      <c r="B140" s="2228" t="s">
        <v>814</v>
      </c>
      <c r="C140" s="1354"/>
      <c r="D140" s="1354"/>
      <c r="E140" s="1354"/>
      <c r="F140" s="1354"/>
      <c r="G140" s="1354"/>
      <c r="H140" s="1354"/>
      <c r="I140" s="1354"/>
    </row>
    <row r="141" spans="1:9" ht="21.75" customHeight="1">
      <c r="A141" s="1354"/>
      <c r="B141" s="1354"/>
      <c r="C141" s="1354"/>
      <c r="D141" s="1354"/>
      <c r="E141" s="1354"/>
      <c r="F141" s="1354"/>
      <c r="G141" s="1354"/>
      <c r="H141" s="1354"/>
      <c r="I141" s="1354"/>
    </row>
    <row r="142" spans="1:9" ht="21.75" customHeight="1">
      <c r="A142" s="1354"/>
      <c r="B142" s="2227"/>
      <c r="C142" s="2227"/>
      <c r="D142" s="2227"/>
      <c r="E142" s="2227"/>
      <c r="F142" s="2227"/>
      <c r="G142" s="2227"/>
      <c r="H142" s="2227"/>
      <c r="I142" s="2234" t="s">
        <v>815</v>
      </c>
    </row>
    <row r="143" spans="1:9" ht="21.75" customHeight="1">
      <c r="A143" s="1354"/>
      <c r="B143" s="2228" t="s">
        <v>816</v>
      </c>
      <c r="C143" s="1354"/>
      <c r="D143" s="1354"/>
      <c r="E143" s="1354"/>
      <c r="F143" s="1354"/>
      <c r="G143" s="1354"/>
      <c r="H143" s="1354"/>
      <c r="I143" s="1354"/>
    </row>
    <row r="144" spans="1:9" ht="21.75" customHeight="1">
      <c r="A144" s="1354"/>
      <c r="B144" s="2228"/>
      <c r="C144" s="1354"/>
      <c r="D144" s="1354"/>
      <c r="E144" s="1354"/>
      <c r="F144" s="1354"/>
      <c r="G144" s="1354"/>
      <c r="H144" s="1354"/>
      <c r="I144" s="1354"/>
    </row>
    <row r="145" spans="1:35" ht="21.75" customHeight="1">
      <c r="A145" s="1354"/>
      <c r="B145" s="2227"/>
      <c r="C145" s="2227"/>
      <c r="D145" s="2227"/>
      <c r="E145" s="2227"/>
      <c r="F145" s="2227"/>
      <c r="G145" s="2227"/>
      <c r="H145" s="2227"/>
      <c r="I145" s="2234" t="s">
        <v>815</v>
      </c>
    </row>
    <row r="146" spans="1:35" ht="21.75" customHeight="1">
      <c r="A146" s="1354"/>
      <c r="B146" s="2228"/>
      <c r="C146" s="2229"/>
      <c r="D146" s="2230"/>
      <c r="E146" s="2230"/>
      <c r="F146" s="2231"/>
      <c r="G146" s="1354"/>
      <c r="H146" s="1354"/>
      <c r="I146" s="1354"/>
    </row>
    <row r="147" spans="1:35" s="1351" customFormat="1" ht="21.75" customHeight="1">
      <c r="A147" s="1354"/>
      <c r="B147" s="2228"/>
      <c r="C147" s="2229"/>
      <c r="D147" s="2230"/>
      <c r="E147" s="2230"/>
      <c r="F147" s="1354"/>
      <c r="G147" s="1354"/>
      <c r="H147" s="1354"/>
      <c r="I147" s="1354"/>
      <c r="J147" s="1354"/>
      <c r="K147" s="1354"/>
      <c r="L147" s="1354"/>
      <c r="M147" s="1354"/>
      <c r="N147" s="1354"/>
      <c r="O147" s="1354"/>
      <c r="P147" s="1354"/>
      <c r="Q147" s="1354"/>
      <c r="R147" s="1354"/>
      <c r="S147" s="1354"/>
      <c r="T147" s="1354"/>
      <c r="U147" s="1354"/>
      <c r="V147" s="1354"/>
      <c r="W147" s="1354"/>
      <c r="X147" s="1354"/>
      <c r="Y147" s="1354"/>
      <c r="Z147" s="1354"/>
      <c r="AA147" s="1354"/>
      <c r="AB147" s="1354"/>
      <c r="AC147" s="1354"/>
      <c r="AD147" s="1354"/>
      <c r="AE147" s="1354"/>
      <c r="AF147" s="1354"/>
      <c r="AG147" s="1354"/>
      <c r="AH147" s="1354"/>
      <c r="AI147" s="1354"/>
    </row>
    <row r="148" spans="1:35" s="1351" customFormat="1" ht="21.75" customHeight="1">
      <c r="A148" s="1354"/>
      <c r="B148" s="1354"/>
      <c r="C148" s="1354"/>
      <c r="D148" s="1354"/>
      <c r="E148" s="1354"/>
      <c r="F148" s="1354"/>
      <c r="G148" s="1354"/>
      <c r="H148" s="1354"/>
      <c r="I148" s="1354"/>
      <c r="J148" s="1354"/>
      <c r="K148" s="1354"/>
      <c r="L148" s="1354"/>
      <c r="M148" s="1354"/>
      <c r="N148" s="1354"/>
      <c r="O148" s="1354"/>
      <c r="P148" s="1354"/>
      <c r="Q148" s="1354"/>
      <c r="R148" s="1354"/>
      <c r="S148" s="1354"/>
      <c r="T148" s="1354"/>
      <c r="U148" s="1354"/>
      <c r="V148" s="1354"/>
      <c r="W148" s="1354"/>
      <c r="X148" s="1354"/>
      <c r="Y148" s="1354"/>
      <c r="Z148" s="1354"/>
      <c r="AA148" s="1354"/>
      <c r="AB148" s="1354"/>
      <c r="AC148" s="1354"/>
      <c r="AD148" s="1354"/>
      <c r="AE148" s="1354"/>
      <c r="AF148" s="1354"/>
      <c r="AG148" s="1354"/>
      <c r="AH148" s="1354"/>
      <c r="AI148" s="1354"/>
    </row>
    <row r="149" spans="1:35" s="1351" customFormat="1" ht="21.75" customHeight="1">
      <c r="A149" s="1354"/>
      <c r="B149" s="1354"/>
      <c r="C149" s="1354"/>
      <c r="D149" s="1354"/>
      <c r="E149" s="1354"/>
      <c r="F149" s="1354"/>
      <c r="G149" s="1354"/>
      <c r="H149" s="1354"/>
      <c r="I149" s="1354"/>
      <c r="J149" s="1354"/>
      <c r="K149" s="1354"/>
      <c r="L149" s="1354"/>
      <c r="M149" s="1354"/>
      <c r="N149" s="1354"/>
      <c r="O149" s="1354"/>
      <c r="P149" s="1354"/>
      <c r="Q149" s="1354"/>
      <c r="R149" s="1354"/>
      <c r="S149" s="1354"/>
      <c r="T149" s="1354"/>
      <c r="U149" s="1354"/>
      <c r="V149" s="1354"/>
      <c r="W149" s="1354"/>
      <c r="X149" s="1354"/>
      <c r="Y149" s="1354"/>
      <c r="Z149" s="1354"/>
      <c r="AA149" s="1354"/>
      <c r="AB149" s="1354"/>
      <c r="AC149" s="1354"/>
      <c r="AD149" s="1354"/>
      <c r="AE149" s="1354"/>
      <c r="AF149" s="1354"/>
      <c r="AG149" s="1354"/>
      <c r="AH149" s="1354"/>
      <c r="AI149" s="1354"/>
    </row>
    <row r="150" spans="1:35" s="1354" customFormat="1" ht="21.75" customHeight="1"/>
    <row r="151" spans="1:35" s="1354" customFormat="1" ht="21.75" customHeight="1"/>
    <row r="152" spans="1:35" s="1354" customFormat="1" ht="21.75" customHeight="1"/>
    <row r="153" spans="1:35" s="1354" customFormat="1" ht="21.75" customHeight="1"/>
    <row r="154" spans="1:35" s="1354" customFormat="1" ht="21.75" customHeight="1"/>
    <row r="155" spans="1:35" s="1354" customFormat="1" ht="21.75" customHeight="1"/>
    <row r="156" spans="1:35" s="1354" customFormat="1" ht="21.75" customHeight="1"/>
    <row r="157" spans="1:35" s="1354" customFormat="1" ht="21.75" customHeight="1"/>
    <row r="158" spans="1:35" s="1354" customFormat="1" ht="21.75" customHeight="1"/>
    <row r="159" spans="1:35" s="1354" customFormat="1" ht="21.75" customHeight="1"/>
    <row r="160" spans="1:35" s="1354" customFormat="1" ht="21.75" customHeight="1"/>
    <row r="161" s="1354" customFormat="1" ht="21.75" customHeight="1"/>
    <row r="162" s="1354" customFormat="1" ht="21.75" customHeight="1"/>
    <row r="163" s="1354" customFormat="1" ht="21.75" customHeight="1"/>
    <row r="164" s="1354" customFormat="1" ht="21.75" customHeight="1"/>
    <row r="165" s="1354" customFormat="1" ht="21.75" customHeight="1"/>
    <row r="166" s="1354" customFormat="1" ht="21.75" customHeight="1"/>
    <row r="167" s="1354" customFormat="1" ht="21.75" customHeight="1"/>
    <row r="168" s="1354" customFormat="1" ht="21.75" customHeight="1"/>
    <row r="169" s="1354" customFormat="1" ht="21.75" customHeight="1"/>
    <row r="170" s="1354" customFormat="1" ht="21.75" customHeight="1"/>
    <row r="171" s="1354" customFormat="1" ht="21.75" customHeight="1"/>
    <row r="172" s="1354" customFormat="1" ht="21.75" customHeight="1"/>
    <row r="173" s="1354" customFormat="1" ht="21.75" customHeight="1"/>
    <row r="174" s="1354" customFormat="1" ht="21.75" customHeight="1"/>
    <row r="175" s="1354" customFormat="1" ht="21.75" customHeight="1"/>
    <row r="176" s="1354" customFormat="1" ht="21.75" customHeight="1"/>
    <row r="177" s="1354" customFormat="1" ht="21.75" customHeight="1"/>
    <row r="178" s="1354" customFormat="1" ht="21.75" customHeight="1"/>
    <row r="179" s="1354" customFormat="1" ht="21.75" customHeight="1"/>
    <row r="180" s="1354" customFormat="1" ht="21.75" customHeight="1"/>
    <row r="181" s="1354" customFormat="1" ht="21.75" customHeight="1"/>
    <row r="182" s="1354" customFormat="1" ht="21.75" customHeight="1"/>
    <row r="183" s="1354" customFormat="1" ht="21.75" customHeight="1"/>
    <row r="184" s="1354" customFormat="1" ht="21.75" customHeight="1"/>
    <row r="185" s="1354" customFormat="1" ht="21.75" customHeight="1"/>
    <row r="186" s="1354" customFormat="1" ht="21.75" customHeight="1"/>
    <row r="187" s="1354" customFormat="1" ht="21.75" customHeight="1"/>
    <row r="188" s="1354" customFormat="1" ht="21.75" customHeight="1"/>
    <row r="189" s="1354" customFormat="1" ht="21.75" customHeight="1"/>
    <row r="190" s="1354" customFormat="1" ht="21.75" customHeight="1"/>
    <row r="191" s="1354" customFormat="1" ht="21.75" customHeight="1"/>
    <row r="192" s="1354" customFormat="1" ht="21.75" customHeight="1"/>
    <row r="193" s="1354" customFormat="1" ht="21.75" customHeight="1"/>
    <row r="194" s="1354" customFormat="1" ht="21.75" customHeight="1"/>
    <row r="195" s="1354" customFormat="1" ht="21.75" customHeight="1"/>
    <row r="196" s="1354" customFormat="1" ht="21.75" customHeight="1"/>
    <row r="197" s="1354" customFormat="1" ht="21.75" customHeight="1"/>
    <row r="198" s="1354" customFormat="1" ht="21.75" customHeight="1"/>
    <row r="199" s="1354" customFormat="1" ht="21.75" customHeight="1"/>
    <row r="200" s="1354" customFormat="1" ht="21.75" customHeight="1"/>
    <row r="201" s="1354" customFormat="1" ht="21.75" customHeight="1"/>
    <row r="202" s="1354" customFormat="1" ht="21.75" customHeight="1"/>
    <row r="203" s="1354" customFormat="1" ht="21.75" customHeight="1"/>
    <row r="204" s="1354" customFormat="1" ht="21.75" customHeight="1"/>
    <row r="205" s="1354" customFormat="1" ht="21.75" customHeight="1"/>
    <row r="206" s="1354" customFormat="1" ht="21.75" customHeight="1"/>
    <row r="207" s="1354" customFormat="1" ht="21.75" customHeight="1"/>
    <row r="208" s="1354" customFormat="1" ht="21.75" customHeight="1"/>
    <row r="209" s="1354" customFormat="1" ht="21.75" customHeight="1"/>
    <row r="210" s="1354" customFormat="1" ht="21.75" customHeight="1"/>
    <row r="211" s="1354" customFormat="1" ht="21.75" customHeight="1"/>
    <row r="212" s="1354" customFormat="1" ht="21.75" customHeight="1"/>
    <row r="213" s="1354" customFormat="1" ht="21.75" customHeight="1"/>
    <row r="214" s="1354" customFormat="1" ht="21.75" customHeight="1"/>
    <row r="215" s="1354" customFormat="1" ht="21.75" customHeight="1"/>
    <row r="216" s="1354" customFormat="1" ht="21.75" customHeight="1"/>
    <row r="217" s="1354" customFormat="1" ht="21.75" customHeight="1"/>
    <row r="218" s="1354" customFormat="1" ht="21.75" customHeight="1"/>
    <row r="219" s="1354" customFormat="1" ht="21.75" customHeight="1"/>
    <row r="220" s="1354" customFormat="1" ht="21.75" customHeight="1"/>
    <row r="221" s="1354" customFormat="1" ht="21.75" customHeight="1"/>
    <row r="222" s="1354" customFormat="1" ht="21.75" customHeight="1"/>
    <row r="223" s="1354" customFormat="1" ht="21.75" customHeight="1"/>
    <row r="224" s="1354" customFormat="1" ht="21.75" customHeight="1"/>
    <row r="225" s="1354" customFormat="1" ht="21.75" customHeight="1"/>
    <row r="226" s="1354" customFormat="1" ht="21.75" customHeight="1"/>
    <row r="227" s="1354" customFormat="1" ht="21.75" customHeight="1"/>
    <row r="228" s="1354" customFormat="1" ht="21.75" customHeight="1"/>
    <row r="229" s="1354" customFormat="1" ht="21.75" customHeight="1"/>
    <row r="230" s="1354" customFormat="1" ht="21.75" customHeight="1"/>
    <row r="231" s="1354" customFormat="1" ht="21.75" customHeight="1"/>
    <row r="232" s="1354" customFormat="1" ht="21.75" customHeight="1"/>
    <row r="233" s="1354" customFormat="1" ht="21.75" customHeight="1"/>
    <row r="234" s="1354" customFormat="1" ht="21.75" customHeight="1"/>
    <row r="235" s="1354" customFormat="1" ht="21.75" customHeight="1"/>
    <row r="236" s="1354" customFormat="1" ht="21.75" customHeight="1"/>
    <row r="237" s="1354" customFormat="1" ht="21.75" customHeight="1"/>
    <row r="238" s="1354" customFormat="1" ht="21.75" customHeight="1"/>
    <row r="239" s="1354" customFormat="1" ht="21.75" customHeight="1"/>
    <row r="240" s="1354" customFormat="1" ht="21.75" customHeight="1"/>
    <row r="241" s="1354" customFormat="1" ht="21.75" customHeight="1"/>
    <row r="242" s="1354" customFormat="1" ht="21.75" customHeight="1"/>
    <row r="243" s="1354" customFormat="1" ht="21.75" customHeight="1"/>
    <row r="244" s="1354" customFormat="1" ht="21.75" customHeight="1"/>
    <row r="245" s="1354" customFormat="1" ht="21.75" customHeight="1"/>
    <row r="246" s="1354" customFormat="1" ht="21.75" customHeight="1"/>
    <row r="247" s="1354" customFormat="1" ht="21.75" customHeight="1"/>
    <row r="248" s="1354" customFormat="1" ht="21.75" customHeight="1"/>
    <row r="249" s="1354" customFormat="1" ht="21.75" customHeight="1"/>
    <row r="250" s="1354" customFormat="1" ht="21.75" customHeight="1"/>
    <row r="251" s="1354" customFormat="1" ht="21.75" customHeight="1"/>
    <row r="252" s="1354" customFormat="1" ht="21.75" customHeight="1"/>
    <row r="253" s="1354" customFormat="1" ht="21.75" customHeight="1"/>
    <row r="254" s="1354" customFormat="1" ht="21.75" customHeight="1"/>
    <row r="255" s="1354" customFormat="1" ht="21.75" customHeight="1"/>
    <row r="256" s="1354" customFormat="1" ht="21.75" customHeight="1"/>
    <row r="257" s="1354" customFormat="1" ht="21.75" customHeight="1"/>
    <row r="258" s="1354" customFormat="1" ht="21.75" customHeight="1"/>
    <row r="259" s="1354" customFormat="1" ht="21.75" customHeight="1"/>
    <row r="260" s="1354" customFormat="1" ht="21.75" customHeight="1"/>
    <row r="261" s="1354" customFormat="1" ht="21.75" customHeight="1"/>
    <row r="262" s="1354" customFormat="1" ht="21.75" customHeight="1"/>
    <row r="263" s="1354" customFormat="1" ht="21.75" customHeight="1"/>
    <row r="264" s="1354" customFormat="1" ht="21.75" customHeight="1"/>
    <row r="265" s="1354" customFormat="1" ht="21.75" customHeight="1"/>
    <row r="266" s="1354" customFormat="1" ht="21.75" customHeight="1"/>
    <row r="267" s="1354" customFormat="1" ht="21.75" customHeight="1"/>
    <row r="268" s="1354" customFormat="1" ht="21.75" customHeight="1"/>
    <row r="269" s="1354" customFormat="1" ht="21.75" customHeight="1"/>
    <row r="270" s="1354" customFormat="1" ht="21.75" customHeight="1"/>
    <row r="271" s="1354" customFormat="1" ht="21.75" customHeight="1"/>
    <row r="272" s="1354" customFormat="1" ht="21.75" customHeight="1"/>
    <row r="273" s="1354" customFormat="1" ht="21.75" customHeight="1"/>
    <row r="274" s="1354" customFormat="1" ht="21.75" customHeight="1"/>
    <row r="275" s="1354" customFormat="1" ht="21.75" customHeight="1"/>
    <row r="276" s="1354" customFormat="1" ht="21.75" customHeight="1"/>
    <row r="277" s="1354" customFormat="1" ht="21.75" customHeight="1"/>
    <row r="278" s="1354" customFormat="1" ht="21.75" customHeight="1"/>
    <row r="279" s="1354" customFormat="1" ht="21.75" customHeight="1"/>
    <row r="280" s="1354" customFormat="1" ht="21.75" customHeight="1"/>
    <row r="281" s="1354" customFormat="1" ht="21.75" customHeight="1"/>
    <row r="282" s="1354" customFormat="1" ht="21.75" customHeight="1"/>
    <row r="283" s="1354" customFormat="1" ht="21.75" customHeight="1"/>
    <row r="284" s="1354" customFormat="1" ht="21.75" customHeight="1"/>
    <row r="285" s="1354" customFormat="1" ht="21.75" customHeight="1"/>
    <row r="286" s="1354" customFormat="1" ht="21.75" customHeight="1"/>
    <row r="287" s="1354" customFormat="1" ht="21.75" customHeight="1"/>
    <row r="288" s="1354" customFormat="1" ht="21.75" customHeight="1"/>
    <row r="289" s="1354" customFormat="1" ht="21.75" customHeight="1"/>
    <row r="290" s="1354" customFormat="1" ht="21.75" customHeight="1"/>
    <row r="291" s="1354" customFormat="1" ht="21.75" customHeight="1"/>
    <row r="292" s="1354" customFormat="1" ht="21.75" customHeight="1"/>
    <row r="293" s="1354" customFormat="1" ht="21.75" customHeight="1"/>
    <row r="294" s="1354" customFormat="1" ht="21.75" customHeight="1"/>
    <row r="295" s="1354" customFormat="1" ht="21.75" customHeight="1"/>
    <row r="296" s="1354" customFormat="1" ht="21.75" customHeight="1"/>
    <row r="297" s="1354" customFormat="1" ht="21.75" customHeight="1"/>
    <row r="298" s="1354" customFormat="1" ht="21.75" customHeight="1"/>
    <row r="299" s="1354" customFormat="1" ht="21.75" customHeight="1"/>
    <row r="300" s="1354" customFormat="1" ht="21.75" customHeight="1"/>
    <row r="301" s="1354" customFormat="1" ht="21.75" customHeight="1"/>
    <row r="302" s="1354" customFormat="1" ht="21.75" customHeight="1"/>
    <row r="303" s="1354" customFormat="1" ht="21.75" customHeight="1"/>
    <row r="304" s="1354" customFormat="1" ht="21.75" customHeight="1"/>
    <row r="305" s="1354" customFormat="1" ht="21.75" customHeight="1"/>
    <row r="306" s="1354" customFormat="1" ht="21.75" customHeight="1"/>
    <row r="307" s="1354" customFormat="1" ht="21.75" customHeight="1"/>
    <row r="308" s="1354" customFormat="1" ht="21.75" customHeight="1"/>
    <row r="309" s="1354" customFormat="1" ht="21.75" customHeight="1"/>
    <row r="310" s="1354" customFormat="1" ht="21.75" customHeight="1"/>
    <row r="311" s="1354" customFormat="1" ht="21.75" customHeight="1"/>
    <row r="312" s="1354" customFormat="1" ht="21.75" customHeight="1"/>
    <row r="313" s="1354" customFormat="1" ht="21.75" customHeight="1"/>
    <row r="314" s="1354" customFormat="1" ht="21.75" customHeight="1"/>
    <row r="315" s="1354" customFormat="1" ht="21.75" customHeight="1"/>
    <row r="316" s="1354" customFormat="1" ht="21.75" customHeight="1"/>
    <row r="317" s="1354" customFormat="1" ht="21.75" customHeight="1"/>
    <row r="318" s="1354" customFormat="1" ht="21.75" customHeight="1"/>
    <row r="319" s="1354" customFormat="1" ht="21.75" customHeight="1"/>
    <row r="320" s="1354" customFormat="1" ht="21.75" customHeight="1"/>
    <row r="321" s="1354" customFormat="1" ht="21.75" customHeight="1"/>
    <row r="322" s="1354" customFormat="1" ht="21.75" customHeight="1"/>
    <row r="323" s="1354" customFormat="1" ht="21.75" customHeight="1"/>
    <row r="324" s="1354" customFormat="1" ht="21.75" customHeight="1"/>
    <row r="325" s="1354" customFormat="1" ht="21.75" customHeight="1"/>
    <row r="326" s="1354" customFormat="1" ht="21.75" customHeight="1"/>
    <row r="327" s="1354" customFormat="1" ht="21.75" customHeight="1"/>
    <row r="328" s="1354" customFormat="1" ht="21.75" customHeight="1"/>
    <row r="329" s="1354" customFormat="1" ht="21.75" customHeight="1"/>
    <row r="330" s="1354" customFormat="1" ht="21.75" customHeight="1"/>
    <row r="331" s="1354" customFormat="1" ht="21.75" customHeight="1"/>
    <row r="332" s="1354" customFormat="1" ht="21.75" customHeight="1"/>
    <row r="333" s="1354" customFormat="1" ht="21.75" customHeight="1"/>
    <row r="334" s="1354" customFormat="1" ht="21.75" customHeight="1"/>
    <row r="335" s="1354" customFormat="1" ht="21.75" customHeight="1"/>
    <row r="336" s="1354" customFormat="1" ht="21.75" customHeight="1"/>
    <row r="337" s="1354" customFormat="1" ht="21.75" customHeight="1"/>
    <row r="338" s="1354" customFormat="1" ht="21.75" customHeight="1"/>
    <row r="339" s="1354" customFormat="1" ht="21.75" customHeight="1"/>
    <row r="340" s="1354" customFormat="1" ht="21.75" customHeight="1"/>
    <row r="341" s="1354" customFormat="1" ht="21.75" customHeight="1"/>
    <row r="342" s="1354" customFormat="1" ht="21.75" customHeight="1"/>
    <row r="343" s="1354" customFormat="1" ht="21.75" customHeight="1"/>
    <row r="344" s="1354" customFormat="1" ht="21.75" customHeight="1"/>
    <row r="345" s="1354" customFormat="1" ht="21.75" customHeight="1"/>
    <row r="346" s="1354" customFormat="1" ht="21.75" customHeight="1"/>
    <row r="347" s="1354" customFormat="1" ht="21.75" customHeight="1"/>
    <row r="348" s="1354" customFormat="1" ht="21.75" customHeight="1"/>
    <row r="349" s="1354" customFormat="1" ht="21.75" customHeight="1"/>
    <row r="350" s="1354" customFormat="1" ht="21.75" customHeight="1"/>
    <row r="351" s="1354" customFormat="1" ht="21.75" customHeight="1"/>
    <row r="352" s="1354" customFormat="1" ht="21.75" customHeight="1"/>
    <row r="353" s="1354" customFormat="1" ht="21.75" customHeight="1"/>
    <row r="354" s="1354" customFormat="1" ht="21.75" customHeight="1"/>
    <row r="355" s="1354" customFormat="1" ht="21.75" customHeight="1"/>
    <row r="356" s="1354" customFormat="1" ht="21.75" customHeight="1"/>
    <row r="357" s="1354" customFormat="1" ht="21.75" customHeight="1"/>
    <row r="358" s="1354" customFormat="1" ht="21.75" customHeight="1"/>
    <row r="359" s="1354" customFormat="1" ht="21.75" customHeight="1"/>
    <row r="360" s="1354" customFormat="1" ht="21.75" customHeight="1"/>
    <row r="361" s="1354" customFormat="1" ht="21.75" customHeight="1"/>
    <row r="362" s="1354" customFormat="1" ht="21.75" customHeight="1"/>
    <row r="363" s="1354" customFormat="1" ht="21.75" customHeight="1"/>
    <row r="364" s="1354" customFormat="1" ht="21.75" customHeight="1"/>
    <row r="365" s="1354" customFormat="1" ht="21.75" customHeight="1"/>
    <row r="366" s="1354" customFormat="1" ht="21.75" customHeight="1"/>
    <row r="367" s="1354" customFormat="1" ht="21.75" customHeight="1"/>
    <row r="368" s="1354" customFormat="1" ht="21.75" customHeight="1"/>
    <row r="369" s="1354" customFormat="1" ht="21.75" customHeight="1"/>
    <row r="370" s="1354" customFormat="1" ht="21.75" customHeight="1"/>
    <row r="371" s="1354" customFormat="1" ht="21.75" customHeight="1"/>
    <row r="372" s="1354" customFormat="1" ht="21.75" customHeight="1"/>
    <row r="373" s="1354" customFormat="1" ht="21.75" customHeight="1"/>
    <row r="374" s="1354" customFormat="1" ht="21.75" customHeight="1"/>
    <row r="375" s="1354" customFormat="1" ht="21.75" customHeight="1"/>
    <row r="376" s="1354" customFormat="1" ht="21.75" customHeight="1"/>
    <row r="377" s="1354" customFormat="1" ht="21.75" customHeight="1"/>
    <row r="378" s="1354" customFormat="1" ht="21.75" customHeight="1"/>
    <row r="379" s="1354" customFormat="1" ht="21.75" customHeight="1"/>
    <row r="380" s="1354" customFormat="1" ht="21.75" customHeight="1"/>
    <row r="381" s="1354" customFormat="1" ht="21.75" customHeight="1"/>
    <row r="382" s="1354" customFormat="1" ht="21.75" customHeight="1"/>
    <row r="383" s="1354" customFormat="1" ht="21.75" customHeight="1"/>
    <row r="384" s="1354" customFormat="1" ht="21.75" customHeight="1"/>
    <row r="385" s="1354" customFormat="1" ht="21.75" customHeight="1"/>
    <row r="386" s="1354" customFormat="1" ht="21.75" customHeight="1"/>
    <row r="387" s="1354" customFormat="1" ht="21.75" customHeight="1"/>
    <row r="388" s="1354" customFormat="1" ht="21.75" customHeight="1"/>
    <row r="389" s="1354" customFormat="1" ht="21.75" customHeight="1"/>
    <row r="390" s="1354" customFormat="1" ht="21.75" customHeight="1"/>
    <row r="391" s="1354" customFormat="1" ht="21.75" customHeight="1"/>
    <row r="392" s="1354" customFormat="1" ht="21.75" customHeight="1"/>
    <row r="393" s="1354" customFormat="1" ht="21.75" customHeight="1"/>
    <row r="394" s="1354" customFormat="1" ht="21.75" customHeight="1"/>
    <row r="395" s="1354" customFormat="1" ht="21.75" customHeight="1"/>
    <row r="396" s="1354" customFormat="1" ht="21.75" customHeight="1"/>
    <row r="397" s="1354" customFormat="1" ht="21.75" customHeight="1"/>
    <row r="398" s="1354" customFormat="1" ht="21.75" customHeight="1"/>
    <row r="399" s="1354" customFormat="1" ht="21.75" customHeight="1"/>
    <row r="400" s="1354" customFormat="1" ht="21.75" customHeight="1"/>
    <row r="401" spans="10:26" s="1354" customFormat="1" ht="21.75" customHeight="1"/>
    <row r="402" spans="10:26" s="1354" customFormat="1" ht="21.75" customHeight="1"/>
    <row r="403" spans="10:26" s="1961" customFormat="1" ht="21.75" customHeight="1">
      <c r="J403" s="1354"/>
      <c r="K403" s="1354"/>
      <c r="L403" s="1354"/>
      <c r="M403" s="1354"/>
      <c r="N403" s="1354"/>
      <c r="O403" s="1354"/>
      <c r="P403" s="1354"/>
      <c r="Q403" s="1354"/>
      <c r="R403" s="1354"/>
      <c r="S403" s="1354"/>
      <c r="T403" s="1354"/>
      <c r="U403" s="1354"/>
      <c r="V403" s="1354"/>
      <c r="W403" s="1354"/>
      <c r="X403" s="1354"/>
      <c r="Y403" s="1354"/>
      <c r="Z403" s="1354"/>
    </row>
    <row r="404" spans="10:26" s="1961" customFormat="1" ht="21.75" customHeight="1">
      <c r="J404" s="1354"/>
      <c r="K404" s="1354"/>
      <c r="L404" s="1354"/>
      <c r="M404" s="1354"/>
      <c r="N404" s="1354"/>
      <c r="O404" s="1354"/>
      <c r="P404" s="1354"/>
      <c r="Q404" s="1354"/>
      <c r="R404" s="1354"/>
      <c r="S404" s="1354"/>
      <c r="T404" s="1354"/>
      <c r="U404" s="1354"/>
      <c r="V404" s="1354"/>
      <c r="W404" s="1354"/>
      <c r="X404" s="1354"/>
      <c r="Y404" s="1354"/>
      <c r="Z404" s="1354"/>
    </row>
    <row r="405" spans="10:26" s="1961" customFormat="1" ht="21.75" customHeight="1">
      <c r="J405" s="1354"/>
      <c r="K405" s="1354"/>
      <c r="L405" s="1354"/>
      <c r="M405" s="1354"/>
      <c r="N405" s="1354"/>
      <c r="O405" s="1354"/>
      <c r="P405" s="1354"/>
      <c r="Q405" s="1354"/>
      <c r="R405" s="1354"/>
      <c r="S405" s="1354"/>
      <c r="T405" s="1354"/>
      <c r="U405" s="1354"/>
      <c r="V405" s="1354"/>
      <c r="W405" s="1354"/>
      <c r="X405" s="1354"/>
      <c r="Y405" s="1354"/>
      <c r="Z405" s="1354"/>
    </row>
    <row r="406" spans="10:26" s="1961" customFormat="1" ht="21.75" customHeight="1">
      <c r="J406" s="1354"/>
      <c r="K406" s="1354"/>
      <c r="L406" s="1354"/>
      <c r="M406" s="1354"/>
      <c r="N406" s="1354"/>
      <c r="O406" s="1354"/>
      <c r="P406" s="1354"/>
      <c r="Q406" s="1354"/>
      <c r="R406" s="1354"/>
      <c r="S406" s="1354"/>
      <c r="T406" s="1354"/>
      <c r="U406" s="1354"/>
      <c r="V406" s="1354"/>
      <c r="W406" s="1354"/>
      <c r="X406" s="1354"/>
      <c r="Y406" s="1354"/>
      <c r="Z406" s="1354"/>
    </row>
    <row r="407" spans="10:26" s="1961" customFormat="1" ht="21.75" customHeight="1">
      <c r="J407" s="1354"/>
      <c r="K407" s="1354"/>
      <c r="L407" s="1354"/>
      <c r="M407" s="1354"/>
      <c r="N407" s="1354"/>
      <c r="O407" s="1354"/>
      <c r="P407" s="1354"/>
      <c r="Q407" s="1354"/>
      <c r="R407" s="1354"/>
      <c r="S407" s="1354"/>
      <c r="T407" s="1354"/>
      <c r="U407" s="1354"/>
      <c r="V407" s="1354"/>
      <c r="W407" s="1354"/>
      <c r="X407" s="1354"/>
      <c r="Y407" s="1354"/>
      <c r="Z407" s="1354"/>
    </row>
    <row r="408" spans="10:26" s="1961" customFormat="1" ht="21.75" customHeight="1">
      <c r="J408" s="1354"/>
      <c r="K408" s="1354"/>
      <c r="L408" s="1354"/>
      <c r="M408" s="1354"/>
      <c r="N408" s="1354"/>
      <c r="O408" s="1354"/>
      <c r="P408" s="1354"/>
      <c r="Q408" s="1354"/>
      <c r="R408" s="1354"/>
      <c r="S408" s="1354"/>
      <c r="T408" s="1354"/>
      <c r="U408" s="1354"/>
      <c r="V408" s="1354"/>
      <c r="W408" s="1354"/>
      <c r="X408" s="1354"/>
      <c r="Y408" s="1354"/>
      <c r="Z408" s="1354"/>
    </row>
    <row r="409" spans="10:26" s="1961" customFormat="1" ht="21.75" customHeight="1">
      <c r="J409" s="1354"/>
      <c r="K409" s="1354"/>
      <c r="L409" s="1354"/>
      <c r="M409" s="1354"/>
      <c r="N409" s="1354"/>
      <c r="O409" s="1354"/>
      <c r="P409" s="1354"/>
      <c r="Q409" s="1354"/>
      <c r="R409" s="1354"/>
      <c r="S409" s="1354"/>
      <c r="T409" s="1354"/>
      <c r="U409" s="1354"/>
      <c r="V409" s="1354"/>
      <c r="W409" s="1354"/>
      <c r="X409" s="1354"/>
      <c r="Y409" s="1354"/>
      <c r="Z409" s="1354"/>
    </row>
    <row r="410" spans="10:26" s="1961" customFormat="1" ht="21.75" customHeight="1">
      <c r="J410" s="1354"/>
      <c r="K410" s="1354"/>
      <c r="L410" s="1354"/>
      <c r="M410" s="1354"/>
      <c r="N410" s="1354"/>
      <c r="O410" s="1354"/>
      <c r="P410" s="1354"/>
      <c r="Q410" s="1354"/>
      <c r="R410" s="1354"/>
      <c r="S410" s="1354"/>
      <c r="T410" s="1354"/>
      <c r="U410" s="1354"/>
      <c r="V410" s="1354"/>
      <c r="W410" s="1354"/>
      <c r="X410" s="1354"/>
      <c r="Y410" s="1354"/>
      <c r="Z410" s="1354"/>
    </row>
    <row r="411" spans="10:26" s="1961" customFormat="1" ht="21.75" customHeight="1">
      <c r="J411" s="1354"/>
      <c r="K411" s="1354"/>
      <c r="L411" s="1354"/>
      <c r="M411" s="1354"/>
      <c r="N411" s="1354"/>
      <c r="O411" s="1354"/>
      <c r="P411" s="1354"/>
      <c r="Q411" s="1354"/>
      <c r="R411" s="1354"/>
      <c r="S411" s="1354"/>
      <c r="T411" s="1354"/>
      <c r="U411" s="1354"/>
      <c r="V411" s="1354"/>
      <c r="W411" s="1354"/>
      <c r="X411" s="1354"/>
      <c r="Y411" s="1354"/>
      <c r="Z411" s="1354"/>
    </row>
    <row r="412" spans="10:26" s="1961" customFormat="1" ht="21.75" customHeight="1">
      <c r="J412" s="1354"/>
      <c r="K412" s="1354"/>
      <c r="L412" s="1354"/>
      <c r="M412" s="1354"/>
      <c r="N412" s="1354"/>
      <c r="O412" s="1354"/>
      <c r="P412" s="1354"/>
      <c r="Q412" s="1354"/>
      <c r="R412" s="1354"/>
      <c r="S412" s="1354"/>
      <c r="T412" s="1354"/>
      <c r="U412" s="1354"/>
      <c r="V412" s="1354"/>
      <c r="W412" s="1354"/>
      <c r="X412" s="1354"/>
      <c r="Y412" s="1354"/>
      <c r="Z412" s="1354"/>
    </row>
    <row r="413" spans="10:26" s="1961" customFormat="1" ht="21.75" customHeight="1">
      <c r="J413" s="1354"/>
      <c r="K413" s="1354"/>
      <c r="L413" s="1354"/>
      <c r="M413" s="1354"/>
      <c r="N413" s="1354"/>
      <c r="O413" s="1354"/>
      <c r="P413" s="1354"/>
      <c r="Q413" s="1354"/>
      <c r="R413" s="1354"/>
      <c r="S413" s="1354"/>
      <c r="T413" s="1354"/>
      <c r="U413" s="1354"/>
      <c r="V413" s="1354"/>
      <c r="W413" s="1354"/>
      <c r="X413" s="1354"/>
      <c r="Y413" s="1354"/>
      <c r="Z413" s="1354"/>
    </row>
    <row r="414" spans="10:26" s="1961" customFormat="1" ht="21.75" customHeight="1">
      <c r="J414" s="1354"/>
      <c r="K414" s="1354"/>
      <c r="L414" s="1354"/>
      <c r="M414" s="1354"/>
      <c r="N414" s="1354"/>
      <c r="O414" s="1354"/>
      <c r="P414" s="1354"/>
      <c r="Q414" s="1354"/>
      <c r="R414" s="1354"/>
      <c r="S414" s="1354"/>
      <c r="T414" s="1354"/>
      <c r="U414" s="1354"/>
      <c r="V414" s="1354"/>
      <c r="W414" s="1354"/>
      <c r="X414" s="1354"/>
      <c r="Y414" s="1354"/>
      <c r="Z414" s="1354"/>
    </row>
    <row r="415" spans="10:26" s="1961" customFormat="1" ht="21.75" customHeight="1">
      <c r="J415" s="1354"/>
      <c r="K415" s="1354"/>
      <c r="L415" s="1354"/>
      <c r="M415" s="1354"/>
      <c r="N415" s="1354"/>
      <c r="O415" s="1354"/>
      <c r="P415" s="1354"/>
      <c r="Q415" s="1354"/>
      <c r="R415" s="1354"/>
      <c r="S415" s="1354"/>
      <c r="T415" s="1354"/>
      <c r="U415" s="1354"/>
      <c r="V415" s="1354"/>
      <c r="W415" s="1354"/>
      <c r="X415" s="1354"/>
      <c r="Y415" s="1354"/>
      <c r="Z415" s="1354"/>
    </row>
    <row r="416" spans="10:26" s="1961" customFormat="1" ht="21.75" customHeight="1">
      <c r="J416" s="1354"/>
      <c r="K416" s="1354"/>
      <c r="L416" s="1354"/>
      <c r="M416" s="1354"/>
      <c r="N416" s="1354"/>
      <c r="O416" s="1354"/>
      <c r="P416" s="1354"/>
      <c r="Q416" s="1354"/>
      <c r="R416" s="1354"/>
      <c r="S416" s="1354"/>
      <c r="T416" s="1354"/>
      <c r="U416" s="1354"/>
      <c r="V416" s="1354"/>
      <c r="W416" s="1354"/>
      <c r="X416" s="1354"/>
      <c r="Y416" s="1354"/>
      <c r="Z416" s="1354"/>
    </row>
    <row r="417" spans="10:26" s="1961" customFormat="1" ht="21.75" customHeight="1">
      <c r="J417" s="1354"/>
      <c r="K417" s="1354"/>
      <c r="L417" s="1354"/>
      <c r="M417" s="1354"/>
      <c r="N417" s="1354"/>
      <c r="O417" s="1354"/>
      <c r="P417" s="1354"/>
      <c r="Q417" s="1354"/>
      <c r="R417" s="1354"/>
      <c r="S417" s="1354"/>
      <c r="T417" s="1354"/>
      <c r="U417" s="1354"/>
      <c r="V417" s="1354"/>
      <c r="W417" s="1354"/>
      <c r="X417" s="1354"/>
      <c r="Y417" s="1354"/>
      <c r="Z417" s="1354"/>
    </row>
    <row r="418" spans="10:26" s="1961" customFormat="1" ht="21.75" customHeight="1">
      <c r="J418" s="1354"/>
      <c r="K418" s="1354"/>
      <c r="L418" s="1354"/>
      <c r="M418" s="1354"/>
      <c r="N418" s="1354"/>
      <c r="O418" s="1354"/>
      <c r="P418" s="1354"/>
      <c r="Q418" s="1354"/>
      <c r="R418" s="1354"/>
      <c r="S418" s="1354"/>
      <c r="T418" s="1354"/>
      <c r="U418" s="1354"/>
      <c r="V418" s="1354"/>
      <c r="W418" s="1354"/>
      <c r="X418" s="1354"/>
      <c r="Y418" s="1354"/>
      <c r="Z418" s="1354"/>
    </row>
    <row r="419" spans="10:26" s="1961" customFormat="1" ht="21.75" customHeight="1">
      <c r="J419" s="1354"/>
      <c r="K419" s="1354"/>
      <c r="L419" s="1354"/>
      <c r="M419" s="1354"/>
      <c r="N419" s="1354"/>
      <c r="O419" s="1354"/>
      <c r="P419" s="1354"/>
      <c r="Q419" s="1354"/>
      <c r="R419" s="1354"/>
      <c r="S419" s="1354"/>
      <c r="T419" s="1354"/>
      <c r="U419" s="1354"/>
      <c r="V419" s="1354"/>
      <c r="W419" s="1354"/>
      <c r="X419" s="1354"/>
      <c r="Y419" s="1354"/>
      <c r="Z419" s="1354"/>
    </row>
    <row r="420" spans="10:26" s="1961" customFormat="1" ht="21.75" customHeight="1">
      <c r="J420" s="1354"/>
      <c r="K420" s="1354"/>
      <c r="L420" s="1354"/>
      <c r="M420" s="1354"/>
      <c r="N420" s="1354"/>
      <c r="O420" s="1354"/>
      <c r="P420" s="1354"/>
      <c r="Q420" s="1354"/>
      <c r="R420" s="1354"/>
      <c r="S420" s="1354"/>
      <c r="T420" s="1354"/>
      <c r="U420" s="1354"/>
      <c r="V420" s="1354"/>
      <c r="W420" s="1354"/>
      <c r="X420" s="1354"/>
      <c r="Y420" s="1354"/>
      <c r="Z420" s="1354"/>
    </row>
    <row r="421" spans="10:26" s="1961" customFormat="1" ht="21.75" customHeight="1">
      <c r="J421" s="1354"/>
      <c r="K421" s="1354"/>
      <c r="L421" s="1354"/>
      <c r="M421" s="1354"/>
      <c r="N421" s="1354"/>
      <c r="O421" s="1354"/>
      <c r="P421" s="1354"/>
      <c r="Q421" s="1354"/>
      <c r="R421" s="1354"/>
      <c r="S421" s="1354"/>
      <c r="T421" s="1354"/>
      <c r="U421" s="1354"/>
      <c r="V421" s="1354"/>
      <c r="W421" s="1354"/>
      <c r="X421" s="1354"/>
      <c r="Y421" s="1354"/>
      <c r="Z421" s="1354"/>
    </row>
    <row r="422" spans="10:26" s="1961" customFormat="1" ht="21.75" customHeight="1">
      <c r="J422" s="1354"/>
      <c r="K422" s="1354"/>
      <c r="L422" s="1354"/>
      <c r="M422" s="1354"/>
      <c r="N422" s="1354"/>
      <c r="O422" s="1354"/>
      <c r="P422" s="1354"/>
      <c r="Q422" s="1354"/>
      <c r="R422" s="1354"/>
      <c r="S422" s="1354"/>
      <c r="T422" s="1354"/>
      <c r="U422" s="1354"/>
      <c r="V422" s="1354"/>
      <c r="W422" s="1354"/>
      <c r="X422" s="1354"/>
      <c r="Y422" s="1354"/>
      <c r="Z422" s="1354"/>
    </row>
    <row r="423" spans="10:26" s="1961" customFormat="1" ht="21.75" customHeight="1">
      <c r="J423" s="1354"/>
      <c r="K423" s="1354"/>
      <c r="L423" s="1354"/>
      <c r="M423" s="1354"/>
      <c r="N423" s="1354"/>
      <c r="O423" s="1354"/>
      <c r="P423" s="1354"/>
      <c r="Q423" s="1354"/>
      <c r="R423" s="1354"/>
      <c r="S423" s="1354"/>
      <c r="T423" s="1354"/>
      <c r="U423" s="1354"/>
      <c r="V423" s="1354"/>
      <c r="W423" s="1354"/>
      <c r="X423" s="1354"/>
      <c r="Y423" s="1354"/>
      <c r="Z423" s="1354"/>
    </row>
    <row r="424" spans="10:26" s="1961" customFormat="1" ht="21.75" customHeight="1">
      <c r="J424" s="1354"/>
      <c r="K424" s="1354"/>
      <c r="L424" s="1354"/>
      <c r="M424" s="1354"/>
      <c r="N424" s="1354"/>
      <c r="O424" s="1354"/>
      <c r="P424" s="1354"/>
      <c r="Q424" s="1354"/>
      <c r="R424" s="1354"/>
      <c r="S424" s="1354"/>
      <c r="T424" s="1354"/>
      <c r="U424" s="1354"/>
      <c r="V424" s="1354"/>
      <c r="W424" s="1354"/>
      <c r="X424" s="1354"/>
      <c r="Y424" s="1354"/>
      <c r="Z424" s="1354"/>
    </row>
    <row r="425" spans="10:26" s="1961" customFormat="1" ht="21.75" customHeight="1">
      <c r="J425" s="1354"/>
      <c r="K425" s="1354"/>
      <c r="L425" s="1354"/>
      <c r="M425" s="1354"/>
      <c r="N425" s="1354"/>
      <c r="O425" s="1354"/>
      <c r="P425" s="1354"/>
      <c r="Q425" s="1354"/>
      <c r="R425" s="1354"/>
      <c r="S425" s="1354"/>
      <c r="T425" s="1354"/>
      <c r="U425" s="1354"/>
      <c r="V425" s="1354"/>
      <c r="W425" s="1354"/>
      <c r="X425" s="1354"/>
      <c r="Y425" s="1354"/>
      <c r="Z425" s="1354"/>
    </row>
    <row r="426" spans="10:26" s="1961" customFormat="1" ht="21.75" customHeight="1">
      <c r="J426" s="1354"/>
      <c r="K426" s="1354"/>
      <c r="L426" s="1354"/>
      <c r="M426" s="1354"/>
      <c r="N426" s="1354"/>
      <c r="O426" s="1354"/>
      <c r="P426" s="1354"/>
      <c r="Q426" s="1354"/>
      <c r="R426" s="1354"/>
      <c r="S426" s="1354"/>
      <c r="T426" s="1354"/>
      <c r="U426" s="1354"/>
      <c r="V426" s="1354"/>
      <c r="W426" s="1354"/>
      <c r="X426" s="1354"/>
      <c r="Y426" s="1354"/>
      <c r="Z426" s="1354"/>
    </row>
    <row r="427" spans="10:26" s="1961" customFormat="1" ht="21.75" customHeight="1">
      <c r="J427" s="1354"/>
      <c r="K427" s="1354"/>
      <c r="L427" s="1354"/>
      <c r="M427" s="1354"/>
      <c r="N427" s="1354"/>
      <c r="O427" s="1354"/>
      <c r="P427" s="1354"/>
      <c r="Q427" s="1354"/>
      <c r="R427" s="1354"/>
      <c r="S427" s="1354"/>
      <c r="T427" s="1354"/>
      <c r="U427" s="1354"/>
      <c r="V427" s="1354"/>
      <c r="W427" s="1354"/>
      <c r="X427" s="1354"/>
      <c r="Y427" s="1354"/>
      <c r="Z427" s="1354"/>
    </row>
    <row r="428" spans="10:26" s="1961" customFormat="1" ht="21.75" customHeight="1">
      <c r="J428" s="1354"/>
      <c r="K428" s="1354"/>
      <c r="L428" s="1354"/>
      <c r="M428" s="1354"/>
      <c r="N428" s="1354"/>
      <c r="O428" s="1354"/>
      <c r="P428" s="1354"/>
      <c r="Q428" s="1354"/>
      <c r="R428" s="1354"/>
      <c r="S428" s="1354"/>
      <c r="T428" s="1354"/>
      <c r="U428" s="1354"/>
      <c r="V428" s="1354"/>
      <c r="W428" s="1354"/>
      <c r="X428" s="1354"/>
      <c r="Y428" s="1354"/>
      <c r="Z428" s="1354"/>
    </row>
    <row r="429" spans="10:26" s="1961" customFormat="1" ht="21.75" customHeight="1">
      <c r="J429" s="1354"/>
      <c r="K429" s="1354"/>
      <c r="L429" s="1354"/>
      <c r="M429" s="1354"/>
      <c r="N429" s="1354"/>
      <c r="O429" s="1354"/>
      <c r="P429" s="1354"/>
      <c r="Q429" s="1354"/>
      <c r="R429" s="1354"/>
      <c r="S429" s="1354"/>
      <c r="T429" s="1354"/>
      <c r="U429" s="1354"/>
      <c r="V429" s="1354"/>
      <c r="W429" s="1354"/>
      <c r="X429" s="1354"/>
      <c r="Y429" s="1354"/>
      <c r="Z429" s="1354"/>
    </row>
    <row r="430" spans="10:26" s="1961" customFormat="1" ht="21.75" customHeight="1">
      <c r="J430" s="1354"/>
      <c r="K430" s="1354"/>
      <c r="L430" s="1354"/>
      <c r="M430" s="1354"/>
      <c r="N430" s="1354"/>
      <c r="O430" s="1354"/>
      <c r="P430" s="1354"/>
      <c r="Q430" s="1354"/>
      <c r="R430" s="1354"/>
      <c r="S430" s="1354"/>
      <c r="T430" s="1354"/>
      <c r="U430" s="1354"/>
      <c r="V430" s="1354"/>
      <c r="W430" s="1354"/>
      <c r="X430" s="1354"/>
      <c r="Y430" s="1354"/>
      <c r="Z430" s="1354"/>
    </row>
    <row r="431" spans="10:26" s="1961" customFormat="1" ht="21.75" customHeight="1">
      <c r="J431" s="1354"/>
      <c r="K431" s="1354"/>
      <c r="L431" s="1354"/>
      <c r="M431" s="1354"/>
      <c r="N431" s="1354"/>
      <c r="O431" s="1354"/>
      <c r="P431" s="1354"/>
      <c r="Q431" s="1354"/>
      <c r="R431" s="1354"/>
      <c r="S431" s="1354"/>
      <c r="T431" s="1354"/>
      <c r="U431" s="1354"/>
      <c r="V431" s="1354"/>
      <c r="W431" s="1354"/>
      <c r="X431" s="1354"/>
      <c r="Y431" s="1354"/>
      <c r="Z431" s="1354"/>
    </row>
    <row r="432" spans="10:26" s="1961" customFormat="1" ht="21.75" customHeight="1">
      <c r="J432" s="1354"/>
      <c r="K432" s="1354"/>
      <c r="L432" s="1354"/>
      <c r="M432" s="1354"/>
      <c r="N432" s="1354"/>
      <c r="O432" s="1354"/>
      <c r="P432" s="1354"/>
      <c r="Q432" s="1354"/>
      <c r="R432" s="1354"/>
      <c r="S432" s="1354"/>
      <c r="T432" s="1354"/>
      <c r="U432" s="1354"/>
      <c r="V432" s="1354"/>
      <c r="W432" s="1354"/>
      <c r="X432" s="1354"/>
      <c r="Y432" s="1354"/>
      <c r="Z432" s="1354"/>
    </row>
    <row r="433" spans="10:26" s="1961" customFormat="1" ht="21.75" customHeight="1">
      <c r="J433" s="1354"/>
      <c r="K433" s="1354"/>
      <c r="L433" s="1354"/>
      <c r="M433" s="1354"/>
      <c r="N433" s="1354"/>
      <c r="O433" s="1354"/>
      <c r="P433" s="1354"/>
      <c r="Q433" s="1354"/>
      <c r="R433" s="1354"/>
      <c r="S433" s="1354"/>
      <c r="T433" s="1354"/>
      <c r="U433" s="1354"/>
      <c r="V433" s="1354"/>
      <c r="W433" s="1354"/>
      <c r="X433" s="1354"/>
      <c r="Y433" s="1354"/>
      <c r="Z433" s="1354"/>
    </row>
    <row r="434" spans="10:26" s="1961" customFormat="1" ht="21.75" customHeight="1">
      <c r="J434" s="1354"/>
      <c r="K434" s="1354"/>
      <c r="L434" s="1354"/>
      <c r="M434" s="1354"/>
      <c r="N434" s="1354"/>
      <c r="O434" s="1354"/>
      <c r="P434" s="1354"/>
      <c r="Q434" s="1354"/>
      <c r="R434" s="1354"/>
      <c r="S434" s="1354"/>
      <c r="T434" s="1354"/>
      <c r="U434" s="1354"/>
      <c r="V434" s="1354"/>
      <c r="W434" s="1354"/>
      <c r="X434" s="1354"/>
      <c r="Y434" s="1354"/>
      <c r="Z434" s="1354"/>
    </row>
    <row r="435" spans="10:26" s="1961" customFormat="1" ht="21.75" customHeight="1">
      <c r="J435" s="1354"/>
      <c r="K435" s="1354"/>
      <c r="L435" s="1354"/>
      <c r="M435" s="1354"/>
      <c r="N435" s="1354"/>
      <c r="O435" s="1354"/>
      <c r="P435" s="1354"/>
      <c r="Q435" s="1354"/>
      <c r="R435" s="1354"/>
      <c r="S435" s="1354"/>
      <c r="T435" s="1354"/>
      <c r="U435" s="1354"/>
      <c r="V435" s="1354"/>
      <c r="W435" s="1354"/>
      <c r="X435" s="1354"/>
      <c r="Y435" s="1354"/>
      <c r="Z435" s="1354"/>
    </row>
    <row r="436" spans="10:26" s="1961" customFormat="1" ht="21.75" customHeight="1">
      <c r="J436" s="1354"/>
      <c r="K436" s="1354"/>
      <c r="L436" s="1354"/>
      <c r="M436" s="1354"/>
      <c r="N436" s="1354"/>
      <c r="O436" s="1354"/>
      <c r="P436" s="1354"/>
      <c r="Q436" s="1354"/>
      <c r="R436" s="1354"/>
      <c r="S436" s="1354"/>
      <c r="T436" s="1354"/>
      <c r="U436" s="1354"/>
      <c r="V436" s="1354"/>
      <c r="W436" s="1354"/>
      <c r="X436" s="1354"/>
      <c r="Y436" s="1354"/>
      <c r="Z436" s="1354"/>
    </row>
    <row r="437" spans="10:26" s="1961" customFormat="1" ht="21.75" customHeight="1">
      <c r="J437" s="1354"/>
      <c r="K437" s="1354"/>
      <c r="L437" s="1354"/>
      <c r="M437" s="1354"/>
      <c r="N437" s="1354"/>
      <c r="O437" s="1354"/>
      <c r="P437" s="1354"/>
      <c r="Q437" s="1354"/>
      <c r="R437" s="1354"/>
      <c r="S437" s="1354"/>
      <c r="T437" s="1354"/>
      <c r="U437" s="1354"/>
      <c r="V437" s="1354"/>
      <c r="W437" s="1354"/>
      <c r="X437" s="1354"/>
      <c r="Y437" s="1354"/>
      <c r="Z437" s="1354"/>
    </row>
    <row r="438" spans="10:26" s="1961" customFormat="1" ht="21.75" customHeight="1">
      <c r="J438" s="1354"/>
      <c r="K438" s="1354"/>
      <c r="L438" s="1354"/>
      <c r="M438" s="1354"/>
      <c r="N438" s="1354"/>
      <c r="O438" s="1354"/>
      <c r="P438" s="1354"/>
      <c r="Q438" s="1354"/>
      <c r="R438" s="1354"/>
      <c r="S438" s="1354"/>
      <c r="T438" s="1354"/>
      <c r="U438" s="1354"/>
      <c r="V438" s="1354"/>
      <c r="W438" s="1354"/>
      <c r="X438" s="1354"/>
      <c r="Y438" s="1354"/>
      <c r="Z438" s="1354"/>
    </row>
    <row r="439" spans="10:26" s="1961" customFormat="1" ht="21.75" customHeight="1">
      <c r="J439" s="1354"/>
      <c r="K439" s="1354"/>
      <c r="L439" s="1354"/>
      <c r="M439" s="1354"/>
      <c r="N439" s="1354"/>
      <c r="O439" s="1354"/>
      <c r="P439" s="1354"/>
      <c r="Q439" s="1354"/>
      <c r="R439" s="1354"/>
      <c r="S439" s="1354"/>
      <c r="T439" s="1354"/>
      <c r="U439" s="1354"/>
      <c r="V439" s="1354"/>
      <c r="W439" s="1354"/>
      <c r="X439" s="1354"/>
      <c r="Y439" s="1354"/>
      <c r="Z439" s="1354"/>
    </row>
    <row r="440" spans="10:26" s="1961" customFormat="1" ht="21.75" customHeight="1">
      <c r="J440" s="1354"/>
      <c r="K440" s="1354"/>
      <c r="L440" s="1354"/>
      <c r="M440" s="1354"/>
      <c r="N440" s="1354"/>
      <c r="O440" s="1354"/>
      <c r="P440" s="1354"/>
      <c r="Q440" s="1354"/>
      <c r="R440" s="1354"/>
      <c r="S440" s="1354"/>
      <c r="T440" s="1354"/>
      <c r="U440" s="1354"/>
      <c r="V440" s="1354"/>
      <c r="W440" s="1354"/>
      <c r="X440" s="1354"/>
      <c r="Y440" s="1354"/>
      <c r="Z440" s="1354"/>
    </row>
    <row r="441" spans="10:26" s="1961" customFormat="1" ht="21.75" customHeight="1">
      <c r="J441" s="1354"/>
      <c r="K441" s="1354"/>
      <c r="L441" s="1354"/>
      <c r="M441" s="1354"/>
      <c r="N441" s="1354"/>
      <c r="O441" s="1354"/>
      <c r="P441" s="1354"/>
      <c r="Q441" s="1354"/>
      <c r="R441" s="1354"/>
      <c r="S441" s="1354"/>
      <c r="T441" s="1354"/>
      <c r="U441" s="1354"/>
      <c r="V441" s="1354"/>
      <c r="W441" s="1354"/>
      <c r="X441" s="1354"/>
      <c r="Y441" s="1354"/>
      <c r="Z441" s="1354"/>
    </row>
    <row r="442" spans="10:26" s="1961" customFormat="1" ht="21.75" customHeight="1">
      <c r="J442" s="1354"/>
      <c r="K442" s="1354"/>
      <c r="L442" s="1354"/>
      <c r="M442" s="1354"/>
      <c r="N442" s="1354"/>
      <c r="O442" s="1354"/>
      <c r="P442" s="1354"/>
      <c r="Q442" s="1354"/>
      <c r="R442" s="1354"/>
      <c r="S442" s="1354"/>
      <c r="T442" s="1354"/>
      <c r="U442" s="1354"/>
      <c r="V442" s="1354"/>
      <c r="W442" s="1354"/>
      <c r="X442" s="1354"/>
      <c r="Y442" s="1354"/>
      <c r="Z442" s="1354"/>
    </row>
    <row r="443" spans="10:26" s="1961" customFormat="1" ht="21.75" customHeight="1">
      <c r="J443" s="1354"/>
      <c r="K443" s="1354"/>
      <c r="L443" s="1354"/>
      <c r="M443" s="1354"/>
      <c r="N443" s="1354"/>
      <c r="O443" s="1354"/>
      <c r="P443" s="1354"/>
      <c r="Q443" s="1354"/>
      <c r="R443" s="1354"/>
      <c r="S443" s="1354"/>
      <c r="T443" s="1354"/>
      <c r="U443" s="1354"/>
      <c r="V443" s="1354"/>
      <c r="W443" s="1354"/>
      <c r="X443" s="1354"/>
      <c r="Y443" s="1354"/>
      <c r="Z443" s="1354"/>
    </row>
    <row r="444" spans="10:26" s="1961" customFormat="1" ht="21.75" customHeight="1">
      <c r="J444" s="1354"/>
      <c r="K444" s="1354"/>
      <c r="L444" s="1354"/>
      <c r="M444" s="1354"/>
      <c r="N444" s="1354"/>
      <c r="O444" s="1354"/>
      <c r="P444" s="1354"/>
      <c r="Q444" s="1354"/>
      <c r="R444" s="1354"/>
      <c r="S444" s="1354"/>
      <c r="T444" s="1354"/>
      <c r="U444" s="1354"/>
      <c r="V444" s="1354"/>
      <c r="W444" s="1354"/>
      <c r="X444" s="1354"/>
      <c r="Y444" s="1354"/>
      <c r="Z444" s="1354"/>
    </row>
    <row r="445" spans="10:26" s="1961" customFormat="1" ht="21.75" customHeight="1">
      <c r="J445" s="1354"/>
      <c r="K445" s="1354"/>
      <c r="L445" s="1354"/>
      <c r="M445" s="1354"/>
      <c r="N445" s="1354"/>
      <c r="O445" s="1354"/>
      <c r="P445" s="1354"/>
      <c r="Q445" s="1354"/>
      <c r="R445" s="1354"/>
      <c r="S445" s="1354"/>
      <c r="T445" s="1354"/>
      <c r="U445" s="1354"/>
      <c r="V445" s="1354"/>
      <c r="W445" s="1354"/>
      <c r="X445" s="1354"/>
      <c r="Y445" s="1354"/>
      <c r="Z445" s="1354"/>
    </row>
    <row r="446" spans="10:26" s="1961" customFormat="1" ht="21.75" customHeight="1">
      <c r="J446" s="1354"/>
      <c r="K446" s="1354"/>
      <c r="L446" s="1354"/>
      <c r="M446" s="1354"/>
      <c r="N446" s="1354"/>
      <c r="O446" s="1354"/>
      <c r="P446" s="1354"/>
      <c r="Q446" s="1354"/>
      <c r="R446" s="1354"/>
      <c r="S446" s="1354"/>
      <c r="T446" s="1354"/>
      <c r="U446" s="1354"/>
      <c r="V446" s="1354"/>
      <c r="W446" s="1354"/>
      <c r="X446" s="1354"/>
      <c r="Y446" s="1354"/>
      <c r="Z446" s="1354"/>
    </row>
    <row r="447" spans="10:26" s="1961" customFormat="1" ht="21.75" customHeight="1">
      <c r="J447" s="1354"/>
      <c r="K447" s="1354"/>
      <c r="L447" s="1354"/>
      <c r="M447" s="1354"/>
      <c r="N447" s="1354"/>
      <c r="O447" s="1354"/>
      <c r="P447" s="1354"/>
      <c r="Q447" s="1354"/>
      <c r="R447" s="1354"/>
      <c r="S447" s="1354"/>
      <c r="T447" s="1354"/>
      <c r="U447" s="1354"/>
      <c r="V447" s="1354"/>
      <c r="W447" s="1354"/>
      <c r="X447" s="1354"/>
      <c r="Y447" s="1354"/>
      <c r="Z447" s="1354"/>
    </row>
    <row r="448" spans="10:26" s="1961" customFormat="1" ht="21.75" customHeight="1">
      <c r="J448" s="1354"/>
      <c r="K448" s="1354"/>
      <c r="L448" s="1354"/>
      <c r="M448" s="1354"/>
      <c r="N448" s="1354"/>
      <c r="O448" s="1354"/>
      <c r="P448" s="1354"/>
      <c r="Q448" s="1354"/>
      <c r="R448" s="1354"/>
      <c r="S448" s="1354"/>
      <c r="T448" s="1354"/>
      <c r="U448" s="1354"/>
      <c r="V448" s="1354"/>
      <c r="W448" s="1354"/>
      <c r="X448" s="1354"/>
      <c r="Y448" s="1354"/>
      <c r="Z448" s="1354"/>
    </row>
    <row r="449" spans="10:26" s="1961" customFormat="1" ht="21.75" customHeight="1">
      <c r="J449" s="1354"/>
      <c r="K449" s="1354"/>
      <c r="L449" s="1354"/>
      <c r="M449" s="1354"/>
      <c r="N449" s="1354"/>
      <c r="O449" s="1354"/>
      <c r="P449" s="1354"/>
      <c r="Q449" s="1354"/>
      <c r="R449" s="1354"/>
      <c r="S449" s="1354"/>
      <c r="T449" s="1354"/>
      <c r="U449" s="1354"/>
      <c r="V449" s="1354"/>
      <c r="W449" s="1354"/>
      <c r="X449" s="1354"/>
      <c r="Y449" s="1354"/>
      <c r="Z449" s="1354"/>
    </row>
    <row r="450" spans="10:26" s="1961" customFormat="1" ht="21.75" customHeight="1">
      <c r="J450" s="1354"/>
      <c r="K450" s="1354"/>
      <c r="L450" s="1354"/>
      <c r="M450" s="1354"/>
      <c r="N450" s="1354"/>
      <c r="O450" s="1354"/>
      <c r="P450" s="1354"/>
      <c r="Q450" s="1354"/>
      <c r="R450" s="1354"/>
      <c r="S450" s="1354"/>
      <c r="T450" s="1354"/>
      <c r="U450" s="1354"/>
      <c r="V450" s="1354"/>
      <c r="W450" s="1354"/>
      <c r="X450" s="1354"/>
      <c r="Y450" s="1354"/>
      <c r="Z450" s="1354"/>
    </row>
    <row r="451" spans="10:26" s="1961" customFormat="1" ht="21.75" customHeight="1">
      <c r="J451" s="1354"/>
      <c r="K451" s="1354"/>
      <c r="L451" s="1354"/>
      <c r="M451" s="1354"/>
      <c r="N451" s="1354"/>
      <c r="O451" s="1354"/>
      <c r="P451" s="1354"/>
      <c r="Q451" s="1354"/>
      <c r="R451" s="1354"/>
      <c r="S451" s="1354"/>
      <c r="T451" s="1354"/>
      <c r="U451" s="1354"/>
      <c r="V451" s="1354"/>
      <c r="W451" s="1354"/>
      <c r="X451" s="1354"/>
      <c r="Y451" s="1354"/>
      <c r="Z451" s="1354"/>
    </row>
    <row r="452" spans="10:26" s="1961" customFormat="1" ht="21.75" customHeight="1">
      <c r="J452" s="1354"/>
      <c r="K452" s="1354"/>
      <c r="L452" s="1354"/>
      <c r="M452" s="1354"/>
      <c r="N452" s="1354"/>
      <c r="O452" s="1354"/>
      <c r="P452" s="1354"/>
      <c r="Q452" s="1354"/>
      <c r="R452" s="1354"/>
      <c r="S452" s="1354"/>
      <c r="T452" s="1354"/>
      <c r="U452" s="1354"/>
      <c r="V452" s="1354"/>
      <c r="W452" s="1354"/>
      <c r="X452" s="1354"/>
      <c r="Y452" s="1354"/>
      <c r="Z452" s="1354"/>
    </row>
    <row r="453" spans="10:26" s="1961" customFormat="1" ht="21.75" customHeight="1">
      <c r="J453" s="1354"/>
      <c r="K453" s="1354"/>
      <c r="L453" s="1354"/>
      <c r="M453" s="1354"/>
      <c r="N453" s="1354"/>
      <c r="O453" s="1354"/>
      <c r="P453" s="1354"/>
      <c r="Q453" s="1354"/>
      <c r="R453" s="1354"/>
      <c r="S453" s="1354"/>
      <c r="T453" s="1354"/>
      <c r="U453" s="1354"/>
      <c r="V453" s="1354"/>
      <c r="W453" s="1354"/>
      <c r="X453" s="1354"/>
      <c r="Y453" s="1354"/>
      <c r="Z453" s="1354"/>
    </row>
    <row r="454" spans="10:26" s="1961" customFormat="1" ht="21.75" customHeight="1">
      <c r="J454" s="1354"/>
      <c r="K454" s="1354"/>
      <c r="L454" s="1354"/>
      <c r="M454" s="1354"/>
      <c r="N454" s="1354"/>
      <c r="O454" s="1354"/>
      <c r="P454" s="1354"/>
      <c r="Q454" s="1354"/>
      <c r="R454" s="1354"/>
      <c r="S454" s="1354"/>
      <c r="T454" s="1354"/>
      <c r="U454" s="1354"/>
      <c r="V454" s="1354"/>
      <c r="W454" s="1354"/>
      <c r="X454" s="1354"/>
      <c r="Y454" s="1354"/>
      <c r="Z454" s="1354"/>
    </row>
    <row r="455" spans="10:26" s="1961" customFormat="1" ht="21.75" customHeight="1">
      <c r="J455" s="1354"/>
      <c r="K455" s="1354"/>
      <c r="L455" s="1354"/>
      <c r="M455" s="1354"/>
      <c r="N455" s="1354"/>
      <c r="O455" s="1354"/>
      <c r="P455" s="1354"/>
      <c r="Q455" s="1354"/>
      <c r="R455" s="1354"/>
      <c r="S455" s="1354"/>
      <c r="T455" s="1354"/>
      <c r="U455" s="1354"/>
      <c r="V455" s="1354"/>
      <c r="W455" s="1354"/>
      <c r="X455" s="1354"/>
      <c r="Y455" s="1354"/>
      <c r="Z455" s="1354"/>
    </row>
    <row r="456" spans="10:26" s="1961" customFormat="1" ht="21.75" customHeight="1">
      <c r="J456" s="1354"/>
      <c r="K456" s="1354"/>
      <c r="L456" s="1354"/>
      <c r="M456" s="1354"/>
      <c r="N456" s="1354"/>
      <c r="O456" s="1354"/>
      <c r="P456" s="1354"/>
      <c r="Q456" s="1354"/>
      <c r="R456" s="1354"/>
      <c r="S456" s="1354"/>
      <c r="T456" s="1354"/>
      <c r="U456" s="1354"/>
      <c r="V456" s="1354"/>
      <c r="W456" s="1354"/>
      <c r="X456" s="1354"/>
      <c r="Y456" s="1354"/>
      <c r="Z456" s="1354"/>
    </row>
    <row r="457" spans="10:26" s="1961" customFormat="1" ht="21.75" customHeight="1">
      <c r="J457" s="1354"/>
      <c r="K457" s="1354"/>
      <c r="L457" s="1354"/>
      <c r="M457" s="1354"/>
      <c r="N457" s="1354"/>
      <c r="O457" s="1354"/>
      <c r="P457" s="1354"/>
      <c r="Q457" s="1354"/>
      <c r="R457" s="1354"/>
      <c r="S457" s="1354"/>
      <c r="T457" s="1354"/>
      <c r="U457" s="1354"/>
      <c r="V457" s="1354"/>
      <c r="W457" s="1354"/>
      <c r="X457" s="1354"/>
      <c r="Y457" s="1354"/>
      <c r="Z457" s="1354"/>
    </row>
    <row r="458" spans="10:26" s="1961" customFormat="1" ht="21.75" customHeight="1">
      <c r="J458" s="1354"/>
      <c r="K458" s="1354"/>
      <c r="L458" s="1354"/>
      <c r="M458" s="1354"/>
      <c r="N458" s="1354"/>
      <c r="O458" s="1354"/>
      <c r="P458" s="1354"/>
      <c r="Q458" s="1354"/>
      <c r="R458" s="1354"/>
      <c r="S458" s="1354"/>
      <c r="T458" s="1354"/>
      <c r="U458" s="1354"/>
      <c r="V458" s="1354"/>
      <c r="W458" s="1354"/>
      <c r="X458" s="1354"/>
      <c r="Y458" s="1354"/>
      <c r="Z458" s="1354"/>
    </row>
    <row r="459" spans="10:26" s="1961" customFormat="1" ht="21.75" customHeight="1">
      <c r="J459" s="1354"/>
      <c r="K459" s="1354"/>
      <c r="L459" s="1354"/>
      <c r="M459" s="1354"/>
      <c r="N459" s="1354"/>
      <c r="O459" s="1354"/>
      <c r="P459" s="1354"/>
      <c r="Q459" s="1354"/>
      <c r="R459" s="1354"/>
      <c r="S459" s="1354"/>
      <c r="T459" s="1354"/>
      <c r="U459" s="1354"/>
      <c r="V459" s="1354"/>
      <c r="W459" s="1354"/>
      <c r="X459" s="1354"/>
      <c r="Y459" s="1354"/>
      <c r="Z459" s="1354"/>
    </row>
    <row r="460" spans="10:26" s="1961" customFormat="1" ht="21.75" customHeight="1">
      <c r="J460" s="1354"/>
      <c r="K460" s="1354"/>
      <c r="L460" s="1354"/>
      <c r="M460" s="1354"/>
      <c r="N460" s="1354"/>
      <c r="O460" s="1354"/>
      <c r="P460" s="1354"/>
      <c r="Q460" s="1354"/>
      <c r="R460" s="1354"/>
      <c r="S460" s="1354"/>
      <c r="T460" s="1354"/>
      <c r="U460" s="1354"/>
      <c r="V460" s="1354"/>
      <c r="W460" s="1354"/>
      <c r="X460" s="1354"/>
      <c r="Y460" s="1354"/>
      <c r="Z460" s="1354"/>
    </row>
    <row r="461" spans="10:26" s="1961" customFormat="1" ht="21.75" customHeight="1">
      <c r="J461" s="1354"/>
      <c r="K461" s="1354"/>
      <c r="L461" s="1354"/>
      <c r="M461" s="1354"/>
      <c r="N461" s="1354"/>
      <c r="O461" s="1354"/>
      <c r="P461" s="1354"/>
      <c r="Q461" s="1354"/>
      <c r="R461" s="1354"/>
      <c r="S461" s="1354"/>
      <c r="T461" s="1354"/>
      <c r="U461" s="1354"/>
      <c r="V461" s="1354"/>
      <c r="W461" s="1354"/>
      <c r="X461" s="1354"/>
      <c r="Y461" s="1354"/>
      <c r="Z461" s="1354"/>
    </row>
    <row r="462" spans="10:26" s="1961" customFormat="1" ht="21.75" customHeight="1">
      <c r="J462" s="1354"/>
      <c r="K462" s="1354"/>
      <c r="L462" s="1354"/>
      <c r="M462" s="1354"/>
      <c r="N462" s="1354"/>
      <c r="O462" s="1354"/>
      <c r="P462" s="1354"/>
      <c r="Q462" s="1354"/>
      <c r="R462" s="1354"/>
      <c r="S462" s="1354"/>
      <c r="T462" s="1354"/>
      <c r="U462" s="1354"/>
      <c r="V462" s="1354"/>
      <c r="W462" s="1354"/>
      <c r="X462" s="1354"/>
      <c r="Y462" s="1354"/>
      <c r="Z462" s="1354"/>
    </row>
    <row r="463" spans="10:26" s="1961" customFormat="1" ht="21.75" customHeight="1">
      <c r="J463" s="1354"/>
      <c r="K463" s="1354"/>
      <c r="L463" s="1354"/>
      <c r="M463" s="1354"/>
      <c r="N463" s="1354"/>
      <c r="O463" s="1354"/>
      <c r="P463" s="1354"/>
      <c r="Q463" s="1354"/>
      <c r="R463" s="1354"/>
      <c r="S463" s="1354"/>
      <c r="T463" s="1354"/>
      <c r="U463" s="1354"/>
      <c r="V463" s="1354"/>
      <c r="W463" s="1354"/>
      <c r="X463" s="1354"/>
      <c r="Y463" s="1354"/>
      <c r="Z463" s="1354"/>
    </row>
    <row r="464" spans="10:26" s="1961" customFormat="1" ht="21.75" customHeight="1">
      <c r="J464" s="1354"/>
      <c r="K464" s="1354"/>
      <c r="L464" s="1354"/>
      <c r="M464" s="1354"/>
      <c r="N464" s="1354"/>
      <c r="O464" s="1354"/>
      <c r="P464" s="1354"/>
      <c r="Q464" s="1354"/>
      <c r="R464" s="1354"/>
      <c r="S464" s="1354"/>
      <c r="T464" s="1354"/>
      <c r="U464" s="1354"/>
      <c r="V464" s="1354"/>
      <c r="W464" s="1354"/>
      <c r="X464" s="1354"/>
      <c r="Y464" s="1354"/>
      <c r="Z464" s="1354"/>
    </row>
    <row r="465" spans="10:26" s="1961" customFormat="1" ht="21.75" customHeight="1">
      <c r="J465" s="1354"/>
      <c r="K465" s="1354"/>
      <c r="L465" s="1354"/>
      <c r="M465" s="1354"/>
      <c r="N465" s="1354"/>
      <c r="O465" s="1354"/>
      <c r="P465" s="1354"/>
      <c r="Q465" s="1354"/>
      <c r="R465" s="1354"/>
      <c r="S465" s="1354"/>
      <c r="T465" s="1354"/>
      <c r="U465" s="1354"/>
      <c r="V465" s="1354"/>
      <c r="W465" s="1354"/>
      <c r="X465" s="1354"/>
      <c r="Y465" s="1354"/>
      <c r="Z465" s="1354"/>
    </row>
    <row r="466" spans="10:26" s="1961" customFormat="1" ht="21.75" customHeight="1">
      <c r="J466" s="1354"/>
      <c r="K466" s="1354"/>
      <c r="L466" s="1354"/>
      <c r="M466" s="1354"/>
      <c r="N466" s="1354"/>
      <c r="O466" s="1354"/>
      <c r="P466" s="1354"/>
      <c r="Q466" s="1354"/>
      <c r="R466" s="1354"/>
      <c r="S466" s="1354"/>
      <c r="T466" s="1354"/>
      <c r="U466" s="1354"/>
      <c r="V466" s="1354"/>
      <c r="W466" s="1354"/>
      <c r="X466" s="1354"/>
      <c r="Y466" s="1354"/>
      <c r="Z466" s="1354"/>
    </row>
    <row r="467" spans="10:26" s="1961" customFormat="1" ht="21.75" customHeight="1">
      <c r="J467" s="1354"/>
      <c r="K467" s="1354"/>
      <c r="L467" s="1354"/>
      <c r="M467" s="1354"/>
      <c r="N467" s="1354"/>
      <c r="O467" s="1354"/>
      <c r="P467" s="1354"/>
      <c r="Q467" s="1354"/>
      <c r="R467" s="1354"/>
      <c r="S467" s="1354"/>
      <c r="T467" s="1354"/>
      <c r="U467" s="1354"/>
      <c r="V467" s="1354"/>
      <c r="W467" s="1354"/>
      <c r="X467" s="1354"/>
      <c r="Y467" s="1354"/>
      <c r="Z467" s="1354"/>
    </row>
    <row r="468" spans="10:26" s="1961" customFormat="1" ht="21.75" customHeight="1">
      <c r="J468" s="1354"/>
      <c r="K468" s="1354"/>
      <c r="L468" s="1354"/>
      <c r="M468" s="1354"/>
      <c r="N468" s="1354"/>
      <c r="O468" s="1354"/>
      <c r="P468" s="1354"/>
      <c r="Q468" s="1354"/>
      <c r="R468" s="1354"/>
      <c r="S468" s="1354"/>
      <c r="T468" s="1354"/>
      <c r="U468" s="1354"/>
      <c r="V468" s="1354"/>
      <c r="W468" s="1354"/>
      <c r="X468" s="1354"/>
      <c r="Y468" s="1354"/>
      <c r="Z468" s="1354"/>
    </row>
    <row r="469" spans="10:26" s="1961" customFormat="1" ht="21.75" customHeight="1">
      <c r="J469" s="1354"/>
      <c r="K469" s="1354"/>
      <c r="L469" s="1354"/>
      <c r="M469" s="1354"/>
      <c r="N469" s="1354"/>
      <c r="O469" s="1354"/>
      <c r="P469" s="1354"/>
      <c r="Q469" s="1354"/>
      <c r="R469" s="1354"/>
      <c r="S469" s="1354"/>
      <c r="T469" s="1354"/>
      <c r="U469" s="1354"/>
      <c r="V469" s="1354"/>
      <c r="W469" s="1354"/>
      <c r="X469" s="1354"/>
      <c r="Y469" s="1354"/>
      <c r="Z469" s="1354"/>
    </row>
    <row r="470" spans="10:26" s="1961" customFormat="1" ht="21.75" customHeight="1">
      <c r="J470" s="1354"/>
      <c r="K470" s="1354"/>
      <c r="L470" s="1354"/>
      <c r="M470" s="1354"/>
      <c r="N470" s="1354"/>
      <c r="O470" s="1354"/>
      <c r="P470" s="1354"/>
      <c r="Q470" s="1354"/>
      <c r="R470" s="1354"/>
      <c r="S470" s="1354"/>
      <c r="T470" s="1354"/>
      <c r="U470" s="1354"/>
      <c r="V470" s="1354"/>
      <c r="W470" s="1354"/>
      <c r="X470" s="1354"/>
      <c r="Y470" s="1354"/>
      <c r="Z470" s="1354"/>
    </row>
    <row r="471" spans="10:26" s="1961" customFormat="1" ht="21.75" customHeight="1">
      <c r="J471" s="1354"/>
      <c r="K471" s="1354"/>
      <c r="L471" s="1354"/>
      <c r="M471" s="1354"/>
      <c r="N471" s="1354"/>
      <c r="O471" s="1354"/>
      <c r="P471" s="1354"/>
      <c r="Q471" s="1354"/>
      <c r="R471" s="1354"/>
      <c r="S471" s="1354"/>
      <c r="T471" s="1354"/>
      <c r="U471" s="1354"/>
      <c r="V471" s="1354"/>
      <c r="W471" s="1354"/>
      <c r="X471" s="1354"/>
      <c r="Y471" s="1354"/>
      <c r="Z471" s="1354"/>
    </row>
    <row r="472" spans="10:26" s="1961" customFormat="1" ht="21.75" customHeight="1">
      <c r="J472" s="1354"/>
      <c r="K472" s="1354"/>
      <c r="L472" s="1354"/>
      <c r="M472" s="1354"/>
      <c r="N472" s="1354"/>
      <c r="O472" s="1354"/>
      <c r="P472" s="1354"/>
      <c r="Q472" s="1354"/>
      <c r="R472" s="1354"/>
      <c r="S472" s="1354"/>
      <c r="T472" s="1354"/>
      <c r="U472" s="1354"/>
      <c r="V472" s="1354"/>
      <c r="W472" s="1354"/>
      <c r="X472" s="1354"/>
      <c r="Y472" s="1354"/>
      <c r="Z472" s="1354"/>
    </row>
    <row r="473" spans="10:26" s="1961" customFormat="1" ht="21.75" customHeight="1">
      <c r="J473" s="1354"/>
      <c r="K473" s="1354"/>
      <c r="L473" s="1354"/>
      <c r="M473" s="1354"/>
      <c r="N473" s="1354"/>
      <c r="O473" s="1354"/>
      <c r="P473" s="1354"/>
      <c r="Q473" s="1354"/>
      <c r="R473" s="1354"/>
      <c r="S473" s="1354"/>
      <c r="T473" s="1354"/>
      <c r="U473" s="1354"/>
      <c r="V473" s="1354"/>
      <c r="W473" s="1354"/>
      <c r="X473" s="1354"/>
      <c r="Y473" s="1354"/>
      <c r="Z473" s="1354"/>
    </row>
    <row r="474" spans="10:26" s="1961" customFormat="1" ht="21.75" customHeight="1">
      <c r="J474" s="1354"/>
      <c r="K474" s="1354"/>
      <c r="L474" s="1354"/>
      <c r="M474" s="1354"/>
      <c r="N474" s="1354"/>
      <c r="O474" s="1354"/>
      <c r="P474" s="1354"/>
      <c r="Q474" s="1354"/>
      <c r="R474" s="1354"/>
      <c r="S474" s="1354"/>
      <c r="T474" s="1354"/>
      <c r="U474" s="1354"/>
      <c r="V474" s="1354"/>
      <c r="W474" s="1354"/>
      <c r="X474" s="1354"/>
      <c r="Y474" s="1354"/>
      <c r="Z474" s="1354"/>
    </row>
    <row r="475" spans="10:26" s="1961" customFormat="1" ht="21.75" customHeight="1">
      <c r="J475" s="1354"/>
      <c r="K475" s="1354"/>
      <c r="L475" s="1354"/>
      <c r="M475" s="1354"/>
      <c r="N475" s="1354"/>
      <c r="O475" s="1354"/>
      <c r="P475" s="1354"/>
      <c r="Q475" s="1354"/>
      <c r="R475" s="1354"/>
      <c r="S475" s="1354"/>
      <c r="T475" s="1354"/>
      <c r="U475" s="1354"/>
      <c r="V475" s="1354"/>
      <c r="W475" s="1354"/>
      <c r="X475" s="1354"/>
      <c r="Y475" s="1354"/>
      <c r="Z475" s="1354"/>
    </row>
    <row r="476" spans="10:26" s="1961" customFormat="1" ht="21.75" customHeight="1">
      <c r="J476" s="1354"/>
      <c r="K476" s="1354"/>
      <c r="L476" s="1354"/>
      <c r="M476" s="1354"/>
      <c r="N476" s="1354"/>
      <c r="O476" s="1354"/>
      <c r="P476" s="1354"/>
      <c r="Q476" s="1354"/>
      <c r="R476" s="1354"/>
      <c r="S476" s="1354"/>
      <c r="T476" s="1354"/>
      <c r="U476" s="1354"/>
      <c r="V476" s="1354"/>
      <c r="W476" s="1354"/>
      <c r="X476" s="1354"/>
      <c r="Y476" s="1354"/>
      <c r="Z476" s="1354"/>
    </row>
    <row r="477" spans="10:26" s="1961" customFormat="1" ht="21.75" customHeight="1">
      <c r="J477" s="1354"/>
      <c r="K477" s="1354"/>
      <c r="L477" s="1354"/>
      <c r="M477" s="1354"/>
      <c r="N477" s="1354"/>
      <c r="O477" s="1354"/>
      <c r="P477" s="1354"/>
      <c r="Q477" s="1354"/>
      <c r="R477" s="1354"/>
      <c r="S477" s="1354"/>
      <c r="T477" s="1354"/>
      <c r="U477" s="1354"/>
      <c r="V477" s="1354"/>
      <c r="W477" s="1354"/>
      <c r="X477" s="1354"/>
      <c r="Y477" s="1354"/>
      <c r="Z477" s="1354"/>
    </row>
    <row r="478" spans="10:26" s="1961" customFormat="1" ht="21.75" customHeight="1">
      <c r="J478" s="1354"/>
      <c r="K478" s="1354"/>
      <c r="L478" s="1354"/>
      <c r="M478" s="1354"/>
      <c r="N478" s="1354"/>
      <c r="O478" s="1354"/>
      <c r="P478" s="1354"/>
      <c r="Q478" s="1354"/>
      <c r="R478" s="1354"/>
      <c r="S478" s="1354"/>
      <c r="T478" s="1354"/>
      <c r="U478" s="1354"/>
      <c r="V478" s="1354"/>
      <c r="W478" s="1354"/>
      <c r="X478" s="1354"/>
      <c r="Y478" s="1354"/>
      <c r="Z478" s="1354"/>
    </row>
    <row r="479" spans="10:26" s="1961" customFormat="1" ht="21.75" customHeight="1">
      <c r="J479" s="1354"/>
      <c r="K479" s="1354"/>
      <c r="L479" s="1354"/>
      <c r="M479" s="1354"/>
      <c r="N479" s="1354"/>
      <c r="O479" s="1354"/>
      <c r="P479" s="1354"/>
      <c r="Q479" s="1354"/>
      <c r="R479" s="1354"/>
      <c r="S479" s="1354"/>
      <c r="T479" s="1354"/>
      <c r="U479" s="1354"/>
      <c r="V479" s="1354"/>
      <c r="W479" s="1354"/>
      <c r="X479" s="1354"/>
      <c r="Y479" s="1354"/>
      <c r="Z479" s="1354"/>
    </row>
    <row r="480" spans="10:26" s="1961" customFormat="1" ht="21.75" customHeight="1">
      <c r="J480" s="1354"/>
      <c r="K480" s="1354"/>
      <c r="L480" s="1354"/>
      <c r="M480" s="1354"/>
      <c r="N480" s="1354"/>
      <c r="O480" s="1354"/>
      <c r="P480" s="1354"/>
      <c r="Q480" s="1354"/>
      <c r="R480" s="1354"/>
      <c r="S480" s="1354"/>
      <c r="T480" s="1354"/>
      <c r="U480" s="1354"/>
      <c r="V480" s="1354"/>
      <c r="W480" s="1354"/>
      <c r="X480" s="1354"/>
      <c r="Y480" s="1354"/>
      <c r="Z480" s="1354"/>
    </row>
    <row r="481" spans="10:26" s="1961" customFormat="1" ht="21.75" customHeight="1">
      <c r="J481" s="1354"/>
      <c r="K481" s="1354"/>
      <c r="L481" s="1354"/>
      <c r="M481" s="1354"/>
      <c r="N481" s="1354"/>
      <c r="O481" s="1354"/>
      <c r="P481" s="1354"/>
      <c r="Q481" s="1354"/>
      <c r="R481" s="1354"/>
      <c r="S481" s="1354"/>
      <c r="T481" s="1354"/>
      <c r="U481" s="1354"/>
      <c r="V481" s="1354"/>
      <c r="W481" s="1354"/>
      <c r="X481" s="1354"/>
      <c r="Y481" s="1354"/>
      <c r="Z481" s="1354"/>
    </row>
    <row r="482" spans="10:26" s="1961" customFormat="1" ht="21.75" customHeight="1">
      <c r="J482" s="1354"/>
      <c r="K482" s="1354"/>
      <c r="L482" s="1354"/>
      <c r="M482" s="1354"/>
      <c r="N482" s="1354"/>
      <c r="O482" s="1354"/>
      <c r="P482" s="1354"/>
      <c r="Q482" s="1354"/>
      <c r="R482" s="1354"/>
      <c r="S482" s="1354"/>
      <c r="T482" s="1354"/>
      <c r="U482" s="1354"/>
      <c r="V482" s="1354"/>
      <c r="W482" s="1354"/>
      <c r="X482" s="1354"/>
      <c r="Y482" s="1354"/>
      <c r="Z482" s="1354"/>
    </row>
    <row r="483" spans="10:26" s="1961" customFormat="1" ht="21.75" customHeight="1">
      <c r="J483" s="1354"/>
      <c r="K483" s="1354"/>
      <c r="L483" s="1354"/>
      <c r="M483" s="1354"/>
      <c r="N483" s="1354"/>
      <c r="O483" s="1354"/>
      <c r="P483" s="1354"/>
      <c r="Q483" s="1354"/>
      <c r="R483" s="1354"/>
      <c r="S483" s="1354"/>
      <c r="T483" s="1354"/>
      <c r="U483" s="1354"/>
      <c r="V483" s="1354"/>
      <c r="W483" s="1354"/>
      <c r="X483" s="1354"/>
      <c r="Y483" s="1354"/>
      <c r="Z483" s="1354"/>
    </row>
    <row r="484" spans="10:26" s="1961" customFormat="1" ht="21.75" customHeight="1">
      <c r="J484" s="1354"/>
      <c r="K484" s="1354"/>
      <c r="L484" s="1354"/>
      <c r="M484" s="1354"/>
      <c r="N484" s="1354"/>
      <c r="O484" s="1354"/>
      <c r="P484" s="1354"/>
      <c r="Q484" s="1354"/>
      <c r="R484" s="1354"/>
      <c r="S484" s="1354"/>
      <c r="T484" s="1354"/>
      <c r="U484" s="1354"/>
      <c r="V484" s="1354"/>
      <c r="W484" s="1354"/>
      <c r="X484" s="1354"/>
      <c r="Y484" s="1354"/>
      <c r="Z484" s="1354"/>
    </row>
    <row r="485" spans="10:26" s="1961" customFormat="1" ht="21.75" customHeight="1">
      <c r="J485" s="1354"/>
      <c r="K485" s="1354"/>
      <c r="L485" s="1354"/>
      <c r="M485" s="1354"/>
      <c r="N485" s="1354"/>
      <c r="O485" s="1354"/>
      <c r="P485" s="1354"/>
      <c r="Q485" s="1354"/>
      <c r="R485" s="1354"/>
      <c r="S485" s="1354"/>
      <c r="T485" s="1354"/>
      <c r="U485" s="1354"/>
      <c r="V485" s="1354"/>
      <c r="W485" s="1354"/>
      <c r="X485" s="1354"/>
      <c r="Y485" s="1354"/>
      <c r="Z485" s="1354"/>
    </row>
    <row r="486" spans="10:26" s="1961" customFormat="1" ht="21.75" customHeight="1">
      <c r="J486" s="1354"/>
      <c r="K486" s="1354"/>
      <c r="L486" s="1354"/>
      <c r="M486" s="1354"/>
      <c r="N486" s="1354"/>
      <c r="O486" s="1354"/>
      <c r="P486" s="1354"/>
      <c r="Q486" s="1354"/>
      <c r="R486" s="1354"/>
      <c r="S486" s="1354"/>
      <c r="T486" s="1354"/>
      <c r="U486" s="1354"/>
      <c r="V486" s="1354"/>
      <c r="W486" s="1354"/>
      <c r="X486" s="1354"/>
      <c r="Y486" s="1354"/>
      <c r="Z486" s="1354"/>
    </row>
    <row r="487" spans="10:26" s="1961" customFormat="1" ht="21.75" customHeight="1">
      <c r="J487" s="1354"/>
      <c r="K487" s="1354"/>
      <c r="L487" s="1354"/>
      <c r="M487" s="1354"/>
      <c r="N487" s="1354"/>
      <c r="O487" s="1354"/>
      <c r="P487" s="1354"/>
      <c r="Q487" s="1354"/>
      <c r="R487" s="1354"/>
      <c r="S487" s="1354"/>
      <c r="T487" s="1354"/>
      <c r="U487" s="1354"/>
      <c r="V487" s="1354"/>
      <c r="W487" s="1354"/>
      <c r="X487" s="1354"/>
      <c r="Y487" s="1354"/>
      <c r="Z487" s="1354"/>
    </row>
    <row r="488" spans="10:26" s="1961" customFormat="1" ht="21.75" customHeight="1">
      <c r="J488" s="1354"/>
      <c r="K488" s="1354"/>
      <c r="L488" s="1354"/>
      <c r="M488" s="1354"/>
      <c r="N488" s="1354"/>
      <c r="O488" s="1354"/>
      <c r="P488" s="1354"/>
      <c r="Q488" s="1354"/>
      <c r="R488" s="1354"/>
      <c r="S488" s="1354"/>
      <c r="T488" s="1354"/>
      <c r="U488" s="1354"/>
      <c r="V488" s="1354"/>
      <c r="W488" s="1354"/>
      <c r="X488" s="1354"/>
      <c r="Y488" s="1354"/>
      <c r="Z488" s="1354"/>
    </row>
    <row r="489" spans="10:26" s="1961" customFormat="1" ht="21.75" customHeight="1">
      <c r="J489" s="1354"/>
      <c r="K489" s="1354"/>
      <c r="L489" s="1354"/>
      <c r="M489" s="1354"/>
      <c r="N489" s="1354"/>
      <c r="O489" s="1354"/>
      <c r="P489" s="1354"/>
      <c r="Q489" s="1354"/>
      <c r="R489" s="1354"/>
      <c r="S489" s="1354"/>
      <c r="T489" s="1354"/>
      <c r="U489" s="1354"/>
      <c r="V489" s="1354"/>
      <c r="W489" s="1354"/>
      <c r="X489" s="1354"/>
      <c r="Y489" s="1354"/>
      <c r="Z489" s="1354"/>
    </row>
    <row r="490" spans="10:26" s="1961" customFormat="1" ht="21.75" customHeight="1">
      <c r="J490" s="1354"/>
      <c r="K490" s="1354"/>
      <c r="L490" s="1354"/>
      <c r="M490" s="1354"/>
      <c r="N490" s="1354"/>
      <c r="O490" s="1354"/>
      <c r="P490" s="1354"/>
      <c r="Q490" s="1354"/>
      <c r="R490" s="1354"/>
      <c r="S490" s="1354"/>
      <c r="T490" s="1354"/>
      <c r="U490" s="1354"/>
      <c r="V490" s="1354"/>
      <c r="W490" s="1354"/>
      <c r="X490" s="1354"/>
      <c r="Y490" s="1354"/>
      <c r="Z490" s="1354"/>
    </row>
    <row r="491" spans="10:26" s="1961" customFormat="1" ht="21.75" customHeight="1">
      <c r="J491" s="1354"/>
      <c r="K491" s="1354"/>
      <c r="L491" s="1354"/>
      <c r="M491" s="1354"/>
      <c r="N491" s="1354"/>
      <c r="O491" s="1354"/>
      <c r="P491" s="1354"/>
      <c r="Q491" s="1354"/>
      <c r="R491" s="1354"/>
      <c r="S491" s="1354"/>
      <c r="T491" s="1354"/>
      <c r="U491" s="1354"/>
      <c r="V491" s="1354"/>
      <c r="W491" s="1354"/>
      <c r="X491" s="1354"/>
      <c r="Y491" s="1354"/>
      <c r="Z491" s="1354"/>
    </row>
    <row r="492" spans="10:26" s="1961" customFormat="1" ht="21.75" customHeight="1">
      <c r="J492" s="1354"/>
      <c r="K492" s="1354"/>
      <c r="L492" s="1354"/>
      <c r="M492" s="1354"/>
      <c r="N492" s="1354"/>
      <c r="O492" s="1354"/>
      <c r="P492" s="1354"/>
      <c r="Q492" s="1354"/>
      <c r="R492" s="1354"/>
      <c r="S492" s="1354"/>
      <c r="T492" s="1354"/>
      <c r="U492" s="1354"/>
      <c r="V492" s="1354"/>
      <c r="W492" s="1354"/>
      <c r="X492" s="1354"/>
      <c r="Y492" s="1354"/>
      <c r="Z492" s="1354"/>
    </row>
    <row r="493" spans="10:26" s="1961" customFormat="1" ht="21.75" customHeight="1">
      <c r="J493" s="1354"/>
      <c r="K493" s="1354"/>
      <c r="L493" s="1354"/>
      <c r="M493" s="1354"/>
      <c r="N493" s="1354"/>
      <c r="O493" s="1354"/>
      <c r="P493" s="1354"/>
      <c r="Q493" s="1354"/>
      <c r="R493" s="1354"/>
      <c r="S493" s="1354"/>
      <c r="T493" s="1354"/>
      <c r="U493" s="1354"/>
      <c r="V493" s="1354"/>
      <c r="W493" s="1354"/>
      <c r="X493" s="1354"/>
      <c r="Y493" s="1354"/>
      <c r="Z493" s="1354"/>
    </row>
    <row r="494" spans="10:26" s="1961" customFormat="1" ht="21.75" customHeight="1">
      <c r="J494" s="1354"/>
      <c r="K494" s="1354"/>
      <c r="L494" s="1354"/>
      <c r="M494" s="1354"/>
      <c r="N494" s="1354"/>
      <c r="O494" s="1354"/>
      <c r="P494" s="1354"/>
      <c r="Q494" s="1354"/>
      <c r="R494" s="1354"/>
      <c r="S494" s="1354"/>
      <c r="T494" s="1354"/>
      <c r="U494" s="1354"/>
      <c r="V494" s="1354"/>
      <c r="W494" s="1354"/>
      <c r="X494" s="1354"/>
      <c r="Y494" s="1354"/>
      <c r="Z494" s="1354"/>
    </row>
    <row r="495" spans="10:26" s="1961" customFormat="1" ht="21.75" customHeight="1">
      <c r="J495" s="1354"/>
      <c r="K495" s="1354"/>
      <c r="L495" s="1354"/>
      <c r="M495" s="1354"/>
      <c r="N495" s="1354"/>
      <c r="O495" s="1354"/>
      <c r="P495" s="1354"/>
      <c r="Q495" s="1354"/>
      <c r="R495" s="1354"/>
      <c r="S495" s="1354"/>
      <c r="T495" s="1354"/>
      <c r="U495" s="1354"/>
      <c r="V495" s="1354"/>
      <c r="W495" s="1354"/>
      <c r="X495" s="1354"/>
      <c r="Y495" s="1354"/>
      <c r="Z495" s="1354"/>
    </row>
    <row r="496" spans="10:26" s="1961" customFormat="1" ht="21.75" customHeight="1">
      <c r="J496" s="1354"/>
      <c r="K496" s="1354"/>
      <c r="L496" s="1354"/>
      <c r="M496" s="1354"/>
      <c r="N496" s="1354"/>
      <c r="O496" s="1354"/>
      <c r="P496" s="1354"/>
      <c r="Q496" s="1354"/>
      <c r="R496" s="1354"/>
      <c r="S496" s="1354"/>
      <c r="T496" s="1354"/>
      <c r="U496" s="1354"/>
      <c r="V496" s="1354"/>
      <c r="W496" s="1354"/>
      <c r="X496" s="1354"/>
      <c r="Y496" s="1354"/>
      <c r="Z496" s="1354"/>
    </row>
    <row r="497" spans="10:26" s="1961" customFormat="1" ht="21.75" customHeight="1">
      <c r="J497" s="1354"/>
      <c r="K497" s="1354"/>
      <c r="L497" s="1354"/>
      <c r="M497" s="1354"/>
      <c r="N497" s="1354"/>
      <c r="O497" s="1354"/>
      <c r="P497" s="1354"/>
      <c r="Q497" s="1354"/>
      <c r="R497" s="1354"/>
      <c r="S497" s="1354"/>
      <c r="T497" s="1354"/>
      <c r="U497" s="1354"/>
      <c r="V497" s="1354"/>
      <c r="W497" s="1354"/>
      <c r="X497" s="1354"/>
      <c r="Y497" s="1354"/>
      <c r="Z497" s="1354"/>
    </row>
    <row r="498" spans="10:26" s="1961" customFormat="1" ht="21.75" customHeight="1">
      <c r="J498" s="1354"/>
      <c r="K498" s="1354"/>
      <c r="L498" s="1354"/>
      <c r="M498" s="1354"/>
      <c r="N498" s="1354"/>
      <c r="O498" s="1354"/>
      <c r="P498" s="1354"/>
      <c r="Q498" s="1354"/>
      <c r="R498" s="1354"/>
      <c r="S498" s="1354"/>
      <c r="T498" s="1354"/>
      <c r="U498" s="1354"/>
      <c r="V498" s="1354"/>
      <c r="W498" s="1354"/>
      <c r="X498" s="1354"/>
      <c r="Y498" s="1354"/>
      <c r="Z498" s="1354"/>
    </row>
    <row r="499" spans="10:26" s="1961" customFormat="1" ht="21.75" customHeight="1">
      <c r="J499" s="1354"/>
      <c r="K499" s="1354"/>
      <c r="L499" s="1354"/>
      <c r="M499" s="1354"/>
      <c r="N499" s="1354"/>
      <c r="O499" s="1354"/>
      <c r="P499" s="1354"/>
      <c r="Q499" s="1354"/>
      <c r="R499" s="1354"/>
      <c r="S499" s="1354"/>
      <c r="T499" s="1354"/>
      <c r="U499" s="1354"/>
      <c r="V499" s="1354"/>
      <c r="W499" s="1354"/>
      <c r="X499" s="1354"/>
      <c r="Y499" s="1354"/>
      <c r="Z499" s="1354"/>
    </row>
    <row r="500" spans="10:26" s="1961" customFormat="1" ht="21.75" customHeight="1">
      <c r="J500" s="1354"/>
      <c r="K500" s="1354"/>
      <c r="L500" s="1354"/>
      <c r="M500" s="1354"/>
      <c r="N500" s="1354"/>
      <c r="O500" s="1354"/>
      <c r="P500" s="1354"/>
      <c r="Q500" s="1354"/>
      <c r="R500" s="1354"/>
      <c r="S500" s="1354"/>
      <c r="T500" s="1354"/>
      <c r="U500" s="1354"/>
      <c r="V500" s="1354"/>
      <c r="W500" s="1354"/>
      <c r="X500" s="1354"/>
      <c r="Y500" s="1354"/>
      <c r="Z500" s="1354"/>
    </row>
    <row r="501" spans="10:26" s="1961" customFormat="1" ht="21.75" customHeight="1">
      <c r="J501" s="1354"/>
      <c r="K501" s="1354"/>
      <c r="L501" s="1354"/>
      <c r="M501" s="1354"/>
      <c r="N501" s="1354"/>
      <c r="O501" s="1354"/>
      <c r="P501" s="1354"/>
      <c r="Q501" s="1354"/>
      <c r="R501" s="1354"/>
      <c r="S501" s="1354"/>
      <c r="T501" s="1354"/>
      <c r="U501" s="1354"/>
      <c r="V501" s="1354"/>
      <c r="W501" s="1354"/>
      <c r="X501" s="1354"/>
      <c r="Y501" s="1354"/>
      <c r="Z501" s="1354"/>
    </row>
    <row r="502" spans="10:26" s="1961" customFormat="1" ht="21.75" customHeight="1">
      <c r="J502" s="1354"/>
      <c r="K502" s="1354"/>
      <c r="L502" s="1354"/>
      <c r="M502" s="1354"/>
      <c r="N502" s="1354"/>
      <c r="O502" s="1354"/>
      <c r="P502" s="1354"/>
      <c r="Q502" s="1354"/>
      <c r="R502" s="1354"/>
      <c r="S502" s="1354"/>
      <c r="T502" s="1354"/>
      <c r="U502" s="1354"/>
      <c r="V502" s="1354"/>
      <c r="W502" s="1354"/>
      <c r="X502" s="1354"/>
      <c r="Y502" s="1354"/>
      <c r="Z502" s="1354"/>
    </row>
    <row r="503" spans="10:26" s="1961" customFormat="1" ht="21.75" customHeight="1">
      <c r="J503" s="1354"/>
      <c r="K503" s="1354"/>
      <c r="L503" s="1354"/>
      <c r="M503" s="1354"/>
      <c r="N503" s="1354"/>
      <c r="O503" s="1354"/>
      <c r="P503" s="1354"/>
      <c r="Q503" s="1354"/>
      <c r="R503" s="1354"/>
      <c r="S503" s="1354"/>
      <c r="T503" s="1354"/>
      <c r="U503" s="1354"/>
      <c r="V503" s="1354"/>
      <c r="W503" s="1354"/>
      <c r="X503" s="1354"/>
      <c r="Y503" s="1354"/>
      <c r="Z503" s="1354"/>
    </row>
    <row r="504" spans="10:26" s="1961" customFormat="1" ht="21.75" customHeight="1">
      <c r="J504" s="1354"/>
      <c r="K504" s="1354"/>
      <c r="L504" s="1354"/>
      <c r="M504" s="1354"/>
      <c r="N504" s="1354"/>
      <c r="O504" s="1354"/>
      <c r="P504" s="1354"/>
      <c r="Q504" s="1354"/>
      <c r="R504" s="1354"/>
      <c r="S504" s="1354"/>
      <c r="T504" s="1354"/>
      <c r="U504" s="1354"/>
      <c r="V504" s="1354"/>
      <c r="W504" s="1354"/>
      <c r="X504" s="1354"/>
      <c r="Y504" s="1354"/>
      <c r="Z504" s="1354"/>
    </row>
    <row r="505" spans="10:26" s="1961" customFormat="1" ht="21.75" customHeight="1">
      <c r="J505" s="1354"/>
      <c r="K505" s="1354"/>
      <c r="L505" s="1354"/>
      <c r="M505" s="1354"/>
      <c r="N505" s="1354"/>
      <c r="O505" s="1354"/>
      <c r="P505" s="1354"/>
      <c r="Q505" s="1354"/>
      <c r="R505" s="1354"/>
      <c r="S505" s="1354"/>
      <c r="T505" s="1354"/>
      <c r="U505" s="1354"/>
      <c r="V505" s="1354"/>
      <c r="W505" s="1354"/>
      <c r="X505" s="1354"/>
      <c r="Y505" s="1354"/>
      <c r="Z505" s="1354"/>
    </row>
    <row r="506" spans="10:26" s="1961" customFormat="1" ht="21.75" customHeight="1">
      <c r="J506" s="1354"/>
      <c r="K506" s="1354"/>
      <c r="L506" s="1354"/>
      <c r="M506" s="1354"/>
      <c r="N506" s="1354"/>
      <c r="O506" s="1354"/>
      <c r="P506" s="1354"/>
      <c r="Q506" s="1354"/>
      <c r="R506" s="1354"/>
      <c r="S506" s="1354"/>
      <c r="T506" s="1354"/>
      <c r="U506" s="1354"/>
      <c r="V506" s="1354"/>
      <c r="W506" s="1354"/>
      <c r="X506" s="1354"/>
      <c r="Y506" s="1354"/>
      <c r="Z506" s="1354"/>
    </row>
    <row r="507" spans="10:26" s="1961" customFormat="1" ht="21.75" customHeight="1">
      <c r="J507" s="1354"/>
      <c r="K507" s="1354"/>
      <c r="L507" s="1354"/>
      <c r="M507" s="1354"/>
      <c r="N507" s="1354"/>
      <c r="O507" s="1354"/>
      <c r="P507" s="1354"/>
      <c r="Q507" s="1354"/>
      <c r="R507" s="1354"/>
      <c r="S507" s="1354"/>
      <c r="T507" s="1354"/>
      <c r="U507" s="1354"/>
      <c r="V507" s="1354"/>
      <c r="W507" s="1354"/>
      <c r="X507" s="1354"/>
      <c r="Y507" s="1354"/>
      <c r="Z507" s="1354"/>
    </row>
    <row r="508" spans="10:26" s="1961" customFormat="1" ht="21.75" customHeight="1">
      <c r="J508" s="1354"/>
      <c r="K508" s="1354"/>
      <c r="L508" s="1354"/>
      <c r="M508" s="1354"/>
      <c r="N508" s="1354"/>
      <c r="O508" s="1354"/>
      <c r="P508" s="1354"/>
      <c r="Q508" s="1354"/>
      <c r="R508" s="1354"/>
      <c r="S508" s="1354"/>
      <c r="T508" s="1354"/>
      <c r="U508" s="1354"/>
      <c r="V508" s="1354"/>
      <c r="W508" s="1354"/>
      <c r="X508" s="1354"/>
      <c r="Y508" s="1354"/>
      <c r="Z508" s="1354"/>
    </row>
    <row r="509" spans="10:26" s="1961" customFormat="1" ht="21.75" customHeight="1">
      <c r="J509" s="1354"/>
      <c r="K509" s="1354"/>
      <c r="L509" s="1354"/>
      <c r="M509" s="1354"/>
      <c r="N509" s="1354"/>
      <c r="O509" s="1354"/>
      <c r="P509" s="1354"/>
      <c r="Q509" s="1354"/>
      <c r="R509" s="1354"/>
      <c r="S509" s="1354"/>
      <c r="T509" s="1354"/>
      <c r="U509" s="1354"/>
      <c r="V509" s="1354"/>
      <c r="W509" s="1354"/>
      <c r="X509" s="1354"/>
      <c r="Y509" s="1354"/>
      <c r="Z509" s="1354"/>
    </row>
    <row r="510" spans="10:26" s="1961" customFormat="1" ht="21.75" customHeight="1">
      <c r="J510" s="1354"/>
      <c r="K510" s="1354"/>
      <c r="L510" s="1354"/>
      <c r="M510" s="1354"/>
      <c r="N510" s="1354"/>
      <c r="O510" s="1354"/>
      <c r="P510" s="1354"/>
      <c r="Q510" s="1354"/>
      <c r="R510" s="1354"/>
      <c r="S510" s="1354"/>
      <c r="T510" s="1354"/>
      <c r="U510" s="1354"/>
      <c r="V510" s="1354"/>
      <c r="W510" s="1354"/>
      <c r="X510" s="1354"/>
      <c r="Y510" s="1354"/>
      <c r="Z510" s="1354"/>
    </row>
    <row r="511" spans="10:26" s="1961" customFormat="1" ht="21.75" customHeight="1">
      <c r="J511" s="1354"/>
      <c r="K511" s="1354"/>
      <c r="L511" s="1354"/>
      <c r="M511" s="1354"/>
      <c r="N511" s="1354"/>
      <c r="O511" s="1354"/>
      <c r="P511" s="1354"/>
      <c r="Q511" s="1354"/>
      <c r="R511" s="1354"/>
      <c r="S511" s="1354"/>
      <c r="T511" s="1354"/>
      <c r="U511" s="1354"/>
      <c r="V511" s="1354"/>
      <c r="W511" s="1354"/>
      <c r="X511" s="1354"/>
      <c r="Y511" s="1354"/>
      <c r="Z511" s="1354"/>
    </row>
    <row r="512" spans="10:26" s="1961" customFormat="1" ht="21.75" customHeight="1">
      <c r="J512" s="1354"/>
      <c r="K512" s="1354"/>
      <c r="L512" s="1354"/>
      <c r="M512" s="1354"/>
      <c r="N512" s="1354"/>
      <c r="O512" s="1354"/>
      <c r="P512" s="1354"/>
      <c r="Q512" s="1354"/>
      <c r="R512" s="1354"/>
      <c r="S512" s="1354"/>
      <c r="T512" s="1354"/>
      <c r="U512" s="1354"/>
      <c r="V512" s="1354"/>
      <c r="W512" s="1354"/>
      <c r="X512" s="1354"/>
      <c r="Y512" s="1354"/>
      <c r="Z512" s="1354"/>
    </row>
    <row r="513" spans="6:26" s="1961" customFormat="1" ht="21.75" customHeight="1">
      <c r="J513" s="1354"/>
      <c r="K513" s="1354"/>
      <c r="L513" s="1354"/>
      <c r="M513" s="1354"/>
      <c r="N513" s="1354"/>
      <c r="O513" s="1354"/>
      <c r="P513" s="1354"/>
      <c r="Q513" s="1354"/>
      <c r="R513" s="1354"/>
      <c r="S513" s="1354"/>
      <c r="T513" s="1354"/>
      <c r="U513" s="1354"/>
      <c r="V513" s="1354"/>
      <c r="W513" s="1354"/>
      <c r="X513" s="1354"/>
      <c r="Y513" s="1354"/>
      <c r="Z513" s="1354"/>
    </row>
    <row r="514" spans="6:26" s="1961" customFormat="1" ht="21.75" customHeight="1">
      <c r="J514" s="1354"/>
      <c r="K514" s="1354"/>
      <c r="L514" s="1354"/>
      <c r="M514" s="1354"/>
      <c r="N514" s="1354"/>
      <c r="O514" s="1354"/>
      <c r="P514" s="1354"/>
      <c r="Q514" s="1354"/>
      <c r="R514" s="1354"/>
      <c r="S514" s="1354"/>
      <c r="T514" s="1354"/>
      <c r="U514" s="1354"/>
      <c r="V514" s="1354"/>
      <c r="W514" s="1354"/>
      <c r="X514" s="1354"/>
      <c r="Y514" s="1354"/>
      <c r="Z514" s="1354"/>
    </row>
    <row r="515" spans="6:26" s="1961" customFormat="1" ht="21.75" customHeight="1">
      <c r="J515" s="1354"/>
      <c r="K515" s="1354"/>
      <c r="L515" s="1354"/>
      <c r="M515" s="1354"/>
      <c r="N515" s="1354"/>
      <c r="O515" s="1354"/>
      <c r="P515" s="1354"/>
      <c r="Q515" s="1354"/>
      <c r="R515" s="1354"/>
      <c r="S515" s="1354"/>
      <c r="T515" s="1354"/>
      <c r="U515" s="1354"/>
      <c r="V515" s="1354"/>
      <c r="W515" s="1354"/>
      <c r="X515" s="1354"/>
      <c r="Y515" s="1354"/>
      <c r="Z515" s="1354"/>
    </row>
    <row r="516" spans="6:26" s="1961" customFormat="1" ht="21.75" customHeight="1">
      <c r="F516" s="1962"/>
      <c r="G516" s="1962"/>
      <c r="H516" s="1962"/>
      <c r="I516" s="1962"/>
      <c r="J516" s="1354"/>
      <c r="K516" s="1354"/>
      <c r="L516" s="1354"/>
      <c r="M516" s="1354"/>
      <c r="N516" s="1354"/>
      <c r="O516" s="1354"/>
      <c r="P516" s="1354"/>
      <c r="Q516" s="1354"/>
      <c r="R516" s="1354"/>
      <c r="S516" s="1354"/>
      <c r="T516" s="1354"/>
      <c r="U516" s="1354"/>
      <c r="V516" s="1354"/>
      <c r="W516" s="1354"/>
      <c r="X516" s="1354"/>
      <c r="Y516" s="1354"/>
      <c r="Z516" s="1354"/>
    </row>
  </sheetData>
  <sheetProtection password="C66D" sheet="1" objects="1" scenarios="1" formatCells="0" formatColumns="0" formatRows="0"/>
  <mergeCells count="136">
    <mergeCell ref="F117:I117"/>
    <mergeCell ref="A118:I118"/>
    <mergeCell ref="D119:E119"/>
    <mergeCell ref="F119:G119"/>
    <mergeCell ref="A128:C128"/>
    <mergeCell ref="D128:I128"/>
    <mergeCell ref="A124:C124"/>
    <mergeCell ref="D124:I124"/>
    <mergeCell ref="A125:C125"/>
    <mergeCell ref="D125:I125"/>
    <mergeCell ref="A126:C126"/>
    <mergeCell ref="D126:I126"/>
    <mergeCell ref="A127:C127"/>
    <mergeCell ref="D127:I127"/>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H119:I119"/>
    <mergeCell ref="A122:C122"/>
    <mergeCell ref="D122:E122"/>
    <mergeCell ref="F122:G122"/>
    <mergeCell ref="H122:I122"/>
    <mergeCell ref="C119:C120"/>
    <mergeCell ref="F106:G106"/>
    <mergeCell ref="F107:G107"/>
    <mergeCell ref="A108:B108"/>
    <mergeCell ref="F108:G108"/>
    <mergeCell ref="A109:B109"/>
    <mergeCell ref="F109:G109"/>
    <mergeCell ref="H109:I109"/>
    <mergeCell ref="A110:B110"/>
    <mergeCell ref="A111:B111"/>
    <mergeCell ref="F114:G115"/>
    <mergeCell ref="A112:B113"/>
    <mergeCell ref="A114:B115"/>
    <mergeCell ref="A116:B117"/>
    <mergeCell ref="A106:B107"/>
    <mergeCell ref="F110:G111"/>
    <mergeCell ref="F112:G113"/>
    <mergeCell ref="F116:G116"/>
    <mergeCell ref="H116:I116"/>
    <mergeCell ref="A100:B100"/>
    <mergeCell ref="F100:G100"/>
    <mergeCell ref="H100:I100"/>
    <mergeCell ref="F101:G101"/>
    <mergeCell ref="H101:I101"/>
    <mergeCell ref="F104:G104"/>
    <mergeCell ref="H104:I104"/>
    <mergeCell ref="A105:D105"/>
    <mergeCell ref="F105:G105"/>
    <mergeCell ref="F102:G103"/>
    <mergeCell ref="E76:H76"/>
    <mergeCell ref="E78:H78"/>
    <mergeCell ref="A83:H83"/>
    <mergeCell ref="A84:B84"/>
    <mergeCell ref="E91:G91"/>
    <mergeCell ref="E92:H92"/>
    <mergeCell ref="E93:H93"/>
    <mergeCell ref="E94:H94"/>
    <mergeCell ref="A99:D99"/>
    <mergeCell ref="F99:I99"/>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205"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D119:E119">
      <formula1>"出让国有建设用地使用权价值,划拨国有建设用地使用权价值"</formula1>
    </dataValidation>
    <dataValidation type="list" allowBlank="1" showInputMessage="1" showErrorMessage="1" sqref="C4:D4">
      <formula1>估价方法</formula1>
    </dataValidation>
    <dataValidation type="list" allowBlank="1" showInputMessage="1" showErrorMessage="1" sqref="H48">
      <formula1>"情况1,情况2,情况3,情况4"</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zoomScaleNormal="100" zoomScaleSheetLayoutView="100" workbookViewId="0">
      <selection activeCell="D4" sqref="D4"/>
    </sheetView>
  </sheetViews>
  <sheetFormatPr defaultColWidth="12.625" defaultRowHeight="21.75" customHeight="1"/>
  <cols>
    <col min="1" max="1" width="12.625" style="1962"/>
    <col min="2" max="2" width="17.625" style="1962" customWidth="1"/>
    <col min="3" max="4" width="12.625" style="1962" customWidth="1"/>
    <col min="5" max="9" width="12.625" style="1962"/>
    <col min="10" max="11" width="12.625" style="1354" customWidth="1"/>
    <col min="12" max="12" width="12.625" style="1354"/>
    <col min="13" max="13" width="14.125" style="1354" customWidth="1"/>
    <col min="14" max="26" width="12.625" style="1354"/>
    <col min="27" max="35" width="12.625" style="1961"/>
    <col min="36" max="16384" width="12.625" style="1962"/>
  </cols>
  <sheetData>
    <row r="1" spans="1:12" ht="21.75" customHeight="1">
      <c r="A1" s="1963" t="s">
        <v>605</v>
      </c>
      <c r="B1" s="1964"/>
      <c r="C1" s="1964"/>
      <c r="D1" s="1964"/>
      <c r="E1" s="1964"/>
      <c r="F1" s="1964"/>
      <c r="G1" s="1964"/>
      <c r="H1" s="1964"/>
      <c r="I1" s="1964"/>
    </row>
    <row r="2" spans="1:12" ht="21.75" customHeight="1">
      <c r="A2" s="2966" t="s">
        <v>817</v>
      </c>
      <c r="B2" s="2966"/>
      <c r="C2" s="2966"/>
      <c r="D2" s="2966"/>
      <c r="E2" s="2966"/>
      <c r="F2" s="2966"/>
      <c r="G2" s="2966"/>
      <c r="H2" s="2966"/>
      <c r="I2" s="2966"/>
    </row>
    <row r="3" spans="1:12" ht="12.75">
      <c r="A3" s="2840" t="s">
        <v>606</v>
      </c>
      <c r="B3" s="2841"/>
      <c r="C3" s="2841"/>
      <c r="D3" s="2841"/>
      <c r="E3" s="2841"/>
      <c r="F3" s="2841"/>
      <c r="G3" s="2841"/>
      <c r="H3" s="2841"/>
      <c r="I3" s="2841"/>
    </row>
    <row r="4" spans="1:12" ht="14.25">
      <c r="A4" s="1965" t="s">
        <v>607</v>
      </c>
      <c r="B4" s="1966" t="s">
        <v>608</v>
      </c>
      <c r="C4" s="1967" t="s">
        <v>818</v>
      </c>
      <c r="D4" s="1967" t="s">
        <v>818</v>
      </c>
      <c r="E4" s="2842" t="s">
        <v>611</v>
      </c>
      <c r="F4" s="2843"/>
      <c r="G4" s="2843"/>
      <c r="H4" s="2843"/>
      <c r="I4" s="2844"/>
      <c r="K4" s="19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4" t="s">
        <v>612</v>
      </c>
      <c r="B5" s="2900">
        <v>25</v>
      </c>
      <c r="C5" s="2854"/>
      <c r="D5" s="2857"/>
      <c r="E5" s="1611" t="s">
        <v>613</v>
      </c>
      <c r="F5" s="1968"/>
      <c r="G5" s="1968"/>
      <c r="H5" s="1968"/>
      <c r="I5" s="2088"/>
    </row>
    <row r="6" spans="1:12" ht="12.75">
      <c r="A6" s="2924"/>
      <c r="B6" s="2900"/>
      <c r="C6" s="2856"/>
      <c r="D6" s="2857"/>
      <c r="E6" s="1611" t="s">
        <v>614</v>
      </c>
      <c r="F6" s="1968"/>
      <c r="G6" s="1968"/>
      <c r="H6" s="1968"/>
      <c r="I6" s="2088"/>
    </row>
    <row r="7" spans="1:12" ht="12.75">
      <c r="A7" s="2924"/>
      <c r="B7" s="2900"/>
      <c r="C7" s="2855"/>
      <c r="D7" s="2857"/>
      <c r="E7" s="1611" t="s">
        <v>615</v>
      </c>
      <c r="F7" s="1968"/>
      <c r="G7" s="1968"/>
      <c r="H7" s="1968"/>
      <c r="I7" s="2088"/>
    </row>
    <row r="8" spans="1:12" ht="12.75">
      <c r="A8" s="2924" t="s">
        <v>616</v>
      </c>
      <c r="B8" s="2900">
        <v>15</v>
      </c>
      <c r="C8" s="2854"/>
      <c r="D8" s="2857"/>
      <c r="E8" s="1611" t="s">
        <v>617</v>
      </c>
      <c r="F8" s="1968"/>
      <c r="G8" s="1968"/>
      <c r="H8" s="1968"/>
      <c r="I8" s="2088"/>
    </row>
    <row r="9" spans="1:12" ht="12.75">
      <c r="A9" s="2924"/>
      <c r="B9" s="2900"/>
      <c r="C9" s="2855"/>
      <c r="D9" s="2857"/>
      <c r="E9" s="1611" t="s">
        <v>618</v>
      </c>
      <c r="F9" s="1968"/>
      <c r="G9" s="1968"/>
      <c r="H9" s="1968"/>
      <c r="I9" s="2088"/>
    </row>
    <row r="10" spans="1:12" ht="12.75">
      <c r="A10" s="2924" t="s">
        <v>619</v>
      </c>
      <c r="B10" s="2900">
        <v>15</v>
      </c>
      <c r="C10" s="2854"/>
      <c r="D10" s="2857"/>
      <c r="E10" s="1611" t="s">
        <v>620</v>
      </c>
      <c r="F10" s="1968"/>
      <c r="G10" s="1968"/>
      <c r="H10" s="1968"/>
      <c r="I10" s="2088"/>
    </row>
    <row r="11" spans="1:12" ht="12.75">
      <c r="A11" s="2924"/>
      <c r="B11" s="2900"/>
      <c r="C11" s="2855"/>
      <c r="D11" s="2857"/>
      <c r="E11" s="1611" t="s">
        <v>621</v>
      </c>
      <c r="F11" s="1968"/>
      <c r="G11" s="1968"/>
      <c r="H11" s="1968"/>
      <c r="I11" s="2088"/>
    </row>
    <row r="12" spans="1:12" ht="12.75">
      <c r="A12" s="2924" t="s">
        <v>622</v>
      </c>
      <c r="B12" s="2900">
        <v>15</v>
      </c>
      <c r="C12" s="2854"/>
      <c r="D12" s="2857"/>
      <c r="E12" s="1611" t="s">
        <v>623</v>
      </c>
      <c r="F12" s="1968"/>
      <c r="G12" s="1968"/>
      <c r="H12" s="1968"/>
      <c r="I12" s="2088"/>
    </row>
    <row r="13" spans="1:12" ht="12.75">
      <c r="A13" s="2924"/>
      <c r="B13" s="2900"/>
      <c r="C13" s="2855"/>
      <c r="D13" s="2857"/>
      <c r="E13" s="1611" t="s">
        <v>624</v>
      </c>
      <c r="F13" s="1968"/>
      <c r="G13" s="1968"/>
      <c r="H13" s="1968"/>
      <c r="I13" s="2088"/>
    </row>
    <row r="14" spans="1:12" ht="12.75">
      <c r="A14" s="2924" t="s">
        <v>625</v>
      </c>
      <c r="B14" s="2900">
        <v>30</v>
      </c>
      <c r="C14" s="2854">
        <v>1</v>
      </c>
      <c r="D14" s="2857"/>
      <c r="E14" s="1611" t="s">
        <v>626</v>
      </c>
      <c r="F14" s="1968"/>
      <c r="G14" s="1968"/>
      <c r="H14" s="1968"/>
      <c r="I14" s="2088"/>
    </row>
    <row r="15" spans="1:12" ht="12.75">
      <c r="A15" s="2924"/>
      <c r="B15" s="2900"/>
      <c r="C15" s="2856"/>
      <c r="D15" s="2857"/>
      <c r="E15" s="1611" t="s">
        <v>627</v>
      </c>
      <c r="F15" s="1968"/>
      <c r="G15" s="1968"/>
      <c r="H15" s="1968"/>
      <c r="I15" s="2088"/>
    </row>
    <row r="16" spans="1:12" ht="12.75">
      <c r="A16" s="2924"/>
      <c r="B16" s="2900"/>
      <c r="C16" s="2855"/>
      <c r="D16" s="2857"/>
      <c r="E16" s="1611" t="s">
        <v>628</v>
      </c>
      <c r="F16" s="1968"/>
      <c r="G16" s="1968"/>
      <c r="H16" s="1968"/>
      <c r="I16" s="2088"/>
    </row>
    <row r="17" spans="1:35" ht="15">
      <c r="A17" s="1969" t="s">
        <v>629</v>
      </c>
      <c r="B17" s="1970"/>
      <c r="C17" s="1971">
        <f>SUM(C5:C16)</f>
        <v>1</v>
      </c>
      <c r="D17" s="1971">
        <f>SUM(D5:D16)</f>
        <v>0</v>
      </c>
      <c r="E17" s="1964"/>
      <c r="F17" s="1964"/>
      <c r="G17" s="1964"/>
      <c r="H17" s="1964"/>
      <c r="I17" s="1964"/>
    </row>
    <row r="18" spans="1:35" ht="15">
      <c r="A18" s="1972" t="s">
        <v>630</v>
      </c>
      <c r="B18" s="1973"/>
      <c r="C18" s="1974">
        <f>ROUND(C17/SUM(C17:D17),2)</f>
        <v>1</v>
      </c>
      <c r="D18" s="1974">
        <f>1-C18</f>
        <v>0</v>
      </c>
      <c r="E18" s="1964"/>
      <c r="F18" s="1964"/>
      <c r="G18" s="1964"/>
      <c r="H18" s="1964"/>
      <c r="I18" s="1964"/>
    </row>
    <row r="19" spans="1:35" ht="15">
      <c r="A19" s="1975" t="s">
        <v>631</v>
      </c>
      <c r="B19" s="1976" t="s">
        <v>632</v>
      </c>
      <c r="C19" s="1977">
        <f ca="1">SUMIF(INDIRECT("'"&amp;C4&amp;"'"&amp;"!A:A"),'结果表 (1修多)'!B19,INDIRECT("'"&amp;C4&amp;"'"&amp;"!B:B"))</f>
        <v>4242</v>
      </c>
      <c r="D19" s="1978">
        <f ca="1">SUMIF(INDIRECT("'"&amp;D4&amp;"'"&amp;"!A:A"),'结果表 (1修多)'!B19,INDIRECT("'"&amp;D4&amp;"'"&amp;"!B:B"))</f>
        <v>4242</v>
      </c>
      <c r="E19" s="1975" t="s">
        <v>633</v>
      </c>
      <c r="F19" s="1976" t="s">
        <v>632</v>
      </c>
      <c r="G19" s="1979">
        <f ca="1">ROUND(C19*$C$18+D19*$D$18,0)</f>
        <v>4242</v>
      </c>
      <c r="H19" s="1980" t="str">
        <f>'数据-取费表'!B3</f>
        <v>万元</v>
      </c>
      <c r="I19" s="1964"/>
    </row>
    <row r="20" spans="1:35" ht="15">
      <c r="A20" s="1981"/>
      <c r="B20" s="1982" t="s">
        <v>634</v>
      </c>
      <c r="C20" s="1059">
        <f ca="1">SUMIF(INDIRECT("'"&amp;C4&amp;"'"&amp;"!A:A"),'结果表 (1修多)'!B20,INDIRECT("'"&amp;C4&amp;"'"&amp;"!B:B"))</f>
        <v>41406</v>
      </c>
      <c r="D20" s="1313">
        <f ca="1">SUMIF(INDIRECT("'"&amp;D4&amp;"'"&amp;"!A:A"),'结果表 (1修多)'!B20,INDIRECT("'"&amp;D4&amp;"'"&amp;"!B:B"))</f>
        <v>41406</v>
      </c>
      <c r="E20" s="1981"/>
      <c r="F20" s="1982" t="s">
        <v>634</v>
      </c>
      <c r="G20" s="1983">
        <f ca="1">ROUND(C20*$C$18+D20*$D$18,0)</f>
        <v>41406</v>
      </c>
      <c r="H20" s="1984" t="s">
        <v>635</v>
      </c>
      <c r="I20" s="1964"/>
    </row>
    <row r="21" spans="1:35" ht="15" customHeight="1">
      <c r="A21" s="1985"/>
      <c r="B21" s="1986"/>
      <c r="C21" s="1987"/>
      <c r="D21" s="1988"/>
      <c r="E21" s="1985"/>
      <c r="F21" s="1986"/>
      <c r="G21" s="1989"/>
      <c r="H21" s="1990"/>
      <c r="I21" s="1964"/>
    </row>
    <row r="22" spans="1:35" ht="14.25">
      <c r="A22" s="1991" t="s">
        <v>636</v>
      </c>
      <c r="B22" s="1992"/>
      <c r="C22" s="1993"/>
      <c r="D22" s="1994">
        <f ca="1">IF(C19&lt;D19,D19/C19-1,C19/D19-1)</f>
        <v>0</v>
      </c>
      <c r="E22" s="1964"/>
      <c r="F22" s="1964"/>
      <c r="G22" s="1964"/>
      <c r="H22" s="1964"/>
      <c r="I22" s="1964"/>
    </row>
    <row r="23" spans="1:35" ht="12.75">
      <c r="A23" s="1964"/>
      <c r="B23" s="1964"/>
      <c r="C23" s="1964"/>
      <c r="D23" s="1964"/>
      <c r="E23" s="1964"/>
      <c r="F23" s="1964"/>
      <c r="G23" s="1964"/>
      <c r="H23" s="1964"/>
      <c r="I23" s="1964"/>
    </row>
    <row r="24" spans="1:35" ht="21.75" customHeight="1">
      <c r="A24" s="2925" t="s">
        <v>637</v>
      </c>
      <c r="B24" s="1976" t="s">
        <v>632</v>
      </c>
      <c r="C24" s="1979">
        <f>D30</f>
        <v>0</v>
      </c>
      <c r="D24" s="1995"/>
      <c r="E24" s="1964"/>
      <c r="F24" s="1964"/>
      <c r="G24" s="1964"/>
      <c r="H24" s="1964"/>
      <c r="I24" s="1964"/>
    </row>
    <row r="25" spans="1:35" ht="21.75" customHeight="1">
      <c r="A25" s="2926"/>
      <c r="B25" s="1982" t="s">
        <v>634</v>
      </c>
      <c r="C25" s="1996">
        <f>IF(B30=0,0,C30)</f>
        <v>0</v>
      </c>
      <c r="D25" s="1997"/>
      <c r="E25" s="1964"/>
      <c r="F25" s="1964"/>
      <c r="G25" s="1964"/>
      <c r="H25" s="1964"/>
      <c r="I25" s="1964"/>
    </row>
    <row r="26" spans="1:35" ht="13.5" customHeight="1">
      <c r="A26" s="1998" t="s">
        <v>638</v>
      </c>
      <c r="B26" s="1999" t="s">
        <v>639</v>
      </c>
      <c r="C26" s="1999" t="s">
        <v>640</v>
      </c>
      <c r="D26" s="2000" t="s">
        <v>641</v>
      </c>
      <c r="E26" s="1964"/>
      <c r="F26" s="1964"/>
      <c r="G26" s="1964"/>
      <c r="H26" s="1964"/>
      <c r="I26" s="1964"/>
    </row>
    <row r="27" spans="1:35" ht="14.25">
      <c r="A27" s="2001" t="s">
        <v>819</v>
      </c>
      <c r="B27" s="1999">
        <v>0</v>
      </c>
      <c r="C27" s="1999">
        <v>0</v>
      </c>
      <c r="D27" s="2000">
        <f>ROUND(C27*B27/10000,0)</f>
        <v>0</v>
      </c>
      <c r="E27" s="1964"/>
      <c r="F27" s="1964"/>
      <c r="G27" s="1964"/>
      <c r="H27" s="1964"/>
      <c r="I27" s="1964"/>
    </row>
    <row r="28" spans="1:35" ht="14.25">
      <c r="A28" s="1998"/>
      <c r="B28" s="1999"/>
      <c r="C28" s="1999"/>
      <c r="D28" s="2000">
        <f>ROUND(C28*B28/10000,0)</f>
        <v>0</v>
      </c>
      <c r="E28" s="1964"/>
      <c r="F28" s="1964"/>
      <c r="G28" s="1964"/>
      <c r="H28" s="1964"/>
      <c r="I28" s="1964"/>
    </row>
    <row r="29" spans="1:35" ht="14.25">
      <c r="A29" s="1998"/>
      <c r="B29" s="1999"/>
      <c r="C29" s="1999"/>
      <c r="D29" s="2000">
        <f t="shared" ref="D29" si="0">ROUND(C29*B29/10000,0)</f>
        <v>0</v>
      </c>
      <c r="E29" s="1964"/>
      <c r="F29" s="1964"/>
      <c r="G29" s="1964"/>
      <c r="H29" s="1964"/>
      <c r="I29" s="1964"/>
    </row>
    <row r="30" spans="1:35" ht="14.25">
      <c r="A30" s="2002" t="s">
        <v>642</v>
      </c>
      <c r="B30" s="2003"/>
      <c r="C30" s="2003"/>
      <c r="D30" s="2003"/>
      <c r="E30" s="2004" t="s">
        <v>820</v>
      </c>
      <c r="F30" s="1964"/>
      <c r="G30" s="1964"/>
      <c r="H30" s="1964"/>
      <c r="I30" s="1964"/>
    </row>
    <row r="31" spans="1:35" s="1959" customFormat="1" ht="15">
      <c r="A31" s="2967" t="s">
        <v>821</v>
      </c>
      <c r="B31" s="2967"/>
      <c r="C31" s="2967"/>
      <c r="D31" s="2967"/>
      <c r="E31" s="2967"/>
      <c r="F31" s="2967"/>
      <c r="G31" s="2967"/>
      <c r="H31" s="2967"/>
      <c r="I31" s="2967"/>
      <c r="J31" s="1354"/>
      <c r="K31" s="1354"/>
      <c r="L31" s="1354"/>
      <c r="M31" s="1354"/>
      <c r="N31" s="1354"/>
      <c r="O31" s="1354"/>
      <c r="P31" s="1354"/>
      <c r="Q31" s="1354"/>
      <c r="R31" s="1354"/>
      <c r="S31" s="1354"/>
      <c r="T31" s="1354"/>
      <c r="U31" s="1354"/>
      <c r="V31" s="1354"/>
      <c r="W31" s="1354"/>
      <c r="X31" s="1354"/>
      <c r="Y31" s="1354"/>
      <c r="Z31" s="1354"/>
      <c r="AA31" s="1961"/>
      <c r="AB31" s="1961"/>
      <c r="AC31" s="1961"/>
      <c r="AD31" s="1961"/>
      <c r="AE31" s="1961"/>
      <c r="AF31" s="1961"/>
      <c r="AG31" s="1961"/>
      <c r="AH31" s="1961"/>
      <c r="AI31" s="1961"/>
    </row>
    <row r="32" spans="1:35" ht="15">
      <c r="A32" s="2005"/>
      <c r="B32" s="2006" t="s">
        <v>822</v>
      </c>
      <c r="C32" s="2007">
        <f ca="1">典型户型修正!R27</f>
        <v>41724</v>
      </c>
      <c r="D32" s="1964" t="s">
        <v>635</v>
      </c>
      <c r="E32" s="1964"/>
      <c r="F32" s="1964"/>
      <c r="G32" s="1964"/>
      <c r="H32" s="1964"/>
      <c r="I32" s="1964"/>
    </row>
    <row r="33" spans="1:16" ht="15">
      <c r="A33" s="2008" t="s">
        <v>823</v>
      </c>
      <c r="B33" s="2009" t="s">
        <v>824</v>
      </c>
      <c r="C33" s="2010">
        <f ca="1">典型户型修正!B2</f>
        <v>4242</v>
      </c>
      <c r="D33" s="2011" t="str">
        <f>IF('数据-取费表'!B3="万元","万元","元")</f>
        <v>万元</v>
      </c>
      <c r="E33" s="1964"/>
      <c r="F33" s="1964"/>
      <c r="G33" s="1964"/>
      <c r="H33" s="1964"/>
      <c r="I33" s="1964"/>
    </row>
    <row r="34" spans="1:16" ht="15">
      <c r="A34" s="2012"/>
      <c r="B34" s="2013" t="s">
        <v>825</v>
      </c>
      <c r="C34" s="1988">
        <f ca="1">典型户型修正!B3</f>
        <v>41406</v>
      </c>
      <c r="D34" s="1964" t="s">
        <v>635</v>
      </c>
      <c r="E34" s="1964"/>
      <c r="F34" s="1964"/>
      <c r="G34" s="1964"/>
      <c r="H34" s="1964"/>
      <c r="I34" s="1964"/>
    </row>
    <row r="35" spans="1:16" ht="15">
      <c r="A35" s="2014"/>
      <c r="B35" s="2015" t="s">
        <v>648</v>
      </c>
      <c r="C35" s="2016">
        <f ca="1">IF('数据-取费表'!B3="万元",典型户型修正!V25,典型户型修正!U25)</f>
        <v>3545</v>
      </c>
      <c r="D35" s="1964" t="str">
        <f>D33</f>
        <v>万元</v>
      </c>
      <c r="E35" s="1964"/>
      <c r="F35" s="1964"/>
      <c r="G35" s="1964"/>
      <c r="H35" s="1964"/>
      <c r="I35" s="1964"/>
    </row>
    <row r="36" spans="1:16" ht="15">
      <c r="A36" s="2017"/>
      <c r="B36" s="2018" t="s">
        <v>650</v>
      </c>
      <c r="C36" s="2019">
        <f ca="1">IF('数据-取费表'!B3="万元",典型户型修正!Y25,典型户型修正!X25)</f>
        <v>697</v>
      </c>
      <c r="D36" s="1964" t="str">
        <f>D33</f>
        <v>万元</v>
      </c>
      <c r="E36" s="1964"/>
      <c r="F36" s="1964"/>
      <c r="G36" s="1964"/>
      <c r="H36" s="1964"/>
      <c r="I36" s="1964"/>
    </row>
    <row r="37" spans="1:16" ht="15">
      <c r="A37" s="2927" t="s">
        <v>652</v>
      </c>
      <c r="B37" s="2020" t="s">
        <v>653</v>
      </c>
      <c r="C37" s="2021"/>
      <c r="D37" s="2022"/>
      <c r="E37" s="2023"/>
      <c r="F37" s="2023"/>
      <c r="G37" s="1964"/>
      <c r="H37" s="1964"/>
      <c r="I37" s="1964"/>
    </row>
    <row r="38" spans="1:16" ht="15">
      <c r="A38" s="2928"/>
      <c r="B38" s="2024" t="s">
        <v>654</v>
      </c>
      <c r="C38" s="2025"/>
      <c r="D38" s="1973"/>
      <c r="E38" s="1973"/>
      <c r="F38" s="2023"/>
      <c r="G38" s="1973"/>
      <c r="H38" s="1973"/>
      <c r="I38" s="1973"/>
    </row>
    <row r="39" spans="1:16" ht="15">
      <c r="A39" s="2929"/>
      <c r="B39" s="2026" t="s">
        <v>655</v>
      </c>
      <c r="C39" s="2027"/>
      <c r="D39" s="2028" t="s">
        <v>656</v>
      </c>
      <c r="E39" s="1973"/>
      <c r="F39" s="2023"/>
      <c r="G39" s="1973"/>
      <c r="H39" s="1973"/>
      <c r="I39" s="1973"/>
    </row>
    <row r="40" spans="1:16" ht="15">
      <c r="A40" s="1981" t="s">
        <v>657</v>
      </c>
      <c r="B40" s="2029" t="s">
        <v>639</v>
      </c>
      <c r="C40" s="2030" t="s">
        <v>640</v>
      </c>
      <c r="D40" s="2030" t="s">
        <v>658</v>
      </c>
      <c r="E40" s="2031" t="s">
        <v>641</v>
      </c>
      <c r="F40" s="2023"/>
      <c r="G40" s="1973"/>
      <c r="H40" s="1973"/>
      <c r="I40" s="1973"/>
    </row>
    <row r="41" spans="1:16" ht="14.25">
      <c r="A41" s="2032" t="s">
        <v>659</v>
      </c>
      <c r="B41" s="2033"/>
      <c r="C41" s="1414"/>
      <c r="D41" s="1414"/>
      <c r="E41" s="2034"/>
      <c r="F41" s="2023"/>
      <c r="G41" s="1973"/>
      <c r="H41" s="1973"/>
      <c r="I41" s="1973"/>
    </row>
    <row r="42" spans="1:16" ht="14.25">
      <c r="A42" s="2032" t="s">
        <v>660</v>
      </c>
      <c r="B42" s="2033"/>
      <c r="C42" s="1414"/>
      <c r="D42" s="1414"/>
      <c r="E42" s="2034"/>
      <c r="F42" s="2023"/>
      <c r="G42" s="1973"/>
      <c r="H42" s="1973"/>
      <c r="I42" s="1973"/>
    </row>
    <row r="43" spans="1:16" ht="14.25">
      <c r="A43" s="2035"/>
      <c r="B43" s="2036"/>
      <c r="C43" s="2037"/>
      <c r="D43" s="2037"/>
      <c r="E43" s="2038"/>
      <c r="F43" s="2023"/>
      <c r="G43" s="1973"/>
      <c r="H43" s="1973"/>
      <c r="I43" s="1973"/>
    </row>
    <row r="44" spans="1:16" ht="12.75">
      <c r="A44" s="2039"/>
      <c r="B44" s="2039"/>
      <c r="C44" s="2039"/>
      <c r="D44" s="2039"/>
      <c r="E44" s="2039"/>
      <c r="F44" s="2040"/>
      <c r="G44" s="2040"/>
      <c r="H44" s="2040"/>
      <c r="I44" s="2089"/>
    </row>
    <row r="45" spans="1:16" ht="18.75">
      <c r="A45" s="2041" t="s">
        <v>661</v>
      </c>
      <c r="B45" s="2042"/>
      <c r="C45" s="2042"/>
      <c r="D45" s="2043"/>
      <c r="E45" s="2043"/>
      <c r="F45" s="2044"/>
      <c r="G45" s="2044"/>
      <c r="H45" s="2044"/>
      <c r="I45" s="2044"/>
      <c r="J45" s="2090" t="s">
        <v>662</v>
      </c>
      <c r="K45" s="2091"/>
      <c r="L45" s="2091"/>
      <c r="M45" s="2091"/>
      <c r="N45" s="2091"/>
      <c r="O45" s="2091"/>
      <c r="P45" s="1961"/>
    </row>
    <row r="46" spans="1:16" ht="14.25" customHeight="1">
      <c r="A46" s="2845" t="s">
        <v>663</v>
      </c>
      <c r="B46" s="2846"/>
      <c r="C46" s="2847"/>
      <c r="D46" s="1569">
        <f ca="1">ROUND(I103*F46,0)</f>
        <v>4242</v>
      </c>
      <c r="E46" s="2045" t="s">
        <v>664</v>
      </c>
      <c r="F46" s="2046">
        <v>1</v>
      </c>
      <c r="G46" s="2047" t="s">
        <v>665</v>
      </c>
      <c r="H46" s="1964"/>
      <c r="I46" s="1964"/>
      <c r="J46" s="2848" t="s">
        <v>666</v>
      </c>
      <c r="K46" s="2848"/>
      <c r="L46" s="2848"/>
      <c r="M46" s="2848"/>
      <c r="N46" s="2848"/>
      <c r="O46" s="2848"/>
      <c r="P46" s="1961"/>
    </row>
    <row r="47" spans="1:16" ht="14.25" customHeight="1">
      <c r="A47" s="2849" t="s">
        <v>667</v>
      </c>
      <c r="B47" s="2850"/>
      <c r="C47" s="2850"/>
      <c r="D47" s="2850"/>
      <c r="E47" s="2850"/>
      <c r="F47" s="2850"/>
      <c r="G47" s="2851"/>
      <c r="H47" s="2048"/>
      <c r="I47" s="1356"/>
      <c r="J47" s="1479">
        <v>1</v>
      </c>
      <c r="K47" s="2848" t="s">
        <v>668</v>
      </c>
      <c r="L47" s="2848"/>
      <c r="M47" s="2968"/>
      <c r="N47" s="2968"/>
      <c r="O47" s="2968"/>
      <c r="P47" s="1961"/>
    </row>
    <row r="48" spans="1:16" ht="12" customHeight="1">
      <c r="A48" s="2049" t="s">
        <v>669</v>
      </c>
      <c r="B48" s="2050"/>
      <c r="C48" s="2051"/>
      <c r="D48" s="2052" t="s">
        <v>670</v>
      </c>
      <c r="E48" s="1405" t="s">
        <v>671</v>
      </c>
      <c r="F48" s="1783" t="s">
        <v>672</v>
      </c>
      <c r="G48" s="2053" t="s">
        <v>673</v>
      </c>
      <c r="H48" s="2048"/>
      <c r="I48" s="1356"/>
      <c r="J48" s="1479">
        <v>2</v>
      </c>
      <c r="K48" s="2848" t="s">
        <v>674</v>
      </c>
      <c r="L48" s="2848"/>
      <c r="M48" s="2853">
        <f>'数据-取费表'!B2</f>
        <v>43646</v>
      </c>
      <c r="N48" s="2853"/>
      <c r="O48" s="2853"/>
      <c r="P48" s="1961"/>
    </row>
    <row r="49" spans="1:16" ht="25.5">
      <c r="A49" s="2858" t="s">
        <v>675</v>
      </c>
      <c r="B49" s="2859"/>
      <c r="C49" s="2859"/>
      <c r="D49" s="1611">
        <f ca="1">IF(H49="情况1",0,IF(H49="情况2",D53,IF(H49="情况3",D54,IF(H49="情况4",D55))))</f>
        <v>226</v>
      </c>
      <c r="E49" s="1624" t="str">
        <f>IF(H49="情况4","(销售额-原购置价)×税（费）率","销售额×税（费）率")</f>
        <v>销售额×税（费）率</v>
      </c>
      <c r="F49" s="2054">
        <f>IF(H49="情况1","免征",'数据-取费表'!E29)</f>
        <v>5.6000000000000001E-2</v>
      </c>
      <c r="G49" s="2055" t="s">
        <v>676</v>
      </c>
      <c r="H49" s="2056" t="s">
        <v>677</v>
      </c>
      <c r="I49" s="2048"/>
      <c r="J49" s="1479">
        <v>3</v>
      </c>
      <c r="K49" s="2848" t="s">
        <v>678</v>
      </c>
      <c r="L49" s="2848"/>
      <c r="M49" s="2852">
        <f ca="1">I103</f>
        <v>4242</v>
      </c>
      <c r="N49" s="2852"/>
      <c r="O49" s="2852"/>
      <c r="P49" s="1961"/>
    </row>
    <row r="50" spans="1:16" ht="25.5" customHeight="1">
      <c r="A50" s="2057" t="s">
        <v>679</v>
      </c>
      <c r="B50" s="2860" t="s">
        <v>680</v>
      </c>
      <c r="C50" s="2860"/>
      <c r="D50" s="1665">
        <v>0</v>
      </c>
      <c r="E50" s="2058" t="s">
        <v>681</v>
      </c>
      <c r="F50" s="2059" t="s">
        <v>121</v>
      </c>
      <c r="G50" s="2861"/>
      <c r="H50" s="1964"/>
      <c r="I50" s="2093"/>
      <c r="J50" s="1479">
        <v>4</v>
      </c>
      <c r="K50" s="2848" t="str">
        <f>IF(项目基本情况!F5="房地产抵押价值","房地产抵押价值","抵押担保权已注销时的房地产抵押价值")</f>
        <v>房地产抵押价值</v>
      </c>
      <c r="L50" s="2848"/>
      <c r="M50" s="2852">
        <f ca="1">IF(项目基本情况!F5="房地产抵押价值",I111,I113)</f>
        <v>4242</v>
      </c>
      <c r="N50" s="2852"/>
      <c r="O50" s="2852"/>
      <c r="P50" s="1961"/>
    </row>
    <row r="51" spans="1:16" ht="25.5" customHeight="1">
      <c r="A51" s="2060"/>
      <c r="B51" s="2860" t="s">
        <v>682</v>
      </c>
      <c r="C51" s="2860"/>
      <c r="D51" s="1691"/>
      <c r="E51" s="2061"/>
      <c r="F51" s="2062"/>
      <c r="G51" s="2862"/>
      <c r="H51" s="1964"/>
      <c r="I51" s="2093"/>
      <c r="J51" s="2848" t="s">
        <v>683</v>
      </c>
      <c r="K51" s="2848"/>
      <c r="L51" s="2848"/>
      <c r="M51" s="2848"/>
      <c r="N51" s="2848"/>
      <c r="O51" s="2848"/>
      <c r="P51" s="1961"/>
    </row>
    <row r="52" spans="1:16" ht="12" customHeight="1">
      <c r="A52" s="2063"/>
      <c r="B52" s="2860" t="s">
        <v>684</v>
      </c>
      <c r="C52" s="2860"/>
      <c r="D52" s="2064"/>
      <c r="E52" s="449"/>
      <c r="F52" s="2062"/>
      <c r="G52" s="2863"/>
      <c r="H52" s="1964"/>
      <c r="I52" s="2093"/>
      <c r="J52" s="2092" t="s">
        <v>685</v>
      </c>
      <c r="K52" s="2848" t="s">
        <v>686</v>
      </c>
      <c r="L52" s="2848"/>
      <c r="M52" s="2092" t="s">
        <v>687</v>
      </c>
      <c r="N52" s="2092" t="s">
        <v>688</v>
      </c>
      <c r="O52" s="2092" t="s">
        <v>689</v>
      </c>
      <c r="P52" s="1961"/>
    </row>
    <row r="53" spans="1:16" ht="24" customHeight="1">
      <c r="A53" s="2065" t="s">
        <v>690</v>
      </c>
      <c r="B53" s="2860" t="s">
        <v>691</v>
      </c>
      <c r="C53" s="2860"/>
      <c r="D53" s="2064">
        <f ca="1">ROUND(D46*'数据-取费表'!E29/(1+'数据-取费表'!F30),0)</f>
        <v>226</v>
      </c>
      <c r="E53" s="1408" t="s">
        <v>692</v>
      </c>
      <c r="F53" s="2066">
        <f>'数据-取费表'!E29</f>
        <v>5.6000000000000001E-2</v>
      </c>
      <c r="G53" s="2067"/>
      <c r="H53" s="1964"/>
      <c r="I53" s="2093"/>
      <c r="J53" s="1479">
        <v>1</v>
      </c>
      <c r="K53" s="2864" t="s">
        <v>693</v>
      </c>
      <c r="L53" s="2864"/>
      <c r="M53" s="2094">
        <f ca="1">D49</f>
        <v>226</v>
      </c>
      <c r="N53" s="1479" t="str">
        <f>E49</f>
        <v>销售额×税（费）率</v>
      </c>
      <c r="O53" s="2095">
        <f>F49</f>
        <v>5.6000000000000001E-2</v>
      </c>
      <c r="P53" s="1961"/>
    </row>
    <row r="54" spans="1:16" ht="12" customHeight="1">
      <c r="A54" s="2065" t="s">
        <v>694</v>
      </c>
      <c r="B54" s="2865" t="s">
        <v>695</v>
      </c>
      <c r="C54" s="2813"/>
      <c r="D54" s="2064">
        <f ca="1">ROUND(D46*'数据-取费表'!E29/(1+'数据-取费表'!F30),0)</f>
        <v>226</v>
      </c>
      <c r="E54" s="1408" t="s">
        <v>692</v>
      </c>
      <c r="F54" s="2066">
        <f>'数据-取费表'!E29</f>
        <v>5.6000000000000001E-2</v>
      </c>
      <c r="G54" s="2067"/>
      <c r="H54" s="1964"/>
      <c r="I54" s="2093"/>
      <c r="J54" s="1479">
        <v>2</v>
      </c>
      <c r="K54" s="2864" t="s">
        <v>696</v>
      </c>
      <c r="L54" s="2864"/>
      <c r="M54" s="2094">
        <f t="shared" ref="M54:O55" ca="1" si="1">D56</f>
        <v>2</v>
      </c>
      <c r="N54" s="1479" t="str">
        <f t="shared" si="1"/>
        <v>销售额×税（费）率</v>
      </c>
      <c r="O54" s="2095">
        <f t="shared" si="1"/>
        <v>5.0000000000000001E-4</v>
      </c>
      <c r="P54" s="1961"/>
    </row>
    <row r="55" spans="1:16" ht="12" customHeight="1">
      <c r="A55" s="2065" t="s">
        <v>697</v>
      </c>
      <c r="B55" s="2865" t="s">
        <v>698</v>
      </c>
      <c r="C55" s="2813"/>
      <c r="D55" s="2064">
        <f ca="1">C69</f>
        <v>226</v>
      </c>
      <c r="E55" s="449" t="s">
        <v>699</v>
      </c>
      <c r="F55" s="2066">
        <f>'数据-取费表'!E29</f>
        <v>5.6000000000000001E-2</v>
      </c>
      <c r="G55" s="2067"/>
      <c r="H55" s="2069"/>
      <c r="I55" s="2093"/>
      <c r="J55" s="1479">
        <v>3</v>
      </c>
      <c r="K55" s="2864" t="s">
        <v>700</v>
      </c>
      <c r="L55" s="2864"/>
      <c r="M55" s="2094">
        <f t="shared" ca="1" si="1"/>
        <v>2401</v>
      </c>
      <c r="N55" s="1479" t="str">
        <f t="shared" si="1"/>
        <v>增值额×税（费）率</v>
      </c>
      <c r="O55" s="2096" t="str">
        <f t="shared" si="1"/>
        <v>——</v>
      </c>
      <c r="P55" s="1961"/>
    </row>
    <row r="56" spans="1:16" ht="24" customHeight="1">
      <c r="A56" s="2808" t="s">
        <v>701</v>
      </c>
      <c r="B56" s="2859"/>
      <c r="C56" s="2859"/>
      <c r="D56" s="1663">
        <f ca="1">IF(H56="个人住宅",0,ROUND(D46*I56,0))</f>
        <v>2</v>
      </c>
      <c r="E56" s="1408" t="s">
        <v>702</v>
      </c>
      <c r="F56" s="2066">
        <f>IF(H56="正常",I56,"免征")</f>
        <v>5.0000000000000001E-4</v>
      </c>
      <c r="G56" s="2067"/>
      <c r="H56" s="2056" t="s">
        <v>703</v>
      </c>
      <c r="I56" s="2097">
        <f>'数据-取费表'!E37</f>
        <v>5.0000000000000001E-4</v>
      </c>
      <c r="J56" s="1479" t="str">
        <f>IF(H60="非个人房产","",4)</f>
        <v/>
      </c>
      <c r="K56" s="2864" t="str">
        <f>IF(H60="非个人房产","——","个人所得税")</f>
        <v>——</v>
      </c>
      <c r="L56" s="2864"/>
      <c r="M56" s="2098" t="str">
        <f>D60</f>
        <v>——</v>
      </c>
      <c r="N56" s="2099" t="str">
        <f>E60</f>
        <v>——</v>
      </c>
      <c r="O56" s="2100" t="str">
        <f>F60</f>
        <v>——</v>
      </c>
      <c r="P56" s="1961"/>
    </row>
    <row r="57" spans="1:16" ht="24.75">
      <c r="A57" s="2808" t="s">
        <v>704</v>
      </c>
      <c r="B57" s="2859"/>
      <c r="C57" s="2859"/>
      <c r="D57" s="1663">
        <f ca="1">IF(H57="个人住宅",D58,D59)</f>
        <v>2401</v>
      </c>
      <c r="E57" s="1408" t="s">
        <v>705</v>
      </c>
      <c r="F57" s="2066" t="str">
        <f>IF(H57="正常",F59,"免征")</f>
        <v>——</v>
      </c>
      <c r="G57" s="2071" t="s">
        <v>706</v>
      </c>
      <c r="H57" s="2072" t="s">
        <v>703</v>
      </c>
      <c r="I57" s="2074"/>
      <c r="J57" s="1479" t="str">
        <f>IF(项目基本情况!I6="上海银行",IF(J56="",4,J56+1),"")</f>
        <v/>
      </c>
      <c r="K57" s="2866" t="str">
        <f>IF(项目基本情况!I6="上海银行","其他处置费用","")</f>
        <v/>
      </c>
      <c r="L57" s="2867"/>
      <c r="M57" s="2094" t="str">
        <f>IF(项目基本情况!I6="上海银行",M70,"")</f>
        <v/>
      </c>
      <c r="N57" s="2868" t="str">
        <f>IF(项目基本情况!I6="上海银行","包含处置中涉及的律师、诉讼、拍卖、评估等费用","")</f>
        <v/>
      </c>
      <c r="O57" s="2869"/>
      <c r="P57" s="1961"/>
    </row>
    <row r="58" spans="1:16" ht="12.75">
      <c r="A58" s="2065" t="s">
        <v>679</v>
      </c>
      <c r="B58" s="2842" t="s">
        <v>707</v>
      </c>
      <c r="C58" s="2844"/>
      <c r="D58" s="2073">
        <v>0</v>
      </c>
      <c r="E58" s="2058" t="s">
        <v>681</v>
      </c>
      <c r="F58" s="1360"/>
      <c r="G58" s="2067"/>
      <c r="H58" s="2074"/>
      <c r="I58" s="2074"/>
      <c r="J58" s="2864">
        <f>IF(AND(J56="",J57=""),4,IF(项目基本情况!I6="上海银行",J57+1,J56+1))</f>
        <v>4</v>
      </c>
      <c r="K58" s="2864" t="s">
        <v>708</v>
      </c>
      <c r="L58" s="2101" t="s">
        <v>709</v>
      </c>
      <c r="M58" s="2102"/>
      <c r="N58" s="2103">
        <f ca="1">SUMIF(M53:M57,"&lt;9e307")</f>
        <v>2629</v>
      </c>
      <c r="O58" s="2104"/>
      <c r="P58" s="2105">
        <f ca="1">N58/M50</f>
        <v>0.61975483262611974</v>
      </c>
    </row>
    <row r="59" spans="1:16" ht="24.75">
      <c r="A59" s="2065" t="s">
        <v>690</v>
      </c>
      <c r="B59" s="2842" t="s">
        <v>710</v>
      </c>
      <c r="C59" s="2843"/>
      <c r="D59" s="1663">
        <f ca="1">IF(H59="转让取得",C82,C98)</f>
        <v>2401</v>
      </c>
      <c r="E59" s="1408" t="s">
        <v>705</v>
      </c>
      <c r="F59" s="1405" t="s">
        <v>121</v>
      </c>
      <c r="G59" s="2067"/>
      <c r="H59" s="2072" t="s">
        <v>711</v>
      </c>
      <c r="I59" s="2074"/>
      <c r="J59" s="2864"/>
      <c r="K59" s="2864"/>
      <c r="L59" s="2101" t="s">
        <v>712</v>
      </c>
      <c r="M59" s="2106"/>
      <c r="N59" s="2107" t="str">
        <f ca="1">IF(H19="元",NUMBERSTRING(INT(N58),2)&amp;"元整",NUMBERSTRING(INT(N58*10000),2)&amp;"元整")</f>
        <v>贰仟陆佰贰拾玖万元整</v>
      </c>
      <c r="O59" s="2108"/>
      <c r="P59" s="1961"/>
    </row>
    <row r="60" spans="1:16" ht="24">
      <c r="A60" s="2809" t="s">
        <v>713</v>
      </c>
      <c r="B60" s="2832"/>
      <c r="C60" s="2832"/>
      <c r="D60" s="2077" t="str">
        <f>IF(H60="非个人房产","——",IF(H60="个人住宅",0,ROUND(D46*I60,0)))</f>
        <v>——</v>
      </c>
      <c r="E60" s="2078" t="str">
        <f>IF(H60="非个人房产","——","销售额×税（费）率")</f>
        <v>——</v>
      </c>
      <c r="F60" s="2079" t="str">
        <f>IF(H60="非个人房产","——",IF(H60="个人住宅","免征",I60))</f>
        <v>——</v>
      </c>
      <c r="G60" s="2080" t="s">
        <v>706</v>
      </c>
      <c r="H60" s="2072" t="s">
        <v>826</v>
      </c>
      <c r="I60" s="2109">
        <v>0.01</v>
      </c>
      <c r="J60" s="2875">
        <f>J58+1</f>
        <v>5</v>
      </c>
      <c r="K60" s="2864" t="s">
        <v>715</v>
      </c>
      <c r="L60" s="1479" t="s">
        <v>709</v>
      </c>
      <c r="M60" s="2110"/>
      <c r="N60" s="2111">
        <f ca="1">M50-N58</f>
        <v>1613</v>
      </c>
      <c r="O60" s="2112"/>
      <c r="P60" s="1961"/>
    </row>
    <row r="61" spans="1:16" ht="12" customHeight="1">
      <c r="A61" s="2081"/>
      <c r="B61" s="1964"/>
      <c r="C61" s="1964"/>
      <c r="D61" s="1964"/>
      <c r="E61" s="2074"/>
      <c r="F61" s="2074"/>
      <c r="G61" s="2074"/>
      <c r="H61" s="2039"/>
      <c r="I61" s="1964"/>
      <c r="J61" s="2876"/>
      <c r="K61" s="2864"/>
      <c r="L61" s="2101" t="s">
        <v>712</v>
      </c>
      <c r="M61" s="2106"/>
      <c r="N61" s="2107" t="str">
        <f ca="1">IF(H19="元",NUMBERSTRING(INT(N60),2)&amp;"元整",NUMBERSTRING(INT(N60*10000),2)&amp;"元整")</f>
        <v>壹仟陆佰壹拾叁万元整</v>
      </c>
      <c r="O61" s="2108"/>
      <c r="P61" s="1961"/>
    </row>
    <row r="62" spans="1:16" ht="12.75">
      <c r="A62" s="2870" t="s">
        <v>716</v>
      </c>
      <c r="B62" s="2870"/>
      <c r="C62" s="2870"/>
      <c r="D62" s="2870"/>
      <c r="E62" s="2870"/>
      <c r="F62" s="2074"/>
      <c r="G62" s="2074"/>
      <c r="H62" s="2039"/>
      <c r="I62" s="1964"/>
      <c r="J62" s="1479">
        <f>J60+1</f>
        <v>6</v>
      </c>
      <c r="K62" s="2864" t="s">
        <v>717</v>
      </c>
      <c r="L62" s="2864"/>
      <c r="M62" s="2113"/>
      <c r="N62" s="2114">
        <f ca="1">IF(H19="元",ROUND(N60/项目基本情况!C12,0),ROUND(N60*10000/项目基本情况!C12,0))</f>
        <v>15745</v>
      </c>
      <c r="O62" s="2115"/>
      <c r="P62" s="1961"/>
    </row>
    <row r="63" spans="1:16" ht="12.75">
      <c r="A63" s="2871" t="s">
        <v>718</v>
      </c>
      <c r="B63" s="2872"/>
      <c r="C63" s="461"/>
      <c r="D63" s="461" t="s">
        <v>719</v>
      </c>
      <c r="E63" s="2082" t="s">
        <v>673</v>
      </c>
      <c r="F63" s="2074"/>
      <c r="G63" s="2074"/>
      <c r="H63" s="2039"/>
      <c r="I63" s="1964"/>
      <c r="J63" s="1961"/>
      <c r="K63" s="1961"/>
      <c r="L63" s="1961"/>
      <c r="M63" s="1961"/>
      <c r="N63" s="1961"/>
      <c r="O63" s="1961"/>
      <c r="P63" s="1961"/>
    </row>
    <row r="64" spans="1:16" ht="12.75">
      <c r="A64" s="2083">
        <v>1</v>
      </c>
      <c r="B64" s="2084" t="s">
        <v>720</v>
      </c>
      <c r="C64" s="2085">
        <f ca="1">ROUND((C65+C66)/(1+'数据-取费表'!F30),0)</f>
        <v>4040</v>
      </c>
      <c r="D64" s="2086"/>
      <c r="E64" s="2087"/>
      <c r="F64" s="2074"/>
      <c r="G64" s="2074"/>
      <c r="H64" s="2039"/>
      <c r="I64" s="1964"/>
      <c r="J64" s="2877" t="s">
        <v>721</v>
      </c>
      <c r="K64" s="2116" t="s">
        <v>722</v>
      </c>
      <c r="L64" s="2117">
        <f ca="1">IF(M50&gt;10000,M50*0.5%,IF(AND(M50&gt;1000,M50&lt;=10000),M50*1%,IF(AND(M50&gt;100,M50&lt;=1000),M50*3%,IF(AND(M50&gt;10,M50&lt;=100),M50*5%,M50*8%))))</f>
        <v>42.42</v>
      </c>
      <c r="M64" s="1405">
        <f ca="1">ROUND(L64,1)</f>
        <v>42.4</v>
      </c>
      <c r="N64" s="1961"/>
      <c r="O64" s="1961"/>
      <c r="P64" s="1961"/>
    </row>
    <row r="65" spans="1:35" ht="12.75">
      <c r="A65" s="2118" t="s">
        <v>723</v>
      </c>
      <c r="B65" s="411" t="s">
        <v>724</v>
      </c>
      <c r="C65" s="2119">
        <f ca="1">D46</f>
        <v>4242</v>
      </c>
      <c r="D65" s="437" t="s">
        <v>121</v>
      </c>
      <c r="E65" s="2120"/>
      <c r="F65" s="2074"/>
      <c r="G65" s="2074"/>
      <c r="H65" s="2039"/>
      <c r="I65" s="1964"/>
      <c r="J65" s="2877"/>
      <c r="K65" s="2116" t="s">
        <v>725</v>
      </c>
      <c r="L65" s="2117">
        <f ca="1">IF(M50&gt;2000,M50*0.5%,IF(AND(M50&gt;1000,M50&lt;=2000),M50*0.6%,IF(AND(M50&gt;500,M50&lt;=1000),M50*0.7%,IF(AND(M50&gt;200,M50&lt;=500),M50*0.8%,IF(AND(M50&gt;100,M50&lt;=200),M50*0.9%,IF(AND(M50&gt;50,M50&lt;=100),M50*1%,IF(AND(M50&gt;20,M50&lt;=50),M50*1.5%,IF(AND(M50&gt;10,M50&lt;=20),M50*2%,IF(AND(M50&gt;1,M50&lt;=10),M50*2.5%)))))))))</f>
        <v>21.21</v>
      </c>
      <c r="M65" s="1405">
        <f t="shared" ref="M65:M66" ca="1" si="2">ROUND(L65,1)</f>
        <v>21.2</v>
      </c>
      <c r="N65" s="1961" t="s">
        <v>726</v>
      </c>
      <c r="O65" s="1961"/>
      <c r="P65" s="1961"/>
    </row>
    <row r="66" spans="1:35" ht="12.75">
      <c r="A66" s="2118" t="s">
        <v>727</v>
      </c>
      <c r="B66" s="411" t="s">
        <v>728</v>
      </c>
      <c r="C66" s="2121"/>
      <c r="D66" s="437"/>
      <c r="E66" s="2120"/>
      <c r="F66" s="2074"/>
      <c r="G66" s="2074"/>
      <c r="H66" s="2039"/>
      <c r="I66" s="1964"/>
      <c r="J66" s="2877"/>
      <c r="K66" s="2116" t="s">
        <v>729</v>
      </c>
      <c r="L66" s="2117">
        <f ca="1">IF(M50&gt;1000,M50*0.1%,IF(AND(M50&gt;500,M50&lt;=1000),M50*0.5%,IF(AND(M50&gt;50,M50&lt;=500),M50*1%,IF(AND(M50&gt;1,M50&lt;=50),M50*1.5%))))</f>
        <v>4.242</v>
      </c>
      <c r="M66" s="1405">
        <f t="shared" ca="1" si="2"/>
        <v>4.2</v>
      </c>
      <c r="N66" s="1961" t="s">
        <v>726</v>
      </c>
      <c r="O66" s="1961"/>
      <c r="P66" s="1961"/>
    </row>
    <row r="67" spans="1:35" ht="12.75">
      <c r="A67" s="2122" t="s">
        <v>730</v>
      </c>
      <c r="B67" s="2123" t="s">
        <v>731</v>
      </c>
      <c r="C67" s="2124"/>
      <c r="D67" s="506" t="s">
        <v>121</v>
      </c>
      <c r="E67" s="2125" t="s">
        <v>732</v>
      </c>
      <c r="F67" s="2074"/>
      <c r="G67" s="2074"/>
      <c r="H67" s="2039"/>
      <c r="I67" s="1964"/>
      <c r="J67" s="2877"/>
      <c r="K67" s="2116" t="s">
        <v>733</v>
      </c>
      <c r="L67" s="2117">
        <f ca="1">M50*0.5%</f>
        <v>21.21</v>
      </c>
      <c r="M67" s="1405">
        <f ca="1">IF(L67&gt;0.5,0.5,ROUND(L67,0))</f>
        <v>0.5</v>
      </c>
      <c r="N67" s="1961" t="s">
        <v>734</v>
      </c>
      <c r="O67" s="1961"/>
      <c r="P67" s="1961"/>
    </row>
    <row r="68" spans="1:35" ht="12.75">
      <c r="A68" s="2122" t="s">
        <v>735</v>
      </c>
      <c r="B68" s="2123" t="s">
        <v>736</v>
      </c>
      <c r="C68" s="2126">
        <f ca="1">C64-C67</f>
        <v>4040</v>
      </c>
      <c r="D68" s="437" t="s">
        <v>121</v>
      </c>
      <c r="E68" s="2120"/>
      <c r="F68" s="2074"/>
      <c r="G68" s="2074"/>
      <c r="H68" s="2039"/>
      <c r="I68" s="1964"/>
      <c r="J68" s="2877"/>
      <c r="K68" s="2116" t="s">
        <v>737</v>
      </c>
      <c r="L68" s="2117">
        <f ca="1">IF(M50&gt;=10000,(8.25+(M50-10000)*0.01%),IF(AND(M50&gt;=8000,M50&lt;10000),(7.85+(M50-8000)*0.02%),IF(AND(M50&gt;=5000,M50&lt;8000),(6.65+(M50-5000)*0.04%),IF(AND(M50&gt;=2000,M50&lt;5000),(4.25+(PM50-2000)*0.08%),IF(AND(M50&gt;=1000,M50&lt;2000),(2.75+(M50-1000)*0.15%),IF(AND(M50&gt;=100,M50&lt;1000),(0.5+(M50-100)*0.25%),IF(AND(M50&gt;0,M50&lt;100),M50*0.5%)))))))</f>
        <v>2.65</v>
      </c>
      <c r="M68" s="1405">
        <f ca="1">ROUND(L68*0.9,1)</f>
        <v>2.4</v>
      </c>
      <c r="N68" s="1961"/>
      <c r="O68" s="1961"/>
      <c r="P68" s="1961"/>
    </row>
    <row r="69" spans="1:35" ht="12.75">
      <c r="A69" s="2127" t="s">
        <v>738</v>
      </c>
      <c r="B69" s="2128" t="s">
        <v>739</v>
      </c>
      <c r="C69" s="2129">
        <f ca="1">IF(C68&lt;=0,0,ROUND(C68*D69,0))</f>
        <v>226</v>
      </c>
      <c r="D69" s="628">
        <f>'数据-取费表'!E29</f>
        <v>5.6000000000000001E-2</v>
      </c>
      <c r="E69" s="2130"/>
      <c r="F69" s="2074"/>
      <c r="G69" s="2074"/>
      <c r="H69" s="2039"/>
      <c r="I69" s="1964"/>
      <c r="J69" s="2877"/>
      <c r="K69" s="2116" t="s">
        <v>740</v>
      </c>
      <c r="L69" s="2117">
        <f ca="1">IF(M50&gt;10000,M50*0.5%,IF(AND(M50&gt;5000,M50&lt;=10000),M50*1%,IF(AND(M50&gt;1000,M50&lt;=5000),M50*2%,IF(AND(M50&gt;200,M50&lt;=1000),M50*3%,M50*5%))))</f>
        <v>84.84</v>
      </c>
      <c r="M69" s="1405">
        <f ca="1">ROUND(L69,1)</f>
        <v>84.8</v>
      </c>
      <c r="N69" s="1961"/>
      <c r="O69" s="1961"/>
      <c r="P69" s="1961"/>
    </row>
    <row r="70" spans="1:35" s="1959" customFormat="1" ht="7.5" customHeight="1">
      <c r="A70" s="2131"/>
      <c r="B70" s="2132"/>
      <c r="C70" s="2133"/>
      <c r="D70" s="556"/>
      <c r="E70" s="2134"/>
      <c r="F70" s="2074"/>
      <c r="G70" s="2074"/>
      <c r="H70" s="2039"/>
      <c r="I70" s="1964"/>
      <c r="J70" s="2877"/>
      <c r="K70" s="2116" t="s">
        <v>741</v>
      </c>
      <c r="L70" s="2202"/>
      <c r="M70" s="1405">
        <f ca="1">ROUND(SUM(M64:M69),0)</f>
        <v>156</v>
      </c>
      <c r="N70" s="2105">
        <f ca="1">M70/M50</f>
        <v>3.6775106082036775E-2</v>
      </c>
      <c r="O70" s="1961"/>
      <c r="P70" s="1961"/>
      <c r="Q70" s="1354"/>
      <c r="R70" s="1354"/>
      <c r="S70" s="1354"/>
      <c r="T70" s="1354"/>
      <c r="U70" s="1354"/>
      <c r="V70" s="1354"/>
      <c r="W70" s="1354"/>
      <c r="X70" s="1354"/>
      <c r="Y70" s="1354"/>
      <c r="Z70" s="1354"/>
      <c r="AA70" s="1961"/>
      <c r="AB70" s="1961"/>
      <c r="AC70" s="1961"/>
      <c r="AD70" s="1961"/>
      <c r="AE70" s="1961"/>
      <c r="AF70" s="1961"/>
      <c r="AG70" s="1961"/>
      <c r="AH70" s="1961"/>
      <c r="AI70" s="1961"/>
    </row>
    <row r="71" spans="1:35" s="1960" customFormat="1" ht="14.25">
      <c r="A71" s="2873" t="s">
        <v>742</v>
      </c>
      <c r="B71" s="2874"/>
      <c r="C71" s="2874"/>
      <c r="D71" s="2874"/>
      <c r="E71" s="2874"/>
      <c r="F71" s="2874"/>
      <c r="G71" s="2874"/>
      <c r="H71" s="2874"/>
      <c r="I71" s="2203"/>
      <c r="J71" s="363"/>
      <c r="K71" s="363"/>
      <c r="L71" s="363"/>
      <c r="M71" s="363"/>
      <c r="N71" s="363"/>
      <c r="O71" s="363"/>
      <c r="P71" s="363"/>
      <c r="Q71" s="363"/>
      <c r="R71" s="363"/>
      <c r="S71" s="363"/>
      <c r="T71" s="363"/>
      <c r="U71" s="363"/>
      <c r="V71" s="363"/>
      <c r="W71" s="363"/>
      <c r="X71" s="363"/>
      <c r="Y71" s="363"/>
      <c r="Z71" s="363"/>
      <c r="AA71" s="2212"/>
      <c r="AB71" s="2212"/>
      <c r="AC71" s="2212"/>
      <c r="AD71" s="2212"/>
      <c r="AE71" s="2212"/>
      <c r="AF71" s="2212"/>
      <c r="AG71" s="2212"/>
      <c r="AH71" s="2212"/>
      <c r="AI71" s="2212"/>
    </row>
    <row r="72" spans="1:35" s="1960" customFormat="1" ht="14.25">
      <c r="A72" s="2871" t="s">
        <v>718</v>
      </c>
      <c r="B72" s="2872"/>
      <c r="C72" s="461"/>
      <c r="D72" s="461" t="s">
        <v>719</v>
      </c>
      <c r="E72" s="2135" t="s">
        <v>673</v>
      </c>
      <c r="F72" s="2136"/>
      <c r="G72" s="2136"/>
      <c r="H72" s="2137"/>
      <c r="I72" s="2204"/>
      <c r="J72" s="363"/>
      <c r="K72" s="363"/>
      <c r="L72" s="363"/>
      <c r="M72" s="363"/>
      <c r="N72" s="363"/>
      <c r="O72" s="363"/>
      <c r="P72" s="363"/>
      <c r="Q72" s="363"/>
      <c r="R72" s="363"/>
      <c r="S72" s="363"/>
      <c r="T72" s="363"/>
      <c r="U72" s="363"/>
      <c r="V72" s="363"/>
      <c r="W72" s="363"/>
      <c r="X72" s="363"/>
      <c r="Y72" s="363"/>
      <c r="Z72" s="363"/>
      <c r="AA72" s="2212"/>
      <c r="AB72" s="2212"/>
      <c r="AC72" s="2212"/>
      <c r="AD72" s="2212"/>
      <c r="AE72" s="2212"/>
      <c r="AF72" s="2212"/>
      <c r="AG72" s="2212"/>
      <c r="AH72" s="2212"/>
      <c r="AI72" s="2212"/>
    </row>
    <row r="73" spans="1:35" s="1960" customFormat="1" ht="14.25">
      <c r="A73" s="2138">
        <v>1</v>
      </c>
      <c r="B73" s="2123" t="s">
        <v>743</v>
      </c>
      <c r="C73" s="2126">
        <f ca="1">ROUND(D46/(1+'数据-取费表'!F30),0)</f>
        <v>4040</v>
      </c>
      <c r="D73" s="437" t="s">
        <v>121</v>
      </c>
      <c r="E73" s="1603"/>
      <c r="F73" s="1604"/>
      <c r="G73" s="1604"/>
      <c r="H73" s="2139"/>
      <c r="I73" s="2204"/>
      <c r="J73" s="363"/>
      <c r="K73" s="363"/>
      <c r="L73" s="363"/>
      <c r="M73" s="363"/>
      <c r="N73" s="363"/>
      <c r="O73" s="363"/>
      <c r="P73" s="363"/>
      <c r="Q73" s="363"/>
      <c r="R73" s="363"/>
      <c r="S73" s="363"/>
      <c r="T73" s="363"/>
      <c r="U73" s="363"/>
      <c r="V73" s="363"/>
      <c r="W73" s="363"/>
      <c r="X73" s="363"/>
      <c r="Y73" s="363"/>
      <c r="Z73" s="363"/>
      <c r="AA73" s="2212"/>
      <c r="AB73" s="2212"/>
      <c r="AC73" s="2212"/>
      <c r="AD73" s="2212"/>
      <c r="AE73" s="2212"/>
      <c r="AF73" s="2212"/>
      <c r="AG73" s="2212"/>
      <c r="AH73" s="2212"/>
      <c r="AI73" s="2212"/>
    </row>
    <row r="74" spans="1:35" s="1960" customFormat="1" ht="14.25">
      <c r="A74" s="2140">
        <v>2</v>
      </c>
      <c r="B74" s="1783" t="s">
        <v>745</v>
      </c>
      <c r="C74" s="2126">
        <f ca="1">C75+C79</f>
        <v>24</v>
      </c>
      <c r="D74" s="437" t="s">
        <v>121</v>
      </c>
      <c r="E74" s="1603"/>
      <c r="F74" s="1604"/>
      <c r="G74" s="1604"/>
      <c r="H74" s="2139"/>
      <c r="I74" s="2204"/>
      <c r="J74" s="363"/>
      <c r="K74" s="363"/>
      <c r="L74" s="363"/>
      <c r="M74" s="363"/>
      <c r="N74" s="363"/>
      <c r="O74" s="363"/>
      <c r="P74" s="363"/>
      <c r="Q74" s="363"/>
      <c r="R74" s="363"/>
      <c r="S74" s="363"/>
      <c r="T74" s="363"/>
      <c r="U74" s="363"/>
      <c r="V74" s="363"/>
      <c r="W74" s="363"/>
      <c r="X74" s="363"/>
      <c r="Y74" s="363"/>
      <c r="Z74" s="363"/>
      <c r="AA74" s="2212"/>
      <c r="AB74" s="2212"/>
      <c r="AC74" s="2212"/>
      <c r="AD74" s="2212"/>
      <c r="AE74" s="2212"/>
      <c r="AF74" s="2212"/>
      <c r="AG74" s="2212"/>
      <c r="AH74" s="2212"/>
      <c r="AI74" s="2212"/>
    </row>
    <row r="75" spans="1:35" s="1960" customFormat="1" ht="14.25">
      <c r="A75" s="2141" t="s">
        <v>746</v>
      </c>
      <c r="B75" s="411" t="s">
        <v>747</v>
      </c>
      <c r="C75" s="437">
        <f>ROUND(IF(G78="2016年5月1日后购买",C76/(1+'数据-取费表'!F30)+C77+C78,C76+C77+C78),0)</f>
        <v>0</v>
      </c>
      <c r="D75" s="437" t="s">
        <v>121</v>
      </c>
      <c r="E75" s="1603"/>
      <c r="F75" s="1604"/>
      <c r="G75" s="1604"/>
      <c r="H75" s="2139"/>
      <c r="I75" s="2204"/>
      <c r="J75" s="363"/>
      <c r="K75" s="363"/>
      <c r="L75" s="363"/>
      <c r="M75" s="363"/>
      <c r="N75" s="363"/>
      <c r="O75" s="363"/>
      <c r="P75" s="363"/>
      <c r="Q75" s="363"/>
      <c r="R75" s="363"/>
      <c r="S75" s="363"/>
      <c r="T75" s="363"/>
      <c r="U75" s="363"/>
      <c r="V75" s="363"/>
      <c r="W75" s="363"/>
      <c r="X75" s="363"/>
      <c r="Y75" s="363"/>
      <c r="Z75" s="363"/>
      <c r="AA75" s="2212"/>
      <c r="AB75" s="2212"/>
      <c r="AC75" s="2212"/>
      <c r="AD75" s="2212"/>
      <c r="AE75" s="2212"/>
      <c r="AF75" s="2212"/>
      <c r="AG75" s="2212"/>
      <c r="AH75" s="2212"/>
      <c r="AI75" s="2212"/>
    </row>
    <row r="76" spans="1:35" s="1960" customFormat="1" ht="14.25">
      <c r="A76" s="2141" t="s">
        <v>748</v>
      </c>
      <c r="B76" s="411" t="s">
        <v>749</v>
      </c>
      <c r="C76" s="541"/>
      <c r="D76" s="437" t="s">
        <v>121</v>
      </c>
      <c r="E76" s="2142" t="s">
        <v>750</v>
      </c>
      <c r="F76" s="2143" t="s">
        <v>751</v>
      </c>
      <c r="G76" s="2142" t="s">
        <v>752</v>
      </c>
      <c r="H76" s="2144"/>
      <c r="I76" s="545"/>
      <c r="J76" s="363"/>
      <c r="K76" s="363"/>
      <c r="L76" s="363"/>
      <c r="M76" s="363"/>
      <c r="N76" s="363"/>
      <c r="O76" s="363"/>
      <c r="P76" s="363"/>
      <c r="Q76" s="363"/>
      <c r="R76" s="363"/>
      <c r="S76" s="363"/>
      <c r="T76" s="363"/>
      <c r="U76" s="363"/>
      <c r="V76" s="363"/>
      <c r="W76" s="363"/>
      <c r="X76" s="363"/>
      <c r="Y76" s="363"/>
      <c r="Z76" s="363"/>
      <c r="AA76" s="2212"/>
      <c r="AB76" s="2212"/>
      <c r="AC76" s="2212"/>
      <c r="AD76" s="2212"/>
      <c r="AE76" s="2212"/>
      <c r="AF76" s="2212"/>
      <c r="AG76" s="2212"/>
      <c r="AH76" s="2212"/>
      <c r="AI76" s="2212"/>
    </row>
    <row r="77" spans="1:35" s="1960" customFormat="1" ht="24.75" customHeight="1">
      <c r="A77" s="2141" t="s">
        <v>753</v>
      </c>
      <c r="B77" s="2145" t="s">
        <v>754</v>
      </c>
      <c r="C77" s="437">
        <f>IF(F76="购房发票",ROUND(C76*H76*D77,0),0)</f>
        <v>0</v>
      </c>
      <c r="D77" s="2146">
        <v>0.05</v>
      </c>
      <c r="E77" s="2865" t="s">
        <v>755</v>
      </c>
      <c r="F77" s="2860"/>
      <c r="G77" s="2860"/>
      <c r="H77" s="2878"/>
      <c r="I77" s="2204"/>
      <c r="J77" s="363"/>
      <c r="K77" s="363"/>
      <c r="L77" s="363"/>
      <c r="M77" s="363"/>
      <c r="N77" s="363"/>
      <c r="O77" s="363"/>
      <c r="P77" s="363"/>
      <c r="Q77" s="363"/>
      <c r="R77" s="363"/>
      <c r="S77" s="363"/>
      <c r="T77" s="363"/>
      <c r="U77" s="363"/>
      <c r="V77" s="363"/>
      <c r="W77" s="363"/>
      <c r="X77" s="363"/>
      <c r="Y77" s="363"/>
      <c r="Z77" s="363"/>
      <c r="AA77" s="2212"/>
      <c r="AB77" s="2212"/>
      <c r="AC77" s="2212"/>
      <c r="AD77" s="2212"/>
      <c r="AE77" s="2212"/>
      <c r="AF77" s="2212"/>
      <c r="AG77" s="2212"/>
      <c r="AH77" s="2212"/>
      <c r="AI77" s="2212"/>
    </row>
    <row r="78" spans="1:35" s="1960" customFormat="1" ht="24.75" customHeight="1">
      <c r="A78" s="2141" t="s">
        <v>756</v>
      </c>
      <c r="B78" s="411" t="s">
        <v>757</v>
      </c>
      <c r="C78" s="437">
        <f>ROUND(IF(G78="个人住宅",0,IF(G78="2016年5月1日前购买",C76*D78,C76*D78/(1+'数据-取费表'!F30))),0)</f>
        <v>0</v>
      </c>
      <c r="D78" s="2148">
        <f>'数据-取费表'!E36+'数据-取费表'!E37</f>
        <v>3.0499999999999999E-2</v>
      </c>
      <c r="E78" s="1684" t="s">
        <v>758</v>
      </c>
      <c r="F78" s="2149"/>
      <c r="G78" s="2150" t="s">
        <v>759</v>
      </c>
      <c r="H78" s="2147" t="str">
        <f>IF(G78="个人买卖住房","免征印花税"," ")</f>
        <v/>
      </c>
      <c r="I78" s="2204"/>
      <c r="J78" s="363"/>
      <c r="K78" s="363"/>
      <c r="L78" s="363"/>
      <c r="M78" s="363"/>
      <c r="N78" s="363"/>
      <c r="O78" s="363"/>
      <c r="P78" s="363"/>
      <c r="Q78" s="363"/>
      <c r="R78" s="363"/>
      <c r="S78" s="363"/>
      <c r="T78" s="363"/>
      <c r="U78" s="363"/>
      <c r="V78" s="363"/>
      <c r="W78" s="363"/>
      <c r="X78" s="363"/>
      <c r="Y78" s="363"/>
      <c r="Z78" s="363"/>
      <c r="AA78" s="2212"/>
      <c r="AB78" s="2212"/>
      <c r="AC78" s="2212"/>
      <c r="AD78" s="2212"/>
      <c r="AE78" s="2212"/>
      <c r="AF78" s="2212"/>
      <c r="AG78" s="2212"/>
      <c r="AH78" s="2212"/>
      <c r="AI78" s="2212"/>
    </row>
    <row r="79" spans="1:35" s="1960" customFormat="1" ht="24.75" customHeight="1">
      <c r="A79" s="2141" t="s">
        <v>760</v>
      </c>
      <c r="B79" s="411" t="s">
        <v>761</v>
      </c>
      <c r="C79" s="2151">
        <f ca="1">ROUND(D46*D79/(1+'数据-取费表'!F30),0)</f>
        <v>24</v>
      </c>
      <c r="D79" s="2152">
        <f>'数据-取费表'!E31</f>
        <v>6.0000000000000001E-3</v>
      </c>
      <c r="E79" s="2879" t="s">
        <v>762</v>
      </c>
      <c r="F79" s="2880"/>
      <c r="G79" s="2880"/>
      <c r="H79" s="2881"/>
      <c r="I79" s="2205"/>
      <c r="J79" s="363"/>
      <c r="K79" s="363"/>
      <c r="L79" s="363"/>
      <c r="M79" s="363"/>
      <c r="N79" s="363"/>
      <c r="O79" s="363"/>
      <c r="P79" s="363"/>
      <c r="Q79" s="363"/>
      <c r="R79" s="363"/>
      <c r="S79" s="363"/>
      <c r="T79" s="363"/>
      <c r="U79" s="363"/>
      <c r="V79" s="363"/>
      <c r="W79" s="363"/>
      <c r="X79" s="363"/>
      <c r="Y79" s="363"/>
      <c r="Z79" s="363"/>
      <c r="AA79" s="2212"/>
      <c r="AB79" s="2212"/>
      <c r="AC79" s="2212"/>
      <c r="AD79" s="2212"/>
      <c r="AE79" s="2212"/>
      <c r="AF79" s="2212"/>
      <c r="AG79" s="2212"/>
      <c r="AH79" s="2212"/>
      <c r="AI79" s="2212"/>
    </row>
    <row r="80" spans="1:35" s="1960" customFormat="1" ht="14.25">
      <c r="A80" s="2156" t="s">
        <v>735</v>
      </c>
      <c r="B80" s="2123" t="s">
        <v>763</v>
      </c>
      <c r="C80" s="2126">
        <f ca="1">C73-C74</f>
        <v>4016</v>
      </c>
      <c r="D80" s="437" t="s">
        <v>121</v>
      </c>
      <c r="E80" s="1603"/>
      <c r="F80" s="1604"/>
      <c r="G80" s="1604"/>
      <c r="H80" s="2139"/>
      <c r="I80" s="2204"/>
      <c r="J80" s="363"/>
      <c r="K80" s="363"/>
      <c r="L80" s="363"/>
      <c r="M80" s="363"/>
      <c r="N80" s="363"/>
      <c r="O80" s="363"/>
      <c r="P80" s="363"/>
      <c r="Q80" s="363"/>
      <c r="R80" s="363"/>
      <c r="S80" s="363"/>
      <c r="T80" s="363"/>
      <c r="U80" s="363"/>
      <c r="V80" s="363"/>
      <c r="W80" s="363"/>
      <c r="X80" s="363"/>
      <c r="Y80" s="363"/>
      <c r="Z80" s="363"/>
      <c r="AA80" s="2212"/>
      <c r="AB80" s="2212"/>
      <c r="AC80" s="2212"/>
      <c r="AD80" s="2212"/>
      <c r="AE80" s="2212"/>
      <c r="AF80" s="2212"/>
      <c r="AG80" s="2212"/>
      <c r="AH80" s="2212"/>
      <c r="AI80" s="2212"/>
    </row>
    <row r="81" spans="1:35" s="1960" customFormat="1" ht="14.25">
      <c r="A81" s="2156" t="s">
        <v>738</v>
      </c>
      <c r="B81" s="2123" t="s">
        <v>764</v>
      </c>
      <c r="C81" s="2157">
        <f ca="1">IF(C80&lt;=0,0,C80/C74)</f>
        <v>167.33333333333334</v>
      </c>
      <c r="D81" s="437" t="s">
        <v>121</v>
      </c>
      <c r="E81" s="1684" t="str">
        <f ca="1">IF(C81&gt;=200%,"增值额超过扣除项目金额200%",IF(C81&gt;=100%,"增值额超过扣除项目金额100%，未超过200%",IF(C81&gt;=50%,"增值额超过扣除项目金额50%，未超过100%",IF(C81&lt;50%,"增值额未超过扣除项目金额50%"))))</f>
        <v>增值额超过扣除项目金额200%</v>
      </c>
      <c r="F81" s="1604"/>
      <c r="G81" s="1604"/>
      <c r="H81" s="2139"/>
      <c r="I81" s="2204"/>
      <c r="J81" s="363"/>
      <c r="K81" s="363"/>
      <c r="L81" s="363"/>
      <c r="M81" s="363"/>
      <c r="N81" s="363"/>
      <c r="O81" s="363"/>
      <c r="P81" s="363"/>
      <c r="Q81" s="363"/>
      <c r="R81" s="363"/>
      <c r="S81" s="363"/>
      <c r="T81" s="363"/>
      <c r="U81" s="363"/>
      <c r="V81" s="363"/>
      <c r="W81" s="363"/>
      <c r="X81" s="363"/>
      <c r="Y81" s="363"/>
      <c r="Z81" s="363"/>
      <c r="AA81" s="2212"/>
      <c r="AB81" s="2212"/>
      <c r="AC81" s="2212"/>
      <c r="AD81" s="2212"/>
      <c r="AE81" s="2212"/>
      <c r="AF81" s="2212"/>
      <c r="AG81" s="2212"/>
      <c r="AH81" s="2212"/>
      <c r="AI81" s="2212"/>
    </row>
    <row r="82" spans="1:35" s="1960" customFormat="1" ht="14.25">
      <c r="A82" s="2158" t="s">
        <v>765</v>
      </c>
      <c r="B82" s="2128" t="s">
        <v>766</v>
      </c>
      <c r="C82" s="2159">
        <f ca="1">ROUND(IF(C80&lt;=0,0,IF(C81&gt;=200%,C80*60%-C74*35%,IF(C81&gt;=100%,C80*50%-C74*15%,IF(C81&gt;=50%,C80*40%-C74*5%,IF(C81&lt;50%,C80*30%,0))))),0)</f>
        <v>2401</v>
      </c>
      <c r="D82" s="458" t="s">
        <v>121</v>
      </c>
      <c r="E82" s="216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2161"/>
      <c r="G82" s="2161"/>
      <c r="H82" s="2162"/>
      <c r="I82" s="2204"/>
      <c r="J82" s="363"/>
      <c r="K82" s="363"/>
      <c r="L82" s="363"/>
      <c r="M82" s="363"/>
      <c r="N82" s="363"/>
      <c r="O82" s="363"/>
      <c r="P82" s="363"/>
      <c r="Q82" s="363"/>
      <c r="R82" s="363"/>
      <c r="S82" s="363"/>
      <c r="T82" s="363"/>
      <c r="U82" s="363"/>
      <c r="V82" s="363"/>
      <c r="W82" s="363"/>
      <c r="X82" s="363"/>
      <c r="Y82" s="363"/>
      <c r="Z82" s="363"/>
      <c r="AA82" s="2212"/>
      <c r="AB82" s="2212"/>
      <c r="AC82" s="2212"/>
      <c r="AD82" s="2212"/>
      <c r="AE82" s="2212"/>
      <c r="AF82" s="2212"/>
      <c r="AG82" s="2212"/>
      <c r="AH82" s="2212"/>
      <c r="AI82" s="2212"/>
    </row>
    <row r="83" spans="1:35" s="1960" customFormat="1" ht="7.5" customHeight="1">
      <c r="A83" s="2163"/>
      <c r="B83" s="2164"/>
      <c r="C83" s="545"/>
      <c r="D83" s="545"/>
      <c r="E83" s="2164"/>
      <c r="F83" s="2164"/>
      <c r="G83" s="2164"/>
      <c r="H83" s="2165"/>
      <c r="I83" s="2205"/>
      <c r="J83" s="363"/>
      <c r="K83" s="363"/>
      <c r="L83" s="363"/>
      <c r="M83" s="363"/>
      <c r="N83" s="363"/>
      <c r="O83" s="363"/>
      <c r="P83" s="363"/>
      <c r="Q83" s="363"/>
      <c r="R83" s="363"/>
      <c r="S83" s="363"/>
      <c r="T83" s="363"/>
      <c r="U83" s="363"/>
      <c r="V83" s="363"/>
      <c r="W83" s="363"/>
      <c r="X83" s="363"/>
      <c r="Y83" s="363"/>
      <c r="Z83" s="363"/>
      <c r="AA83" s="2212"/>
      <c r="AB83" s="2212"/>
      <c r="AC83" s="2212"/>
      <c r="AD83" s="2212"/>
      <c r="AE83" s="2212"/>
      <c r="AF83" s="2212"/>
      <c r="AG83" s="2212"/>
      <c r="AH83" s="2212"/>
      <c r="AI83" s="2212"/>
    </row>
    <row r="84" spans="1:35" s="1960" customFormat="1" ht="14.25">
      <c r="A84" s="2873" t="s">
        <v>767</v>
      </c>
      <c r="B84" s="2874"/>
      <c r="C84" s="2874"/>
      <c r="D84" s="2874"/>
      <c r="E84" s="2874"/>
      <c r="F84" s="2874"/>
      <c r="G84" s="2874"/>
      <c r="H84" s="2874"/>
      <c r="I84" s="545"/>
      <c r="J84" s="363"/>
      <c r="K84" s="363"/>
      <c r="L84" s="363"/>
      <c r="M84" s="363"/>
      <c r="N84" s="363"/>
      <c r="O84" s="363"/>
      <c r="P84" s="363"/>
      <c r="Q84" s="363"/>
      <c r="R84" s="363"/>
      <c r="S84" s="363"/>
      <c r="T84" s="363"/>
      <c r="U84" s="363"/>
      <c r="V84" s="363"/>
      <c r="W84" s="363"/>
      <c r="X84" s="363"/>
      <c r="Y84" s="363"/>
      <c r="Z84" s="363"/>
      <c r="AA84" s="2212"/>
      <c r="AB84" s="2212"/>
      <c r="AC84" s="2212"/>
      <c r="AD84" s="2212"/>
      <c r="AE84" s="2212"/>
      <c r="AF84" s="2212"/>
      <c r="AG84" s="2212"/>
      <c r="AH84" s="2212"/>
      <c r="AI84" s="2212"/>
    </row>
    <row r="85" spans="1:35" s="1960" customFormat="1" ht="14.25">
      <c r="A85" s="2871" t="s">
        <v>718</v>
      </c>
      <c r="B85" s="2872"/>
      <c r="C85" s="461"/>
      <c r="D85" s="461" t="s">
        <v>719</v>
      </c>
      <c r="E85" s="2135" t="s">
        <v>673</v>
      </c>
      <c r="F85" s="2136"/>
      <c r="G85" s="2136"/>
      <c r="H85" s="2166"/>
      <c r="I85" s="545"/>
      <c r="J85" s="363"/>
      <c r="K85" s="363"/>
      <c r="L85" s="363"/>
      <c r="M85" s="363"/>
      <c r="N85" s="363"/>
      <c r="O85" s="363"/>
      <c r="P85" s="363"/>
      <c r="Q85" s="363"/>
      <c r="R85" s="363"/>
      <c r="S85" s="363"/>
      <c r="T85" s="363"/>
      <c r="U85" s="363"/>
      <c r="V85" s="363"/>
      <c r="W85" s="363"/>
      <c r="X85" s="363"/>
      <c r="Y85" s="363"/>
      <c r="Z85" s="363"/>
      <c r="AA85" s="2212"/>
      <c r="AB85" s="2212"/>
      <c r="AC85" s="2212"/>
      <c r="AD85" s="2212"/>
      <c r="AE85" s="2212"/>
      <c r="AF85" s="2212"/>
      <c r="AG85" s="2212"/>
      <c r="AH85" s="2212"/>
      <c r="AI85" s="2212"/>
    </row>
    <row r="86" spans="1:35" s="1960" customFormat="1" ht="14.25">
      <c r="A86" s="2138">
        <v>1</v>
      </c>
      <c r="B86" s="2123" t="s">
        <v>743</v>
      </c>
      <c r="C86" s="2126">
        <f ca="1">ROUND(D46/(1+'数据-取费表'!F30),0)</f>
        <v>4040</v>
      </c>
      <c r="D86" s="437" t="s">
        <v>121</v>
      </c>
      <c r="E86" s="1603"/>
      <c r="F86" s="1604"/>
      <c r="G86" s="1604"/>
      <c r="H86" s="2167"/>
      <c r="I86" s="545"/>
      <c r="J86" s="363"/>
      <c r="K86" s="363"/>
      <c r="L86" s="363"/>
      <c r="M86" s="363"/>
      <c r="N86" s="363"/>
      <c r="O86" s="363"/>
      <c r="P86" s="363"/>
      <c r="Q86" s="363"/>
      <c r="R86" s="363"/>
      <c r="S86" s="363"/>
      <c r="T86" s="363"/>
      <c r="U86" s="363"/>
      <c r="V86" s="363"/>
      <c r="W86" s="363"/>
      <c r="X86" s="363"/>
      <c r="Y86" s="363"/>
      <c r="Z86" s="363"/>
      <c r="AA86" s="2212"/>
      <c r="AB86" s="2212"/>
      <c r="AC86" s="2212"/>
      <c r="AD86" s="2212"/>
      <c r="AE86" s="2212"/>
      <c r="AF86" s="2212"/>
      <c r="AG86" s="2212"/>
      <c r="AH86" s="2212"/>
      <c r="AI86" s="2212"/>
    </row>
    <row r="87" spans="1:35" s="1960" customFormat="1" ht="14.25">
      <c r="A87" s="2140">
        <v>2</v>
      </c>
      <c r="B87" s="1783" t="s">
        <v>745</v>
      </c>
      <c r="C87" s="2126">
        <f ca="1">IF(H89="仅含出让金",C88+C91+C92+C93+C94+C95,C88+C92+C93+C94+C95)</f>
        <v>24</v>
      </c>
      <c r="D87" s="2168"/>
      <c r="E87" s="1603"/>
      <c r="F87" s="1604"/>
      <c r="G87" s="1604"/>
      <c r="H87" s="2167"/>
      <c r="I87" s="545"/>
      <c r="J87" s="363"/>
      <c r="K87" s="363"/>
      <c r="L87" s="363"/>
      <c r="M87" s="363"/>
      <c r="N87" s="363"/>
      <c r="O87" s="363"/>
      <c r="P87" s="363"/>
      <c r="Q87" s="363"/>
      <c r="R87" s="363"/>
      <c r="S87" s="363"/>
      <c r="T87" s="363"/>
      <c r="U87" s="363"/>
      <c r="V87" s="363"/>
      <c r="W87" s="363"/>
      <c r="X87" s="363"/>
      <c r="Y87" s="363"/>
      <c r="Z87" s="363"/>
      <c r="AA87" s="2212"/>
      <c r="AB87" s="2212"/>
      <c r="AC87" s="2212"/>
      <c r="AD87" s="2212"/>
      <c r="AE87" s="2212"/>
      <c r="AF87" s="2212"/>
      <c r="AG87" s="2212"/>
      <c r="AH87" s="2212"/>
      <c r="AI87" s="2212"/>
    </row>
    <row r="88" spans="1:35" s="1960" customFormat="1" ht="14.25">
      <c r="A88" s="2141" t="s">
        <v>746</v>
      </c>
      <c r="B88" s="411" t="s">
        <v>768</v>
      </c>
      <c r="C88" s="2151">
        <f>C89+C90</f>
        <v>0</v>
      </c>
      <c r="D88" s="2152"/>
      <c r="E88" s="2153"/>
      <c r="F88" s="2154"/>
      <c r="G88" s="2154"/>
      <c r="H88" s="2155"/>
      <c r="I88" s="545"/>
      <c r="J88" s="363"/>
      <c r="K88" s="363"/>
      <c r="L88" s="363"/>
      <c r="M88" s="363"/>
      <c r="N88" s="363"/>
      <c r="O88" s="363"/>
      <c r="P88" s="363"/>
      <c r="Q88" s="363"/>
      <c r="R88" s="363"/>
      <c r="S88" s="363"/>
      <c r="T88" s="363"/>
      <c r="U88" s="363"/>
      <c r="V88" s="363"/>
      <c r="W88" s="363"/>
      <c r="X88" s="363"/>
      <c r="Y88" s="363"/>
      <c r="Z88" s="363"/>
      <c r="AA88" s="2212"/>
      <c r="AB88" s="2212"/>
      <c r="AC88" s="2212"/>
      <c r="AD88" s="2212"/>
      <c r="AE88" s="2212"/>
      <c r="AF88" s="2212"/>
      <c r="AG88" s="2212"/>
      <c r="AH88" s="2212"/>
      <c r="AI88" s="2212"/>
    </row>
    <row r="89" spans="1:35" s="1960" customFormat="1" ht="14.25">
      <c r="A89" s="2141" t="s">
        <v>748</v>
      </c>
      <c r="B89" s="411" t="s">
        <v>769</v>
      </c>
      <c r="C89" s="2169"/>
      <c r="D89" s="2152"/>
      <c r="E89" s="2170" t="s">
        <v>770</v>
      </c>
      <c r="F89" s="2154"/>
      <c r="G89" s="2171" t="s">
        <v>771</v>
      </c>
      <c r="H89" s="2172"/>
      <c r="I89" s="545"/>
      <c r="J89" s="363"/>
      <c r="K89" s="363"/>
      <c r="L89" s="363"/>
      <c r="M89" s="363"/>
      <c r="N89" s="363"/>
      <c r="O89" s="363"/>
      <c r="P89" s="363"/>
      <c r="Q89" s="363"/>
      <c r="R89" s="363"/>
      <c r="S89" s="363"/>
      <c r="T89" s="363"/>
      <c r="U89" s="363"/>
      <c r="V89" s="363"/>
      <c r="W89" s="363"/>
      <c r="X89" s="363"/>
      <c r="Y89" s="363"/>
      <c r="Z89" s="363"/>
      <c r="AA89" s="2212"/>
      <c r="AB89" s="2212"/>
      <c r="AC89" s="2212"/>
      <c r="AD89" s="2212"/>
      <c r="AE89" s="2212"/>
      <c r="AF89" s="2212"/>
      <c r="AG89" s="2212"/>
      <c r="AH89" s="2212"/>
      <c r="AI89" s="2212"/>
    </row>
    <row r="90" spans="1:35" s="1960" customFormat="1" ht="14.25">
      <c r="A90" s="2141" t="s">
        <v>753</v>
      </c>
      <c r="B90" s="411" t="s">
        <v>757</v>
      </c>
      <c r="C90" s="2151">
        <f>ROUND(C89*D90,0)</f>
        <v>0</v>
      </c>
      <c r="D90" s="2152">
        <f>'数据-取费表'!E36+'数据-取费表'!E37</f>
        <v>3.0499999999999999E-2</v>
      </c>
      <c r="E90" s="2170" t="s">
        <v>772</v>
      </c>
      <c r="F90" s="2154"/>
      <c r="G90" s="2154"/>
      <c r="H90" s="2155"/>
      <c r="I90" s="545"/>
      <c r="J90" s="363"/>
      <c r="K90" s="363"/>
      <c r="L90" s="363"/>
      <c r="M90" s="363"/>
      <c r="N90" s="363"/>
      <c r="O90" s="363"/>
      <c r="P90" s="363"/>
      <c r="Q90" s="363"/>
      <c r="R90" s="363"/>
      <c r="S90" s="363"/>
      <c r="T90" s="363"/>
      <c r="U90" s="363"/>
      <c r="V90" s="363"/>
      <c r="W90" s="363"/>
      <c r="X90" s="363"/>
      <c r="Y90" s="363"/>
      <c r="Z90" s="363"/>
      <c r="AA90" s="2212"/>
      <c r="AB90" s="2212"/>
      <c r="AC90" s="2212"/>
      <c r="AD90" s="2212"/>
      <c r="AE90" s="2212"/>
      <c r="AF90" s="2212"/>
      <c r="AG90" s="2212"/>
      <c r="AH90" s="2212"/>
      <c r="AI90" s="2212"/>
    </row>
    <row r="91" spans="1:35" s="1960" customFormat="1" ht="14.25">
      <c r="A91" s="2141" t="s">
        <v>760</v>
      </c>
      <c r="B91" s="411" t="s">
        <v>773</v>
      </c>
      <c r="C91" s="2169"/>
      <c r="D91" s="2152"/>
      <c r="E91" s="2170" t="str">
        <f>IF(H89="-","土地取得成本中已包含该笔费用"," ")</f>
        <v/>
      </c>
      <c r="F91" s="2154"/>
      <c r="G91" s="2154"/>
      <c r="H91" s="2155"/>
      <c r="I91" s="545"/>
      <c r="J91" s="363"/>
      <c r="K91" s="363"/>
      <c r="L91" s="363"/>
      <c r="M91" s="363"/>
      <c r="N91" s="363"/>
      <c r="O91" s="363"/>
      <c r="P91" s="363"/>
      <c r="Q91" s="363"/>
      <c r="R91" s="363"/>
      <c r="S91" s="363"/>
      <c r="T91" s="363"/>
      <c r="U91" s="363"/>
      <c r="V91" s="363"/>
      <c r="W91" s="363"/>
      <c r="X91" s="363"/>
      <c r="Y91" s="363"/>
      <c r="Z91" s="363"/>
      <c r="AA91" s="2212"/>
      <c r="AB91" s="2212"/>
      <c r="AC91" s="2212"/>
      <c r="AD91" s="2212"/>
      <c r="AE91" s="2212"/>
      <c r="AF91" s="2212"/>
      <c r="AG91" s="2212"/>
      <c r="AH91" s="2212"/>
      <c r="AI91" s="2212"/>
    </row>
    <row r="92" spans="1:35" s="1960" customFormat="1" ht="30.75" customHeight="1">
      <c r="A92" s="2141" t="s">
        <v>774</v>
      </c>
      <c r="B92" s="411" t="s">
        <v>775</v>
      </c>
      <c r="C92" s="2151">
        <f>IF(H92="——",成本法!C33,I92)</f>
        <v>0</v>
      </c>
      <c r="D92" s="2152"/>
      <c r="E92" s="2879" t="s">
        <v>776</v>
      </c>
      <c r="F92" s="2880"/>
      <c r="G92" s="2880"/>
      <c r="H92" s="2173" t="s">
        <v>777</v>
      </c>
      <c r="I92" s="2206"/>
      <c r="J92" s="363"/>
      <c r="K92" s="363"/>
      <c r="L92" s="363"/>
      <c r="M92" s="363"/>
      <c r="N92" s="363"/>
      <c r="O92" s="363"/>
      <c r="P92" s="363"/>
      <c r="Q92" s="363"/>
      <c r="R92" s="363"/>
      <c r="S92" s="363"/>
      <c r="T92" s="363"/>
      <c r="U92" s="363"/>
      <c r="V92" s="363"/>
      <c r="W92" s="363"/>
      <c r="X92" s="363"/>
      <c r="Y92" s="363"/>
      <c r="Z92" s="363"/>
      <c r="AA92" s="2212"/>
      <c r="AB92" s="2212"/>
      <c r="AC92" s="2212"/>
      <c r="AD92" s="2212"/>
      <c r="AE92" s="2212"/>
      <c r="AF92" s="2212"/>
      <c r="AG92" s="2212"/>
      <c r="AH92" s="2212"/>
      <c r="AI92" s="2212"/>
    </row>
    <row r="93" spans="1:35" s="1960" customFormat="1" ht="25.5" customHeight="1">
      <c r="A93" s="2141" t="s">
        <v>778</v>
      </c>
      <c r="B93" s="411" t="s">
        <v>779</v>
      </c>
      <c r="C93" s="2151">
        <f>ROUND((C88+C91+C92)*D93,0)</f>
        <v>0</v>
      </c>
      <c r="D93" s="2152">
        <v>0.1</v>
      </c>
      <c r="E93" s="2879" t="s">
        <v>780</v>
      </c>
      <c r="F93" s="2880"/>
      <c r="G93" s="2880"/>
      <c r="H93" s="2881"/>
      <c r="I93" s="545"/>
      <c r="J93" s="363"/>
      <c r="K93" s="363"/>
      <c r="L93" s="363"/>
      <c r="M93" s="363"/>
      <c r="N93" s="363"/>
      <c r="O93" s="363"/>
      <c r="P93" s="363"/>
      <c r="Q93" s="363"/>
      <c r="R93" s="363"/>
      <c r="S93" s="363"/>
      <c r="T93" s="363"/>
      <c r="U93" s="363"/>
      <c r="V93" s="363"/>
      <c r="W93" s="363"/>
      <c r="X93" s="363"/>
      <c r="Y93" s="363"/>
      <c r="Z93" s="363"/>
      <c r="AA93" s="2212"/>
      <c r="AB93" s="2212"/>
      <c r="AC93" s="2212"/>
      <c r="AD93" s="2212"/>
      <c r="AE93" s="2212"/>
      <c r="AF93" s="2212"/>
      <c r="AG93" s="2212"/>
      <c r="AH93" s="2212"/>
      <c r="AI93" s="2212"/>
    </row>
    <row r="94" spans="1:35" s="1960" customFormat="1" ht="25.5" customHeight="1">
      <c r="A94" s="2141" t="s">
        <v>781</v>
      </c>
      <c r="B94" s="411" t="s">
        <v>761</v>
      </c>
      <c r="C94" s="2151">
        <f ca="1">ROUND(D46*D94/(1+'数据-取费表'!F30),0)</f>
        <v>24</v>
      </c>
      <c r="D94" s="2152">
        <f>'数据-取费表'!E31</f>
        <v>6.0000000000000001E-3</v>
      </c>
      <c r="E94" s="2879" t="s">
        <v>762</v>
      </c>
      <c r="F94" s="2880"/>
      <c r="G94" s="2880"/>
      <c r="H94" s="2881"/>
      <c r="I94" s="545"/>
      <c r="J94" s="363"/>
      <c r="K94" s="363"/>
      <c r="L94" s="363"/>
      <c r="M94" s="363"/>
      <c r="N94" s="363"/>
      <c r="O94" s="363"/>
      <c r="P94" s="363"/>
      <c r="Q94" s="363"/>
      <c r="R94" s="363"/>
      <c r="S94" s="363"/>
      <c r="T94" s="363"/>
      <c r="U94" s="363"/>
      <c r="V94" s="363"/>
      <c r="W94" s="363"/>
      <c r="X94" s="363"/>
      <c r="Y94" s="363"/>
      <c r="Z94" s="363"/>
      <c r="AA94" s="2212"/>
      <c r="AB94" s="2212"/>
      <c r="AC94" s="2212"/>
      <c r="AD94" s="2212"/>
      <c r="AE94" s="2212"/>
      <c r="AF94" s="2212"/>
      <c r="AG94" s="2212"/>
      <c r="AH94" s="2212"/>
      <c r="AI94" s="2212"/>
    </row>
    <row r="95" spans="1:35" s="1960" customFormat="1" ht="25.5" customHeight="1">
      <c r="A95" s="2141" t="s">
        <v>782</v>
      </c>
      <c r="B95" s="411" t="s">
        <v>783</v>
      </c>
      <c r="C95" s="2151">
        <f>ROUND((C88+C91+C92)*D95,0)</f>
        <v>0</v>
      </c>
      <c r="D95" s="2152">
        <v>0.2</v>
      </c>
      <c r="E95" s="2879" t="s">
        <v>784</v>
      </c>
      <c r="F95" s="2880"/>
      <c r="G95" s="2880"/>
      <c r="H95" s="2881"/>
      <c r="I95" s="545"/>
      <c r="J95" s="363"/>
      <c r="K95" s="363"/>
      <c r="L95" s="363"/>
      <c r="M95" s="363"/>
      <c r="N95" s="363"/>
      <c r="O95" s="363"/>
      <c r="P95" s="363"/>
      <c r="Q95" s="363"/>
      <c r="R95" s="363"/>
      <c r="S95" s="363"/>
      <c r="T95" s="363"/>
      <c r="U95" s="363"/>
      <c r="V95" s="363"/>
      <c r="W95" s="363"/>
      <c r="X95" s="363"/>
      <c r="Y95" s="363"/>
      <c r="Z95" s="363"/>
      <c r="AA95" s="2212"/>
      <c r="AB95" s="2212"/>
      <c r="AC95" s="2212"/>
      <c r="AD95" s="2212"/>
      <c r="AE95" s="2212"/>
      <c r="AF95" s="2212"/>
      <c r="AG95" s="2212"/>
      <c r="AH95" s="2212"/>
      <c r="AI95" s="2212"/>
    </row>
    <row r="96" spans="1:35" s="1960" customFormat="1" ht="14.25">
      <c r="A96" s="2156" t="s">
        <v>735</v>
      </c>
      <c r="B96" s="2123" t="s">
        <v>763</v>
      </c>
      <c r="C96" s="2126">
        <f ca="1">ROUND(C86-C87,0)</f>
        <v>4016</v>
      </c>
      <c r="D96" s="437" t="s">
        <v>121</v>
      </c>
      <c r="E96" s="1603"/>
      <c r="F96" s="1604"/>
      <c r="G96" s="1604"/>
      <c r="H96" s="2167"/>
      <c r="I96" s="545"/>
      <c r="J96" s="363"/>
      <c r="K96" s="363"/>
      <c r="L96" s="363"/>
      <c r="M96" s="363"/>
      <c r="N96" s="363"/>
      <c r="O96" s="363"/>
      <c r="P96" s="363"/>
      <c r="Q96" s="363"/>
      <c r="R96" s="363"/>
      <c r="S96" s="363"/>
      <c r="T96" s="363"/>
      <c r="U96" s="363"/>
      <c r="V96" s="363"/>
      <c r="W96" s="363"/>
      <c r="X96" s="363"/>
      <c r="Y96" s="363"/>
      <c r="Z96" s="363"/>
      <c r="AA96" s="2212"/>
      <c r="AB96" s="2212"/>
      <c r="AC96" s="2212"/>
      <c r="AD96" s="2212"/>
      <c r="AE96" s="2212"/>
      <c r="AF96" s="2212"/>
      <c r="AG96" s="2212"/>
      <c r="AH96" s="2212"/>
      <c r="AI96" s="2212"/>
    </row>
    <row r="97" spans="1:35" s="1960" customFormat="1" ht="14.25">
      <c r="A97" s="2156" t="s">
        <v>738</v>
      </c>
      <c r="B97" s="2123" t="s">
        <v>764</v>
      </c>
      <c r="C97" s="2157">
        <f ca="1">IF(C96&lt;=0,0,C96/C87)</f>
        <v>167.33333333333334</v>
      </c>
      <c r="D97" s="437" t="s">
        <v>121</v>
      </c>
      <c r="E97" s="1684" t="str">
        <f ca="1">IF(C97&gt;=200%,"增值额超过扣除项目金额200%",IF(C97&gt;=100%,"增值额超过扣除项目金额100%，未超过200%",IF(C97&gt;=50%,"增值额超过扣除项目金额50%，未超过100%",IF(C97&lt;50%,"增值额未超过扣除项目金额50%"))))</f>
        <v>增值额超过扣除项目金额200%</v>
      </c>
      <c r="F97" s="1604"/>
      <c r="G97" s="1604"/>
      <c r="H97" s="2167"/>
      <c r="I97" s="545"/>
      <c r="J97" s="363"/>
      <c r="K97" s="363"/>
      <c r="L97" s="363"/>
      <c r="M97" s="363"/>
      <c r="N97" s="363"/>
      <c r="O97" s="363"/>
      <c r="P97" s="363"/>
      <c r="Q97" s="363"/>
      <c r="R97" s="363"/>
      <c r="S97" s="363"/>
      <c r="T97" s="363"/>
      <c r="U97" s="363"/>
      <c r="V97" s="363"/>
      <c r="W97" s="363"/>
      <c r="X97" s="363"/>
      <c r="Y97" s="363"/>
      <c r="Z97" s="363"/>
      <c r="AA97" s="2212"/>
      <c r="AB97" s="2212"/>
      <c r="AC97" s="2212"/>
      <c r="AD97" s="2212"/>
      <c r="AE97" s="2212"/>
      <c r="AF97" s="2212"/>
      <c r="AG97" s="2212"/>
      <c r="AH97" s="2212"/>
      <c r="AI97" s="2212"/>
    </row>
    <row r="98" spans="1:35" s="1960" customFormat="1" ht="14.25">
      <c r="A98" s="2158" t="s">
        <v>765</v>
      </c>
      <c r="B98" s="2128" t="s">
        <v>766</v>
      </c>
      <c r="C98" s="2159">
        <f ca="1">ROUND(IF(C96&lt;=0,0,IF(C97&gt;=200%,C96*60%-C87*35%,IF(C97&gt;=100%,C96*50%-C87*15%,IF(C97&gt;=50%,C96*40%-C87*5%,IF(C97&lt;50%,C96*30%,0))))),0)</f>
        <v>2401</v>
      </c>
      <c r="D98" s="458" t="s">
        <v>121</v>
      </c>
      <c r="E98" s="216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2161"/>
      <c r="G98" s="2161"/>
      <c r="H98" s="2174"/>
      <c r="I98" s="545"/>
      <c r="J98" s="363"/>
      <c r="K98" s="363"/>
      <c r="L98" s="363"/>
      <c r="M98" s="363"/>
      <c r="N98" s="363"/>
      <c r="O98" s="363"/>
      <c r="P98" s="363"/>
      <c r="Q98" s="363"/>
      <c r="R98" s="363"/>
      <c r="S98" s="363"/>
      <c r="T98" s="363"/>
      <c r="U98" s="363"/>
      <c r="V98" s="363"/>
      <c r="W98" s="363"/>
      <c r="X98" s="363"/>
      <c r="Y98" s="363"/>
      <c r="Z98" s="363"/>
      <c r="AA98" s="2212"/>
      <c r="AB98" s="2212"/>
      <c r="AC98" s="2212"/>
      <c r="AD98" s="2212"/>
      <c r="AE98" s="2212"/>
      <c r="AF98" s="2212"/>
      <c r="AG98" s="2212"/>
      <c r="AH98" s="2212"/>
      <c r="AI98" s="2212"/>
    </row>
    <row r="99" spans="1:35" ht="21.75" customHeight="1">
      <c r="A99" s="2041" t="s">
        <v>785</v>
      </c>
      <c r="B99" s="1964"/>
      <c r="C99" s="1964"/>
      <c r="D99" s="1964"/>
      <c r="E99" s="2074"/>
      <c r="F99" s="2074"/>
      <c r="G99" s="2074"/>
      <c r="H99" s="2039"/>
      <c r="I99" s="1964"/>
    </row>
    <row r="100" spans="1:35" ht="15.75">
      <c r="A100" s="2882" t="s">
        <v>786</v>
      </c>
      <c r="B100" s="2883"/>
      <c r="C100" s="2883"/>
      <c r="D100" s="2884"/>
      <c r="E100" s="1964"/>
      <c r="F100" s="2885" t="s">
        <v>787</v>
      </c>
      <c r="G100" s="2886"/>
      <c r="H100" s="2886"/>
      <c r="I100" s="2887"/>
    </row>
    <row r="101" spans="1:35" ht="30">
      <c r="A101" s="2888" t="s">
        <v>788</v>
      </c>
      <c r="B101" s="2889"/>
      <c r="C101" s="2175" t="str">
        <f>C4</f>
        <v>典型户型修正</v>
      </c>
      <c r="D101" s="2176" t="str">
        <f>D4</f>
        <v>典型户型修正</v>
      </c>
      <c r="E101" s="1964"/>
      <c r="F101" s="2890" t="s">
        <v>789</v>
      </c>
      <c r="G101" s="2891"/>
      <c r="H101" s="2975" t="s">
        <v>790</v>
      </c>
      <c r="I101" s="2892"/>
    </row>
    <row r="102" spans="1:35" ht="15.75">
      <c r="A102" s="2972" t="s">
        <v>827</v>
      </c>
      <c r="B102" s="2177" t="str">
        <f>IF(H19="元","总价（元）","总价（万元）")</f>
        <v>总价（万元）</v>
      </c>
      <c r="C102" s="2175">
        <f ca="1">C19</f>
        <v>4242</v>
      </c>
      <c r="D102" s="2176">
        <f ca="1">D19</f>
        <v>4242</v>
      </c>
      <c r="E102" s="1964"/>
      <c r="F102" s="2976"/>
      <c r="G102" s="2977"/>
      <c r="H102" s="2893">
        <f>典型户型修正!B25</f>
        <v>1024.48</v>
      </c>
      <c r="I102" s="2892"/>
    </row>
    <row r="103" spans="1:35" ht="15.75">
      <c r="A103" s="2972"/>
      <c r="B103" s="2177" t="s">
        <v>792</v>
      </c>
      <c r="C103" s="2178">
        <f ca="1">C20</f>
        <v>41406</v>
      </c>
      <c r="D103" s="2179">
        <f ca="1">D20</f>
        <v>41406</v>
      </c>
      <c r="E103" s="1964"/>
      <c r="F103" s="2944" t="s">
        <v>793</v>
      </c>
      <c r="G103" s="2945"/>
      <c r="H103" s="2180" t="str">
        <f>C109</f>
        <v>总价（万元）</v>
      </c>
      <c r="I103" s="2207">
        <f ca="1">H124</f>
        <v>4242</v>
      </c>
    </row>
    <row r="104" spans="1:35" ht="15">
      <c r="A104" s="2972" t="s">
        <v>828</v>
      </c>
      <c r="B104" s="2181" t="str">
        <f>B102</f>
        <v>总价（万元）</v>
      </c>
      <c r="C104" s="2182">
        <f ca="1">ROUND(IF('数据-取费表'!B4="总价",G19,IF(H19="元",G20*'数据-取费表'!E5,G20*'数据-取费表'!E5/10000)),0)</f>
        <v>4242</v>
      </c>
      <c r="D104" s="2183"/>
      <c r="E104" s="1964"/>
      <c r="F104" s="2944"/>
      <c r="G104" s="2945"/>
      <c r="H104" s="2180" t="s">
        <v>792</v>
      </c>
      <c r="I104" s="2208">
        <f ca="1">I124</f>
        <v>41406</v>
      </c>
    </row>
    <row r="105" spans="1:35" ht="15.75">
      <c r="A105" s="2972"/>
      <c r="B105" s="2177" t="s">
        <v>792</v>
      </c>
      <c r="C105" s="2184">
        <f ca="1">ROUND(IF('数据-取费表'!B4="楼面单价",G20,IF(H19="元",G19/'数据-取费表'!E5,G19*10000/'数据-取费表'!E5)),0)</f>
        <v>395635</v>
      </c>
      <c r="D105" s="2183"/>
      <c r="E105" s="1964"/>
      <c r="F105" s="2894"/>
      <c r="G105" s="2895"/>
      <c r="H105" s="2896"/>
      <c r="I105" s="2897"/>
    </row>
    <row r="106" spans="1:35" ht="15.75">
      <c r="A106" s="2973" t="s">
        <v>829</v>
      </c>
      <c r="B106" s="2186" t="str">
        <f>B102</f>
        <v>总价（万元）</v>
      </c>
      <c r="C106" s="2187">
        <f ca="1">H124</f>
        <v>4242</v>
      </c>
      <c r="D106" s="2188"/>
      <c r="E106" s="1964"/>
      <c r="F106" s="2898" t="s">
        <v>796</v>
      </c>
      <c r="G106" s="2899"/>
      <c r="H106" s="2189" t="str">
        <f>C111</f>
        <v>总额（万元）</v>
      </c>
      <c r="I106" s="2207">
        <f>SUMIF(I107:I109,"&lt;9E307")</f>
        <v>0</v>
      </c>
    </row>
    <row r="107" spans="1:35" ht="15">
      <c r="A107" s="2931"/>
      <c r="B107" s="2190" t="s">
        <v>792</v>
      </c>
      <c r="C107" s="2191">
        <f ca="1">I124</f>
        <v>41406</v>
      </c>
      <c r="D107" s="2192"/>
      <c r="E107" s="1964"/>
      <c r="F107" s="2908" t="s">
        <v>798</v>
      </c>
      <c r="G107" s="2909"/>
      <c r="H107" s="2189" t="str">
        <f>C112</f>
        <v>总额（万元）</v>
      </c>
      <c r="I107" s="2208">
        <f>IF(D37="同一抵押权人同一抵押物续贷",C37&amp;"（未扣减，详见特别提示）",C37)</f>
        <v>0</v>
      </c>
      <c r="K107" s="1973" t="str">
        <f>IF(D126=0,"本次评估不存在"&amp;A126,"本次评估"&amp;A126&amp;"为"&amp;D126&amp;"元人民币。")</f>
        <v>本次评估不存在估价师所知悉的法定优先受偿款</v>
      </c>
    </row>
    <row r="108" spans="1:35" ht="15">
      <c r="A108" s="2969" t="s">
        <v>795</v>
      </c>
      <c r="B108" s="2970"/>
      <c r="C108" s="2970"/>
      <c r="D108" s="2971"/>
      <c r="E108" s="1964"/>
      <c r="F108" s="2908" t="s">
        <v>799</v>
      </c>
      <c r="G108" s="2909"/>
      <c r="H108" s="2189" t="str">
        <f>C113</f>
        <v>总额（万元）</v>
      </c>
      <c r="I108" s="2208">
        <f>C38</f>
        <v>0</v>
      </c>
      <c r="K108" s="2209"/>
    </row>
    <row r="109" spans="1:35" ht="15">
      <c r="A109" s="2940" t="s">
        <v>830</v>
      </c>
      <c r="B109" s="2941"/>
      <c r="C109" s="2180" t="str">
        <f>B102</f>
        <v>总价（万元）</v>
      </c>
      <c r="D109" s="2193">
        <f ca="1">H124</f>
        <v>4242</v>
      </c>
      <c r="E109" s="1964"/>
      <c r="F109" s="2908" t="s">
        <v>801</v>
      </c>
      <c r="G109" s="2909"/>
      <c r="H109" s="2189" t="str">
        <f>C114</f>
        <v>总额（万元）</v>
      </c>
      <c r="I109" s="2208">
        <f>C39</f>
        <v>0</v>
      </c>
    </row>
    <row r="110" spans="1:35" ht="15.75">
      <c r="A110" s="2940"/>
      <c r="B110" s="2941"/>
      <c r="C110" s="2180" t="s">
        <v>792</v>
      </c>
      <c r="D110" s="2194">
        <f ca="1">I124</f>
        <v>41406</v>
      </c>
      <c r="E110" s="1964"/>
      <c r="F110" s="2894"/>
      <c r="G110" s="2895"/>
      <c r="H110" s="2912"/>
      <c r="I110" s="2913"/>
    </row>
    <row r="111" spans="1:35" ht="28.5" customHeight="1">
      <c r="A111" s="2910" t="s">
        <v>800</v>
      </c>
      <c r="B111" s="2911"/>
      <c r="C111" s="2189" t="str">
        <f>IF(H19="元","总额（元）","总额（万元）")</f>
        <v>总额（万元）</v>
      </c>
      <c r="D111" s="2193">
        <f>IF(D37="正常操作",I107+I108+I109,I108+I109)</f>
        <v>0</v>
      </c>
      <c r="E111" s="1964"/>
      <c r="F111" s="2936" t="str">
        <f>IF(项目基本情况!F5="已注销","——","3.房地产抵押价值")</f>
        <v>3.房地产抵押价值</v>
      </c>
      <c r="G111" s="2937"/>
      <c r="H111" s="2195" t="str">
        <f>C115</f>
        <v>总价（万元）</v>
      </c>
      <c r="I111" s="2207">
        <f ca="1">IF(F111="——","——",I103-I106)</f>
        <v>4242</v>
      </c>
    </row>
    <row r="112" spans="1:35" ht="15">
      <c r="A112" s="2908" t="s">
        <v>798</v>
      </c>
      <c r="B112" s="2909"/>
      <c r="C112" s="2189" t="str">
        <f>C111</f>
        <v>总额（万元）</v>
      </c>
      <c r="D112" s="781">
        <f>IF(D37="同一抵押权人同一抵押物续贷",C37&amp;"（未扣减，详见特别提示）",C37)</f>
        <v>0</v>
      </c>
      <c r="E112" s="1964"/>
      <c r="F112" s="2946"/>
      <c r="G112" s="2947"/>
      <c r="H112" s="2180" t="s">
        <v>792</v>
      </c>
      <c r="I112" s="2210">
        <f ca="1">D116</f>
        <v>41406</v>
      </c>
    </row>
    <row r="113" spans="1:26" ht="15.75">
      <c r="A113" s="2908" t="s">
        <v>799</v>
      </c>
      <c r="B113" s="2909"/>
      <c r="C113" s="2189" t="str">
        <f>C111</f>
        <v>总额（万元）</v>
      </c>
      <c r="D113" s="781">
        <f>C38</f>
        <v>0</v>
      </c>
      <c r="E113" s="1964"/>
      <c r="F113" s="2936" t="str">
        <f>IF(项目基本情况!F5="已注销及未注销","4.抵押担保权已注销时的房地产抵押价值",IF(项目基本情况!F5="已注销","3.抵押担保权已注销时的房地产抵押价值","——"))</f>
        <v>——</v>
      </c>
      <c r="G113" s="2937"/>
      <c r="H113" s="2195" t="str">
        <f>C117</f>
        <v>总价（万元）</v>
      </c>
      <c r="I113" s="2207" t="str">
        <f>IF(F113="——","——",I103-I108-I109)</f>
        <v>——</v>
      </c>
    </row>
    <row r="114" spans="1:26" ht="15">
      <c r="A114" s="2908" t="s">
        <v>801</v>
      </c>
      <c r="B114" s="2909"/>
      <c r="C114" s="2189" t="str">
        <f>C111</f>
        <v>总额（万元）</v>
      </c>
      <c r="D114" s="781">
        <f>C39</f>
        <v>0</v>
      </c>
      <c r="E114" s="1964"/>
      <c r="F114" s="2946"/>
      <c r="G114" s="2947"/>
      <c r="H114" s="2180" t="s">
        <v>792</v>
      </c>
      <c r="I114" s="2208" t="str">
        <f>D118</f>
        <v>——</v>
      </c>
    </row>
    <row r="115" spans="1:26" ht="15.75">
      <c r="A115" s="2940" t="str">
        <f>IF(项目基本情况!F5="已注销","——","3.房地产抵押价值")</f>
        <v>3.房地产抵押价值</v>
      </c>
      <c r="B115" s="2941"/>
      <c r="C115" s="2180" t="str">
        <f>B102</f>
        <v>总价（万元）</v>
      </c>
      <c r="D115" s="2193">
        <f ca="1">IF(A115="——","——",D109-D111)</f>
        <v>4242</v>
      </c>
      <c r="E115" s="1964"/>
      <c r="F115" s="2936" t="str">
        <f>IF(项目基本情况!G5="抵押净值",IF(OR(项目基本情况!F5="已注销",项目基本情况!F5="房地产抵押价值"),"4.抵押净值","5.抵押净值"),"——")</f>
        <v>——</v>
      </c>
      <c r="G115" s="2937"/>
      <c r="H115" s="2180" t="str">
        <f>C119</f>
        <v>总价（万元）</v>
      </c>
      <c r="I115" s="2207" t="str">
        <f>IF(F115="——","——",N60)</f>
        <v>——</v>
      </c>
    </row>
    <row r="116" spans="1:26" ht="15">
      <c r="A116" s="2940"/>
      <c r="B116" s="2941"/>
      <c r="C116" s="2180" t="s">
        <v>792</v>
      </c>
      <c r="D116" s="2194">
        <f ca="1">ROUND(IF(D115=D109,D110,IF(H19="元",D115/B124,D115*10000/B124)),0)</f>
        <v>41406</v>
      </c>
      <c r="E116" s="1964"/>
      <c r="F116" s="2938"/>
      <c r="G116" s="2939"/>
      <c r="H116" s="2196" t="s">
        <v>792</v>
      </c>
      <c r="I116" s="2211" t="str">
        <f ca="1">D120</f>
        <v>——</v>
      </c>
    </row>
    <row r="117" spans="1:26" ht="15.75">
      <c r="A117" s="2940" t="str">
        <f>IF(项目基本情况!F5="已注销及未注销","4.抵押担保权已注销时的房地产抵押价值",IF(项目基本情况!F5="已注销","3.抵押担保权已注销时的房地产抵押价值","——"))</f>
        <v>——</v>
      </c>
      <c r="B117" s="2941"/>
      <c r="C117" s="2180" t="str">
        <f>B102</f>
        <v>总价（万元）</v>
      </c>
      <c r="D117" s="2193" t="str">
        <f>IF(A117="——","——",D109-D113-D114)</f>
        <v>——</v>
      </c>
      <c r="E117" s="1964"/>
      <c r="F117" s="2959"/>
      <c r="G117" s="2959"/>
      <c r="H117" s="2960"/>
      <c r="I117" s="2960"/>
      <c r="N117" s="1351"/>
      <c r="O117" s="1351"/>
    </row>
    <row r="118" spans="1:26" s="1961" customFormat="1" ht="15">
      <c r="A118" s="2940"/>
      <c r="B118" s="2941"/>
      <c r="C118" s="2180" t="s">
        <v>792</v>
      </c>
      <c r="D118" s="2194" t="str">
        <f>IF(A117="——","——",IF(H19="元",ROUND(D117/B124,0),ROUND(D117*10000/B124,0)))</f>
        <v>——</v>
      </c>
      <c r="E118" s="1964"/>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1354"/>
      <c r="K118" s="1354"/>
      <c r="L118" s="1354"/>
      <c r="M118" s="1354"/>
      <c r="N118" s="1351"/>
      <c r="O118" s="1351"/>
      <c r="P118" s="1354"/>
      <c r="Q118" s="1354"/>
      <c r="R118" s="1354"/>
      <c r="S118" s="1354"/>
      <c r="T118" s="1354"/>
      <c r="U118" s="1354"/>
      <c r="V118" s="1354"/>
      <c r="W118" s="1354"/>
      <c r="X118" s="1354"/>
      <c r="Y118" s="1354"/>
      <c r="Z118" s="1354"/>
    </row>
    <row r="119" spans="1:26" s="1961" customFormat="1" ht="15">
      <c r="A119" s="2940" t="str">
        <f>IF(项目基本情况!G5="抵押净值",IF(OR(项目基本情况!F5="已注销",项目基本情况!F5="房地产抵押价值"),"4.抵押净值","5.抵押净值"),"——")</f>
        <v>——</v>
      </c>
      <c r="B119" s="2941"/>
      <c r="C119" s="2180" t="str">
        <f>B102</f>
        <v>总价（万元）</v>
      </c>
      <c r="D119" s="2193" t="str">
        <f>IF(A119="——","——",N60)</f>
        <v>——</v>
      </c>
      <c r="E119" s="1964"/>
      <c r="F119" s="2197"/>
      <c r="G119" s="2197"/>
      <c r="H119" s="2197"/>
      <c r="I119" s="2197"/>
      <c r="J119" s="1354"/>
      <c r="K119" s="1354"/>
      <c r="L119" s="1354"/>
      <c r="M119" s="1354"/>
      <c r="N119" s="1351"/>
      <c r="O119" s="1351"/>
      <c r="P119" s="1354"/>
      <c r="Q119" s="1354"/>
      <c r="R119" s="1354"/>
      <c r="S119" s="1354"/>
      <c r="T119" s="1354"/>
      <c r="U119" s="1354"/>
      <c r="V119" s="1354"/>
      <c r="W119" s="1354"/>
      <c r="X119" s="1354"/>
      <c r="Y119" s="1354"/>
      <c r="Z119" s="1354"/>
    </row>
    <row r="120" spans="1:26" s="1961" customFormat="1" ht="15">
      <c r="A120" s="2942"/>
      <c r="B120" s="2943"/>
      <c r="C120" s="2196" t="s">
        <v>792</v>
      </c>
      <c r="D120" s="2198" t="str">
        <f ca="1">IF(D119=D109,D110,IF(A119="——","——",N62))</f>
        <v>——</v>
      </c>
      <c r="E120" s="1964"/>
      <c r="F120" s="2197"/>
      <c r="G120" s="2197"/>
      <c r="H120" s="2197"/>
      <c r="I120" s="2197"/>
      <c r="J120" s="1354"/>
      <c r="K120" s="1354"/>
      <c r="L120" s="1354"/>
      <c r="M120" s="1354"/>
      <c r="N120" s="1351"/>
      <c r="O120" s="1351"/>
      <c r="P120" s="1354"/>
      <c r="Q120" s="1354"/>
      <c r="R120" s="1354"/>
      <c r="S120" s="1354"/>
      <c r="T120" s="1354"/>
      <c r="U120" s="1354"/>
      <c r="V120" s="1354"/>
      <c r="W120" s="1354"/>
      <c r="X120" s="1354"/>
      <c r="Y120" s="1354"/>
      <c r="Z120" s="1354"/>
    </row>
    <row r="121" spans="1:26" s="1961" customFormat="1" ht="15">
      <c r="A121" s="2962" t="s">
        <v>802</v>
      </c>
      <c r="B121" s="2963"/>
      <c r="C121" s="2963"/>
      <c r="D121" s="2963"/>
      <c r="E121" s="2963"/>
      <c r="F121" s="2963"/>
      <c r="G121" s="2963"/>
      <c r="H121" s="2963"/>
      <c r="I121" s="2963"/>
      <c r="J121" s="1354"/>
      <c r="K121" s="1354"/>
      <c r="L121" s="1354"/>
      <c r="M121" s="1354"/>
      <c r="N121" s="1354"/>
      <c r="O121" s="1354"/>
      <c r="P121" s="1354"/>
      <c r="Q121" s="1354"/>
      <c r="R121" s="1354"/>
      <c r="S121" s="1354"/>
      <c r="T121" s="1354"/>
      <c r="U121" s="1354"/>
      <c r="V121" s="1354"/>
      <c r="W121" s="1354"/>
      <c r="X121" s="1354"/>
      <c r="Y121" s="1354"/>
      <c r="Z121" s="1354"/>
    </row>
    <row r="122" spans="1:26" s="1961" customFormat="1" ht="14.25">
      <c r="A122" s="2902" t="s">
        <v>803</v>
      </c>
      <c r="B122" s="2906" t="s">
        <v>804</v>
      </c>
      <c r="C122" s="2906" t="s">
        <v>805</v>
      </c>
      <c r="D122" s="2964" t="s">
        <v>806</v>
      </c>
      <c r="E122" s="2965"/>
      <c r="F122" s="2900" t="s">
        <v>650</v>
      </c>
      <c r="G122" s="2900"/>
      <c r="H122" s="2900" t="s">
        <v>807</v>
      </c>
      <c r="I122" s="2901"/>
      <c r="J122" s="1354"/>
      <c r="K122" s="1354"/>
      <c r="L122" s="1354"/>
      <c r="M122" s="1354"/>
      <c r="N122" s="1354"/>
      <c r="O122" s="1354"/>
      <c r="P122" s="1354"/>
      <c r="Q122" s="1354"/>
      <c r="R122" s="1354"/>
      <c r="S122" s="1354"/>
      <c r="T122" s="1354"/>
      <c r="U122" s="1354"/>
      <c r="V122" s="1354"/>
      <c r="W122" s="1354"/>
      <c r="X122" s="1354"/>
      <c r="Y122" s="1354"/>
      <c r="Z122" s="1354"/>
    </row>
    <row r="123" spans="1:26" s="1961" customFormat="1" ht="14.25">
      <c r="A123" s="2902"/>
      <c r="B123" s="2907"/>
      <c r="C123" s="2907"/>
      <c r="D123" s="903" t="s">
        <v>808</v>
      </c>
      <c r="E123" s="903" t="s">
        <v>634</v>
      </c>
      <c r="F123" s="903" t="s">
        <v>808</v>
      </c>
      <c r="G123" s="903" t="s">
        <v>634</v>
      </c>
      <c r="H123" s="903" t="s">
        <v>808</v>
      </c>
      <c r="I123" s="781" t="s">
        <v>634</v>
      </c>
      <c r="J123" s="1354"/>
      <c r="K123" s="1354"/>
      <c r="L123" s="1354"/>
      <c r="M123" s="1354"/>
      <c r="N123" s="1354"/>
      <c r="O123" s="1354"/>
      <c r="P123" s="1354"/>
      <c r="Q123" s="1354"/>
      <c r="R123" s="1354"/>
      <c r="S123" s="1354"/>
      <c r="T123" s="1354"/>
      <c r="U123" s="1354"/>
      <c r="V123" s="1354"/>
      <c r="W123" s="1354"/>
      <c r="X123" s="1354"/>
      <c r="Y123" s="1354"/>
      <c r="Z123" s="1354"/>
    </row>
    <row r="124" spans="1:26" s="1961" customFormat="1" ht="14.25">
      <c r="A124" s="2199" t="str">
        <f>项目基本情况!I1</f>
        <v>北京市房地产</v>
      </c>
      <c r="B124" s="903">
        <f>典型户型修正!B25</f>
        <v>1024.48</v>
      </c>
      <c r="C124" s="2200"/>
      <c r="D124" s="903">
        <f ca="1">C35</f>
        <v>3545</v>
      </c>
      <c r="E124" s="903">
        <f ca="1">ROUND(IF(H19="元",D124/B124,D124*10000/B124),0)</f>
        <v>34603</v>
      </c>
      <c r="F124" s="903">
        <f ca="1">C36</f>
        <v>697</v>
      </c>
      <c r="G124" s="903">
        <f ca="1">ROUND(IF(H19="元",F124/B124,F124*10000/B124),0)</f>
        <v>6803</v>
      </c>
      <c r="H124" s="903">
        <f ca="1">C33</f>
        <v>4242</v>
      </c>
      <c r="I124" s="781">
        <f ca="1">C34</f>
        <v>41406</v>
      </c>
      <c r="J124" s="1354"/>
      <c r="K124" s="1354"/>
      <c r="L124" s="1354"/>
      <c r="M124" s="1354"/>
      <c r="N124" s="1354"/>
      <c r="O124" s="1354"/>
      <c r="P124" s="1354"/>
      <c r="Q124" s="1354"/>
      <c r="R124" s="1354"/>
      <c r="S124" s="1354"/>
      <c r="T124" s="1354"/>
      <c r="U124" s="1354"/>
      <c r="V124" s="1354"/>
      <c r="W124" s="1354"/>
      <c r="X124" s="1354"/>
      <c r="Y124" s="1354"/>
      <c r="Z124" s="1354"/>
    </row>
    <row r="125" spans="1:26" s="1961" customFormat="1" ht="14.25">
      <c r="A125" s="2902" t="s">
        <v>809</v>
      </c>
      <c r="B125" s="2900"/>
      <c r="C125" s="2900"/>
      <c r="D125" s="2903" t="str">
        <f ca="1">IF(H19="元",NUMBERSTRING(INT(D124),2)&amp;"元整",NUMBERSTRING(INT(D124*10000),2)&amp;"元整")</f>
        <v>叁仟伍佰肆拾伍万元整</v>
      </c>
      <c r="E125" s="2904"/>
      <c r="F125" s="2903" t="str">
        <f ca="1">IF(H19="元",NUMBERSTRING(INT(F124),2)&amp;"元整",NUMBERSTRING(INT(F124*10000),2)&amp;"元整")</f>
        <v>陆佰玖拾柒万元整</v>
      </c>
      <c r="G125" s="2904"/>
      <c r="H125" s="2903" t="str">
        <f ca="1">IF(H19="元",NUMBERSTRING(INT(H124),2)&amp;"元整",NUMBERSTRING(INT(H124*10000),2)&amp;"元整")</f>
        <v>肆仟贰佰肆拾贰万元整</v>
      </c>
      <c r="I125" s="2905"/>
      <c r="J125" s="1354"/>
      <c r="K125" s="1354"/>
      <c r="L125" s="1354"/>
      <c r="M125" s="1354"/>
      <c r="N125" s="1354"/>
      <c r="O125" s="1354"/>
      <c r="P125" s="1354"/>
      <c r="Q125" s="1354"/>
      <c r="R125" s="1354"/>
      <c r="S125" s="1354"/>
      <c r="T125" s="1354"/>
      <c r="U125" s="1354"/>
      <c r="V125" s="1354"/>
      <c r="W125" s="1354"/>
      <c r="X125" s="1354"/>
      <c r="Y125" s="1354"/>
      <c r="Z125" s="1354"/>
    </row>
    <row r="126" spans="1:26" s="1961" customFormat="1" ht="15">
      <c r="A126" s="2932" t="str">
        <f>IF(项目基本情况!D5="房地产市场价值","——",MID(A111,3,LEN(A111)-2))</f>
        <v>估价师所知悉的法定优先受偿款</v>
      </c>
      <c r="B126" s="2933"/>
      <c r="C126" s="2934"/>
      <c r="D126" s="2916">
        <f>I106</f>
        <v>0</v>
      </c>
      <c r="E126" s="2933"/>
      <c r="F126" s="2933"/>
      <c r="G126" s="2933"/>
      <c r="H126" s="2933"/>
      <c r="I126" s="2935"/>
      <c r="J126" s="1354"/>
      <c r="K126" s="1354"/>
      <c r="L126" s="1354"/>
      <c r="M126" s="1354"/>
      <c r="N126" s="1354"/>
      <c r="O126" s="1354"/>
      <c r="P126" s="1354"/>
      <c r="Q126" s="1354"/>
      <c r="R126" s="1354"/>
      <c r="S126" s="1354"/>
      <c r="T126" s="1354"/>
      <c r="U126" s="1354"/>
      <c r="V126" s="1354"/>
      <c r="W126" s="1354"/>
      <c r="X126" s="1354"/>
      <c r="Y126" s="1354"/>
      <c r="Z126" s="1354"/>
    </row>
    <row r="127" spans="1:26" s="1961" customFormat="1" ht="14.25">
      <c r="A127" s="2950" t="s">
        <v>809</v>
      </c>
      <c r="B127" s="2951"/>
      <c r="C127" s="2952"/>
      <c r="D127" s="2953">
        <f>H110</f>
        <v>0</v>
      </c>
      <c r="E127" s="2954"/>
      <c r="F127" s="2954"/>
      <c r="G127" s="2954"/>
      <c r="H127" s="2954"/>
      <c r="I127" s="2955"/>
      <c r="J127" s="1354"/>
      <c r="K127" s="1354"/>
      <c r="L127" s="1354"/>
      <c r="M127" s="1354"/>
      <c r="N127" s="1354"/>
      <c r="O127" s="1354"/>
      <c r="P127" s="1354"/>
      <c r="Q127" s="1354"/>
      <c r="R127" s="1354"/>
      <c r="S127" s="1354"/>
      <c r="T127" s="1354"/>
      <c r="U127" s="1354"/>
      <c r="V127" s="1354"/>
      <c r="W127" s="1354"/>
      <c r="X127" s="1354"/>
      <c r="Y127" s="1354"/>
      <c r="Z127" s="1354"/>
    </row>
    <row r="128" spans="1:26" s="1961" customFormat="1" ht="15">
      <c r="A128" s="2914" t="str">
        <f>IF(项目基本情况!D5="房地产市场价值","——",MID(A115,3,LEN(A115)-2))</f>
        <v>房地产抵押价值</v>
      </c>
      <c r="B128" s="2915"/>
      <c r="C128" s="2915"/>
      <c r="D128" s="2916">
        <f ca="1">I111</f>
        <v>4242</v>
      </c>
      <c r="E128" s="2933"/>
      <c r="F128" s="2933"/>
      <c r="G128" s="2933"/>
      <c r="H128" s="2933"/>
      <c r="I128" s="2935"/>
      <c r="J128" s="1354"/>
      <c r="K128" s="1354"/>
      <c r="L128" s="1354"/>
      <c r="M128" s="1354"/>
      <c r="N128" s="1354"/>
      <c r="O128" s="1354"/>
      <c r="P128" s="1354"/>
      <c r="Q128" s="1354"/>
      <c r="R128" s="1354"/>
      <c r="S128" s="1354"/>
      <c r="T128" s="1354"/>
      <c r="U128" s="1354"/>
      <c r="V128" s="1354"/>
      <c r="W128" s="1354"/>
      <c r="X128" s="1354"/>
      <c r="Y128" s="1354"/>
      <c r="Z128" s="1354"/>
    </row>
    <row r="129" spans="1:26" s="1961" customFormat="1" ht="14.25">
      <c r="A129" s="2902" t="s">
        <v>809</v>
      </c>
      <c r="B129" s="2900"/>
      <c r="C129" s="2900"/>
      <c r="D129" s="2953">
        <f ca="1">I112</f>
        <v>41406</v>
      </c>
      <c r="E129" s="2954"/>
      <c r="F129" s="2954"/>
      <c r="G129" s="2954"/>
      <c r="H129" s="2954"/>
      <c r="I129" s="2955"/>
      <c r="J129" s="1354"/>
      <c r="K129" s="1354"/>
      <c r="L129" s="1354"/>
      <c r="M129" s="1354"/>
      <c r="N129" s="1354"/>
      <c r="O129" s="1354"/>
      <c r="P129" s="1354"/>
      <c r="Q129" s="1354"/>
      <c r="R129" s="1354"/>
      <c r="S129" s="1354"/>
      <c r="T129" s="1354"/>
      <c r="U129" s="1354"/>
      <c r="V129" s="1354"/>
      <c r="W129" s="1354"/>
      <c r="X129" s="1354"/>
      <c r="Y129" s="1354"/>
      <c r="Z129" s="1354"/>
    </row>
    <row r="130" spans="1:26" s="1961" customFormat="1" ht="15">
      <c r="A130" s="2914" t="str">
        <f>IF(项目基本情况!D5="房地产市场价值","——",MID(A117,3,LEN(A117)-2))</f>
        <v/>
      </c>
      <c r="B130" s="2915"/>
      <c r="C130" s="2915"/>
      <c r="D130" s="2956" t="str">
        <f>I113</f>
        <v>——</v>
      </c>
      <c r="E130" s="2957"/>
      <c r="F130" s="2957"/>
      <c r="G130" s="2957"/>
      <c r="H130" s="2957"/>
      <c r="I130" s="2958"/>
      <c r="J130" s="1354"/>
      <c r="K130" s="1354"/>
      <c r="L130" s="1354"/>
      <c r="M130" s="1354"/>
      <c r="N130" s="1354"/>
      <c r="O130" s="1354"/>
      <c r="P130" s="1354"/>
      <c r="Q130" s="1354"/>
      <c r="R130" s="1354"/>
      <c r="S130" s="1354"/>
      <c r="T130" s="1354"/>
      <c r="U130" s="1354"/>
      <c r="V130" s="1354"/>
      <c r="W130" s="1354"/>
      <c r="X130" s="1354"/>
      <c r="Y130" s="1354"/>
      <c r="Z130" s="1354"/>
    </row>
    <row r="131" spans="1:26" s="1961" customFormat="1" ht="14.25">
      <c r="A131" s="2902" t="s">
        <v>809</v>
      </c>
      <c r="B131" s="2900"/>
      <c r="C131" s="2948"/>
      <c r="D131" s="2949" t="str">
        <f>I114</f>
        <v>——</v>
      </c>
      <c r="E131" s="2949"/>
      <c r="F131" s="2949"/>
      <c r="G131" s="2949"/>
      <c r="H131" s="2949"/>
      <c r="I131" s="2949"/>
      <c r="J131" s="1354"/>
      <c r="K131" s="1354"/>
      <c r="L131" s="1354"/>
      <c r="M131" s="1354"/>
      <c r="N131" s="1354"/>
      <c r="O131" s="1354"/>
      <c r="P131" s="1354"/>
      <c r="Q131" s="1354"/>
      <c r="R131" s="1354"/>
      <c r="S131" s="1354"/>
      <c r="T131" s="1354"/>
      <c r="U131" s="1354"/>
      <c r="V131" s="1354"/>
      <c r="W131" s="1354"/>
      <c r="X131" s="1354"/>
      <c r="Y131" s="1354"/>
      <c r="Z131" s="1354"/>
    </row>
    <row r="132" spans="1:26" s="1961" customFormat="1" ht="15">
      <c r="A132" s="2914" t="str">
        <f>IF(项目基本情况!D5="房地产市场价值","——",MID(F115,3,LEN(F115)-2))</f>
        <v/>
      </c>
      <c r="B132" s="2915"/>
      <c r="C132" s="2916"/>
      <c r="D132" s="2917" t="str">
        <f>I115</f>
        <v>——</v>
      </c>
      <c r="E132" s="2917"/>
      <c r="F132" s="2917"/>
      <c r="G132" s="2917"/>
      <c r="H132" s="2917"/>
      <c r="I132" s="2917"/>
      <c r="J132" s="1354"/>
      <c r="K132" s="1354"/>
      <c r="L132" s="1354"/>
      <c r="M132" s="1354"/>
      <c r="N132" s="1354"/>
      <c r="O132" s="1354"/>
      <c r="P132" s="1354"/>
      <c r="Q132" s="1354"/>
      <c r="R132" s="1354"/>
      <c r="S132" s="1354"/>
      <c r="T132" s="1354"/>
      <c r="U132" s="1354"/>
      <c r="V132" s="1354"/>
      <c r="W132" s="1354"/>
      <c r="X132" s="1354"/>
      <c r="Y132" s="1354"/>
      <c r="Z132" s="1354"/>
    </row>
    <row r="133" spans="1:26" s="1961" customFormat="1" ht="14.25">
      <c r="A133" s="2918" t="s">
        <v>809</v>
      </c>
      <c r="B133" s="2919"/>
      <c r="C133" s="2919"/>
      <c r="D133" s="2920">
        <f>H117</f>
        <v>0</v>
      </c>
      <c r="E133" s="2921"/>
      <c r="F133" s="2921"/>
      <c r="G133" s="2921"/>
      <c r="H133" s="2921"/>
      <c r="I133" s="2922"/>
      <c r="J133" s="1354"/>
      <c r="K133" s="1354"/>
      <c r="L133" s="1354"/>
      <c r="M133" s="1354"/>
      <c r="N133" s="1354"/>
      <c r="O133" s="1354"/>
      <c r="P133" s="1354"/>
      <c r="Q133" s="1354"/>
      <c r="R133" s="1354"/>
      <c r="S133" s="1354"/>
      <c r="T133" s="1354"/>
      <c r="U133" s="1354"/>
      <c r="V133" s="1354"/>
      <c r="W133" s="1354"/>
      <c r="X133" s="1354"/>
      <c r="Y133" s="1354"/>
      <c r="Z133" s="1354"/>
    </row>
    <row r="134" spans="1:26" s="1961" customFormat="1" ht="12.75">
      <c r="A134" s="2134" t="str">
        <f>IF(H19="元","单位：平方米、元、元/平方米（币种：人民币）","单位：平方米、万元、元/平方米（币种：人民币）")</f>
        <v>单位：平方米、万元、元/平方米（币种：人民币）</v>
      </c>
      <c r="B134" s="2134"/>
      <c r="C134" s="2134"/>
      <c r="D134" s="2134"/>
      <c r="E134" s="2134"/>
      <c r="F134" s="2134"/>
      <c r="G134" s="2134"/>
      <c r="H134" s="2134"/>
      <c r="I134" s="2134"/>
      <c r="J134" s="1354"/>
      <c r="K134" s="1354"/>
      <c r="L134" s="1354"/>
      <c r="M134" s="1354"/>
      <c r="N134" s="1354"/>
      <c r="O134" s="1354"/>
      <c r="P134" s="1354"/>
      <c r="Q134" s="1354"/>
      <c r="R134" s="1354"/>
      <c r="S134" s="1354"/>
      <c r="T134" s="1354"/>
      <c r="U134" s="1354"/>
      <c r="V134" s="1354"/>
      <c r="W134" s="1354"/>
      <c r="X134" s="1354"/>
      <c r="Y134" s="1354"/>
      <c r="Z134" s="1354"/>
    </row>
    <row r="135" spans="1:26" s="1961" customFormat="1" ht="12.75">
      <c r="A135" s="2923" t="str">
        <f>IF(B32="总价","（以上估价结果中楼面单价为总价除以建筑面积得出）","（以上估价结果中总价为楼面单价乘以建筑面积得出）")</f>
        <v>（以上估价结果中总价为楼面单价乘以建筑面积得出）</v>
      </c>
      <c r="B135" s="2923"/>
      <c r="C135" s="2923"/>
      <c r="D135" s="2923"/>
      <c r="E135" s="2923"/>
      <c r="F135" s="2923"/>
      <c r="G135" s="2923"/>
      <c r="H135" s="2923"/>
      <c r="I135" s="2923"/>
      <c r="J135" s="1354"/>
      <c r="K135" s="1354"/>
      <c r="L135" s="1354"/>
      <c r="M135" s="1354"/>
      <c r="N135" s="1354"/>
      <c r="O135" s="1354"/>
      <c r="P135" s="1354"/>
      <c r="Q135" s="1354"/>
      <c r="R135" s="1354"/>
      <c r="S135" s="1354"/>
      <c r="T135" s="1354"/>
      <c r="U135" s="1354"/>
      <c r="V135" s="1354"/>
      <c r="W135" s="1354"/>
      <c r="X135" s="1354"/>
      <c r="Y135" s="1354"/>
      <c r="Z135" s="1354"/>
    </row>
    <row r="136" spans="1:26" s="1961" customFormat="1" ht="21.75" customHeight="1">
      <c r="A136" s="2215" t="s">
        <v>810</v>
      </c>
      <c r="B136" s="2216"/>
      <c r="C136" s="2217" t="s">
        <v>811</v>
      </c>
      <c r="D136" s="2218"/>
      <c r="E136" s="2218"/>
      <c r="F136" s="2218"/>
      <c r="G136" s="2218"/>
      <c r="H136" s="2219"/>
      <c r="I136" s="2232"/>
      <c r="J136" s="1354"/>
      <c r="K136" s="1354"/>
      <c r="L136" s="1354"/>
      <c r="M136" s="1354"/>
      <c r="N136" s="1354"/>
      <c r="O136" s="1354"/>
      <c r="P136" s="1354"/>
      <c r="Q136" s="1354"/>
      <c r="R136" s="1354"/>
      <c r="S136" s="1354"/>
      <c r="T136" s="1354"/>
      <c r="U136" s="1354"/>
      <c r="V136" s="1354"/>
      <c r="W136" s="1354"/>
      <c r="X136" s="1354"/>
      <c r="Y136" s="1354"/>
      <c r="Z136" s="1354"/>
    </row>
    <row r="137" spans="1:26" s="1961" customFormat="1" ht="21.75" customHeight="1">
      <c r="A137" s="2220">
        <v>1</v>
      </c>
      <c r="B137" s="2221"/>
      <c r="C137" s="2221"/>
      <c r="D137" s="2218"/>
      <c r="E137" s="2218"/>
      <c r="F137" s="2218"/>
      <c r="G137" s="2218"/>
      <c r="H137" s="2219"/>
      <c r="I137" s="2232"/>
      <c r="J137" s="1354"/>
      <c r="K137" s="1354"/>
      <c r="L137" s="1354"/>
      <c r="M137" s="1354"/>
      <c r="N137" s="1354"/>
      <c r="O137" s="1354"/>
      <c r="P137" s="1354"/>
      <c r="Q137" s="1354"/>
      <c r="R137" s="1354"/>
      <c r="S137" s="1354"/>
      <c r="T137" s="1354"/>
      <c r="U137" s="1354"/>
      <c r="V137" s="1354"/>
      <c r="W137" s="1354"/>
      <c r="X137" s="1354"/>
      <c r="Y137" s="1354"/>
      <c r="Z137" s="1354"/>
    </row>
    <row r="138" spans="1:26" s="1961" customFormat="1" ht="21.75" customHeight="1">
      <c r="A138" s="2220">
        <v>2</v>
      </c>
      <c r="B138" s="2221"/>
      <c r="C138" s="2221"/>
      <c r="D138" s="2218"/>
      <c r="E138" s="2218"/>
      <c r="F138" s="2218"/>
      <c r="G138" s="2218"/>
      <c r="H138" s="2219"/>
      <c r="I138" s="2232"/>
      <c r="J138" s="1354"/>
      <c r="K138" s="1354"/>
      <c r="L138" s="1354"/>
      <c r="M138" s="1354"/>
      <c r="N138" s="1354"/>
      <c r="O138" s="1354"/>
      <c r="P138" s="1354"/>
      <c r="Q138" s="1354"/>
      <c r="R138" s="1354"/>
      <c r="S138" s="1354"/>
      <c r="T138" s="1354"/>
      <c r="U138" s="1354"/>
      <c r="V138" s="1354"/>
      <c r="W138" s="1354"/>
      <c r="X138" s="1354"/>
      <c r="Y138" s="1354"/>
      <c r="Z138" s="1354"/>
    </row>
    <row r="139" spans="1:26" s="1961" customFormat="1" ht="21.75" customHeight="1">
      <c r="A139" s="2220">
        <v>3</v>
      </c>
      <c r="B139" s="2221"/>
      <c r="C139" s="2221"/>
      <c r="D139" s="2218"/>
      <c r="E139" s="2218"/>
      <c r="F139" s="1351"/>
      <c r="G139" s="1351"/>
      <c r="H139" s="1351"/>
      <c r="I139" s="1351"/>
      <c r="J139" s="1354"/>
      <c r="K139" s="1354"/>
      <c r="L139" s="1354"/>
      <c r="M139" s="1354"/>
      <c r="N139" s="1354"/>
      <c r="O139" s="1354"/>
      <c r="P139" s="1354"/>
      <c r="Q139" s="1354"/>
      <c r="R139" s="1354"/>
      <c r="S139" s="1354"/>
      <c r="T139" s="1354"/>
      <c r="U139" s="1354"/>
      <c r="V139" s="1354"/>
      <c r="W139" s="1354"/>
      <c r="X139" s="1354"/>
      <c r="Y139" s="1354"/>
      <c r="Z139" s="1354"/>
    </row>
    <row r="140" spans="1:26" s="1961" customFormat="1" ht="21.75" customHeight="1">
      <c r="A140" s="2222"/>
      <c r="B140" s="2223"/>
      <c r="C140" s="2223"/>
      <c r="D140" s="2224"/>
      <c r="E140" s="2224"/>
      <c r="F140" s="2224"/>
      <c r="G140" s="2224"/>
      <c r="H140" s="2225"/>
      <c r="I140" s="2233"/>
      <c r="J140" s="1354"/>
      <c r="K140" s="1354"/>
      <c r="L140" s="1354"/>
      <c r="M140" s="1354"/>
      <c r="N140" s="1354"/>
      <c r="O140" s="1354"/>
      <c r="P140" s="1354"/>
      <c r="Q140" s="1354"/>
      <c r="R140" s="1354"/>
      <c r="S140" s="1354"/>
      <c r="T140" s="1354"/>
      <c r="U140" s="1354"/>
      <c r="V140" s="1354"/>
      <c r="W140" s="1354"/>
      <c r="X140" s="1354"/>
      <c r="Y140" s="1354"/>
      <c r="Z140" s="1354"/>
    </row>
    <row r="141" spans="1:26" s="1961" customFormat="1" ht="21.75" customHeight="1">
      <c r="A141" s="2221"/>
      <c r="B141" s="2221"/>
      <c r="C141" s="2221"/>
      <c r="D141" s="2218"/>
      <c r="E141" s="2218"/>
      <c r="F141" s="2218"/>
      <c r="G141" s="2218"/>
      <c r="H141" s="2219"/>
      <c r="I141" s="1354"/>
      <c r="J141" s="1354"/>
      <c r="K141" s="1354"/>
      <c r="L141" s="1354"/>
      <c r="M141" s="1354"/>
      <c r="N141" s="1354"/>
      <c r="O141" s="1354"/>
      <c r="P141" s="1354"/>
      <c r="Q141" s="1354"/>
      <c r="R141" s="1354"/>
      <c r="S141" s="1354"/>
      <c r="T141" s="1354"/>
      <c r="U141" s="1354"/>
      <c r="V141" s="1354"/>
      <c r="W141" s="1354"/>
      <c r="X141" s="1354"/>
      <c r="Y141" s="1354"/>
      <c r="Z141" s="1354"/>
    </row>
    <row r="142" spans="1:26" s="1961" customFormat="1" ht="21.75" customHeight="1">
      <c r="A142" s="1354"/>
      <c r="B142" s="1354"/>
      <c r="C142" s="1354"/>
      <c r="D142" s="1354"/>
      <c r="E142" s="1354"/>
      <c r="F142" s="2226" t="s">
        <v>812</v>
      </c>
      <c r="G142" s="2227"/>
      <c r="H142" s="2227"/>
      <c r="I142" s="2234" t="s">
        <v>813</v>
      </c>
      <c r="J142" s="1354"/>
      <c r="K142" s="1354"/>
      <c r="L142" s="1354"/>
      <c r="M142" s="1354"/>
      <c r="N142" s="1354"/>
      <c r="O142" s="1354"/>
      <c r="P142" s="1354"/>
      <c r="Q142" s="1354"/>
      <c r="R142" s="1354"/>
      <c r="S142" s="1354"/>
      <c r="T142" s="1354"/>
      <c r="U142" s="1354"/>
      <c r="V142" s="1354"/>
      <c r="W142" s="1354"/>
      <c r="X142" s="1354"/>
      <c r="Y142" s="1354"/>
      <c r="Z142" s="1354"/>
    </row>
    <row r="143" spans="1:26" s="1961" customFormat="1" ht="21.75" customHeight="1">
      <c r="A143" s="1354"/>
      <c r="B143" s="2228" t="s">
        <v>814</v>
      </c>
      <c r="C143" s="1354"/>
      <c r="D143" s="1354"/>
      <c r="E143" s="1354"/>
      <c r="F143" s="1354"/>
      <c r="G143" s="1354"/>
      <c r="H143" s="1354"/>
      <c r="I143" s="1354"/>
      <c r="J143" s="1354"/>
      <c r="K143" s="1354"/>
      <c r="L143" s="1354"/>
      <c r="M143" s="1354"/>
      <c r="N143" s="1354"/>
      <c r="O143" s="1354"/>
      <c r="P143" s="1354"/>
      <c r="Q143" s="1354"/>
      <c r="R143" s="1354"/>
      <c r="S143" s="1354"/>
      <c r="T143" s="1354"/>
      <c r="U143" s="1354"/>
      <c r="V143" s="1354"/>
      <c r="W143" s="1354"/>
      <c r="X143" s="1354"/>
      <c r="Y143" s="1354"/>
      <c r="Z143" s="1354"/>
    </row>
    <row r="144" spans="1:26" s="1961" customFormat="1" ht="21.75" customHeight="1">
      <c r="A144" s="1354"/>
      <c r="B144" s="1354"/>
      <c r="C144" s="1354"/>
      <c r="D144" s="1354"/>
      <c r="E144" s="1354"/>
      <c r="F144" s="1354"/>
      <c r="G144" s="1354"/>
      <c r="H144" s="1354"/>
      <c r="I144" s="1354"/>
      <c r="J144" s="1354"/>
      <c r="K144" s="1354"/>
      <c r="L144" s="1354"/>
      <c r="M144" s="1354"/>
      <c r="N144" s="1354"/>
      <c r="O144" s="1354"/>
      <c r="P144" s="1354"/>
      <c r="Q144" s="1354"/>
      <c r="R144" s="1354"/>
      <c r="S144" s="1354"/>
      <c r="T144" s="1354"/>
      <c r="U144" s="1354"/>
      <c r="V144" s="1354"/>
      <c r="W144" s="1354"/>
      <c r="X144" s="1354"/>
      <c r="Y144" s="1354"/>
      <c r="Z144" s="1354"/>
    </row>
    <row r="145" spans="1:26" s="1961" customFormat="1" ht="21.75" customHeight="1">
      <c r="A145" s="1354"/>
      <c r="B145" s="2227"/>
      <c r="C145" s="2227"/>
      <c r="D145" s="2227"/>
      <c r="E145" s="2227"/>
      <c r="F145" s="2227"/>
      <c r="G145" s="2227"/>
      <c r="H145" s="2227"/>
      <c r="I145" s="2234" t="s">
        <v>815</v>
      </c>
      <c r="J145" s="1354"/>
      <c r="K145" s="1354"/>
      <c r="L145" s="1354"/>
      <c r="M145" s="1354"/>
      <c r="N145" s="1354"/>
      <c r="O145" s="1354"/>
      <c r="P145" s="1354"/>
      <c r="Q145" s="1354"/>
      <c r="R145" s="1354"/>
      <c r="S145" s="1354"/>
      <c r="T145" s="1354"/>
      <c r="U145" s="1354"/>
      <c r="V145" s="1354"/>
      <c r="W145" s="1354"/>
      <c r="X145" s="1354"/>
      <c r="Y145" s="1354"/>
      <c r="Z145" s="1354"/>
    </row>
    <row r="146" spans="1:26" s="1961" customFormat="1" ht="21.75" customHeight="1">
      <c r="A146" s="1354"/>
      <c r="B146" s="2228" t="s">
        <v>816</v>
      </c>
      <c r="C146" s="1354"/>
      <c r="D146" s="1354"/>
      <c r="E146" s="1354"/>
      <c r="F146" s="1354"/>
      <c r="G146" s="1354"/>
      <c r="H146" s="1354"/>
      <c r="I146" s="1354"/>
      <c r="J146" s="1354"/>
      <c r="K146" s="1354"/>
      <c r="L146" s="1354"/>
      <c r="M146" s="1354"/>
      <c r="N146" s="1354"/>
      <c r="O146" s="1354"/>
      <c r="P146" s="1354"/>
      <c r="Q146" s="1354"/>
      <c r="R146" s="1354"/>
      <c r="S146" s="1354"/>
      <c r="T146" s="1354"/>
      <c r="U146" s="1354"/>
      <c r="V146" s="1354"/>
      <c r="W146" s="1354"/>
      <c r="X146" s="1354"/>
      <c r="Y146" s="1354"/>
      <c r="Z146" s="1354"/>
    </row>
    <row r="147" spans="1:26" s="1961" customFormat="1" ht="21.75" customHeight="1">
      <c r="A147" s="1354"/>
      <c r="B147" s="2228"/>
      <c r="C147" s="1354"/>
      <c r="D147" s="1354"/>
      <c r="E147" s="1354"/>
      <c r="F147" s="1354"/>
      <c r="G147" s="1354"/>
      <c r="H147" s="1354"/>
      <c r="I147" s="1354"/>
      <c r="J147" s="1354"/>
      <c r="K147" s="1354"/>
      <c r="L147" s="1354"/>
      <c r="M147" s="1354"/>
      <c r="N147" s="1354"/>
      <c r="O147" s="1354"/>
      <c r="P147" s="1354"/>
      <c r="Q147" s="1354"/>
      <c r="R147" s="1354"/>
      <c r="S147" s="1354"/>
      <c r="T147" s="1354"/>
      <c r="U147" s="1354"/>
      <c r="V147" s="1354"/>
      <c r="W147" s="1354"/>
      <c r="X147" s="1354"/>
      <c r="Y147" s="1354"/>
      <c r="Z147" s="1354"/>
    </row>
    <row r="148" spans="1:26" s="1961" customFormat="1" ht="21.75" customHeight="1">
      <c r="A148" s="1354"/>
      <c r="B148" s="2227"/>
      <c r="C148" s="2227"/>
      <c r="D148" s="2227"/>
      <c r="E148" s="2227"/>
      <c r="F148" s="2227"/>
      <c r="G148" s="2227"/>
      <c r="H148" s="2227"/>
      <c r="I148" s="2234" t="s">
        <v>815</v>
      </c>
      <c r="J148" s="1354"/>
      <c r="K148" s="1354"/>
      <c r="L148" s="1354"/>
      <c r="M148" s="1354"/>
      <c r="N148" s="1354"/>
      <c r="O148" s="1354"/>
      <c r="P148" s="1354"/>
      <c r="Q148" s="1354"/>
      <c r="R148" s="1354"/>
      <c r="S148" s="1354"/>
      <c r="T148" s="1354"/>
      <c r="U148" s="1354"/>
      <c r="V148" s="1354"/>
      <c r="W148" s="1354"/>
      <c r="X148" s="1354"/>
      <c r="Y148" s="1354"/>
      <c r="Z148" s="1354"/>
    </row>
    <row r="149" spans="1:26" s="1961" customFormat="1" ht="21.75" customHeight="1">
      <c r="A149" s="1354"/>
      <c r="B149" s="2228"/>
      <c r="C149" s="2229"/>
      <c r="D149" s="2230"/>
      <c r="E149" s="2230"/>
      <c r="F149" s="2231"/>
      <c r="G149" s="1354"/>
      <c r="H149" s="1354"/>
      <c r="I149" s="1354"/>
      <c r="J149" s="1354"/>
      <c r="K149" s="1354"/>
      <c r="L149" s="1354"/>
      <c r="M149" s="1354"/>
      <c r="N149" s="1354"/>
      <c r="O149" s="1354"/>
      <c r="P149" s="1354"/>
      <c r="Q149" s="1354"/>
      <c r="R149" s="1354"/>
      <c r="S149" s="1354"/>
      <c r="T149" s="1354"/>
      <c r="U149" s="1354"/>
      <c r="V149" s="1354"/>
      <c r="W149" s="1354"/>
      <c r="X149" s="1354"/>
      <c r="Y149" s="1354"/>
      <c r="Z149" s="1354"/>
    </row>
    <row r="150" spans="1:26" s="1354" customFormat="1" ht="21.75" customHeight="1">
      <c r="B150" s="2228"/>
      <c r="C150" s="2229"/>
      <c r="D150" s="2230"/>
      <c r="E150" s="2230"/>
    </row>
    <row r="151" spans="1:26" s="1354" customFormat="1" ht="21.75" customHeight="1"/>
    <row r="152" spans="1:26" s="1354" customFormat="1" ht="21.75" customHeight="1"/>
    <row r="153" spans="1:26" s="1354" customFormat="1" ht="21.75" customHeight="1"/>
    <row r="154" spans="1:26" s="1354" customFormat="1" ht="21.75" customHeight="1"/>
    <row r="155" spans="1:26" s="1354" customFormat="1" ht="21.75" customHeight="1"/>
    <row r="156" spans="1:26" s="1354" customFormat="1" ht="21.75" customHeight="1"/>
    <row r="157" spans="1:26" s="1354" customFormat="1" ht="21.75" customHeight="1"/>
    <row r="158" spans="1:26" s="1354" customFormat="1" ht="21.75" customHeight="1"/>
    <row r="159" spans="1:26" s="1354" customFormat="1" ht="21.75" customHeight="1"/>
    <row r="160" spans="1:26" s="1354" customFormat="1" ht="21.75" customHeight="1"/>
    <row r="161" s="1354" customFormat="1" ht="21.75" customHeight="1"/>
    <row r="162" s="1354" customFormat="1" ht="21.75" customHeight="1"/>
    <row r="163" s="1354" customFormat="1" ht="21.75" customHeight="1"/>
    <row r="164" s="1354" customFormat="1" ht="21.75" customHeight="1"/>
    <row r="165" s="1354" customFormat="1" ht="21.75" customHeight="1"/>
    <row r="166" s="1354" customFormat="1" ht="21.75" customHeight="1"/>
    <row r="167" s="1354" customFormat="1" ht="21.75" customHeight="1"/>
    <row r="168" s="1354" customFormat="1" ht="21.75" customHeight="1"/>
    <row r="169" s="1354" customFormat="1" ht="21.75" customHeight="1"/>
    <row r="170" s="1354" customFormat="1" ht="21.75" customHeight="1"/>
    <row r="171" s="1354" customFormat="1" ht="21.75" customHeight="1"/>
    <row r="172" s="1354" customFormat="1" ht="21.75" customHeight="1"/>
    <row r="173" s="1354" customFormat="1" ht="21.75" customHeight="1"/>
    <row r="174" s="1354" customFormat="1" ht="21.75" customHeight="1"/>
    <row r="175" s="1354" customFormat="1" ht="21.75" customHeight="1"/>
    <row r="176" s="1354" customFormat="1" ht="21.75" customHeight="1"/>
    <row r="177" s="1354" customFormat="1" ht="21.75" customHeight="1"/>
    <row r="178" s="1354" customFormat="1" ht="21.75" customHeight="1"/>
    <row r="179" s="1354" customFormat="1" ht="21.75" customHeight="1"/>
    <row r="180" s="1354" customFormat="1" ht="21.75" customHeight="1"/>
    <row r="181" s="1354" customFormat="1" ht="21.75" customHeight="1"/>
    <row r="182" s="1354" customFormat="1" ht="21.75" customHeight="1"/>
    <row r="183" s="1354" customFormat="1" ht="21.75" customHeight="1"/>
    <row r="184" s="1354" customFormat="1" ht="21.75" customHeight="1"/>
    <row r="185" s="1354" customFormat="1" ht="21.75" customHeight="1"/>
    <row r="186" s="1354" customFormat="1" ht="21.75" customHeight="1"/>
    <row r="187" s="1354" customFormat="1" ht="21.75" customHeight="1"/>
    <row r="188" s="1354" customFormat="1" ht="21.75" customHeight="1"/>
    <row r="189" s="1354" customFormat="1" ht="21.75" customHeight="1"/>
    <row r="190" s="1354" customFormat="1" ht="21.75" customHeight="1"/>
    <row r="191" s="1354" customFormat="1" ht="21.75" customHeight="1"/>
    <row r="192" s="1354" customFormat="1" ht="21.75" customHeight="1"/>
    <row r="193" s="1354" customFormat="1" ht="21.75" customHeight="1"/>
    <row r="194" s="1354" customFormat="1" ht="21.75" customHeight="1"/>
    <row r="195" s="1354" customFormat="1" ht="21.75" customHeight="1"/>
    <row r="196" s="1354" customFormat="1" ht="21.75" customHeight="1"/>
    <row r="197" s="1354" customFormat="1" ht="21.75" customHeight="1"/>
    <row r="198" s="1354" customFormat="1" ht="21.75" customHeight="1"/>
    <row r="199" s="1354" customFormat="1" ht="21.75" customHeight="1"/>
    <row r="200" s="1354" customFormat="1" ht="21.75" customHeight="1"/>
    <row r="201" s="1354" customFormat="1" ht="21.75" customHeight="1"/>
    <row r="202" s="1354" customFormat="1" ht="21.75" customHeight="1"/>
    <row r="203" s="1354" customFormat="1" ht="21.75" customHeight="1"/>
    <row r="204" s="1354" customFormat="1" ht="21.75" customHeight="1"/>
    <row r="205" s="1354" customFormat="1" ht="21.75" customHeight="1"/>
    <row r="206" s="1354" customFormat="1" ht="21.75" customHeight="1"/>
    <row r="207" s="1354" customFormat="1" ht="21.75" customHeight="1"/>
    <row r="208" s="1354" customFormat="1" ht="21.75" customHeight="1"/>
    <row r="209" s="1354" customFormat="1" ht="21.75" customHeight="1"/>
    <row r="210" s="1354" customFormat="1" ht="21.75" customHeight="1"/>
    <row r="211" s="1354" customFormat="1" ht="21.75" customHeight="1"/>
    <row r="212" s="1354" customFormat="1" ht="21.75" customHeight="1"/>
    <row r="213" s="1354" customFormat="1" ht="21.75" customHeight="1"/>
    <row r="214" s="1354" customFormat="1" ht="21.75" customHeight="1"/>
    <row r="215" s="1354" customFormat="1" ht="21.75" customHeight="1"/>
    <row r="216" s="1354" customFormat="1" ht="21.75" customHeight="1"/>
    <row r="217" s="1354" customFormat="1" ht="21.75" customHeight="1"/>
    <row r="218" s="1354" customFormat="1" ht="21.75" customHeight="1"/>
    <row r="219" s="1354" customFormat="1" ht="21.75" customHeight="1"/>
    <row r="220" s="1354" customFormat="1" ht="21.75" customHeight="1"/>
    <row r="221" s="1354" customFormat="1" ht="21.75" customHeight="1"/>
    <row r="222" s="1354" customFormat="1" ht="21.75" customHeight="1"/>
    <row r="223" s="1354" customFormat="1" ht="21.75" customHeight="1"/>
    <row r="224" s="1354" customFormat="1" ht="21.75" customHeight="1"/>
    <row r="225" s="1354" customFormat="1" ht="21.75" customHeight="1"/>
    <row r="226" s="1354" customFormat="1" ht="21.75" customHeight="1"/>
    <row r="227" s="1354" customFormat="1" ht="21.75" customHeight="1"/>
    <row r="228" s="1354" customFormat="1" ht="21.75" customHeight="1"/>
    <row r="229" s="1354" customFormat="1" ht="21.75" customHeight="1"/>
    <row r="230" s="1354" customFormat="1" ht="21.75" customHeight="1"/>
    <row r="231" s="1354" customFormat="1" ht="21.75" customHeight="1"/>
    <row r="232" s="1354" customFormat="1" ht="21.75" customHeight="1"/>
    <row r="233" s="1354" customFormat="1" ht="21.75" customHeight="1"/>
    <row r="234" s="1354" customFormat="1" ht="21.75" customHeight="1"/>
    <row r="235" s="1354" customFormat="1" ht="21.75" customHeight="1"/>
    <row r="236" s="1354" customFormat="1" ht="21.75" customHeight="1"/>
    <row r="237" s="1354" customFormat="1" ht="21.75" customHeight="1"/>
    <row r="238" s="1354" customFormat="1" ht="21.75" customHeight="1"/>
    <row r="239" s="1354" customFormat="1" ht="21.75" customHeight="1"/>
    <row r="240" s="1354" customFormat="1" ht="21.75" customHeight="1"/>
    <row r="241" s="1354" customFormat="1" ht="21.75" customHeight="1"/>
    <row r="242" s="1354" customFormat="1" ht="21.75" customHeight="1"/>
    <row r="243" s="1354" customFormat="1" ht="21.75" customHeight="1"/>
    <row r="244" s="1354" customFormat="1" ht="21.75" customHeight="1"/>
    <row r="245" s="1354" customFormat="1" ht="21.75" customHeight="1"/>
    <row r="246" s="1354" customFormat="1" ht="21.75" customHeight="1"/>
    <row r="247" s="1354" customFormat="1" ht="21.75" customHeight="1"/>
    <row r="248" s="1354" customFormat="1" ht="21.75" customHeight="1"/>
    <row r="249" s="1354" customFormat="1" ht="21.75" customHeight="1"/>
    <row r="250" s="1354" customFormat="1" ht="21.75" customHeight="1"/>
    <row r="251" s="1354" customFormat="1" ht="21.75" customHeight="1"/>
    <row r="252" s="1354" customFormat="1" ht="21.75" customHeight="1"/>
    <row r="253" s="1354" customFormat="1" ht="21.75" customHeight="1"/>
    <row r="254" s="1354" customFormat="1" ht="21.75" customHeight="1"/>
    <row r="255" s="1354" customFormat="1" ht="21.75" customHeight="1"/>
    <row r="256" s="1354" customFormat="1" ht="21.75" customHeight="1"/>
    <row r="257" s="1354" customFormat="1" ht="21.75" customHeight="1"/>
    <row r="258" s="1354" customFormat="1" ht="21.75" customHeight="1"/>
    <row r="259" s="1354" customFormat="1" ht="21.75" customHeight="1"/>
    <row r="260" s="1354" customFormat="1" ht="21.75" customHeight="1"/>
    <row r="261" s="1354" customFormat="1" ht="21.75" customHeight="1"/>
    <row r="262" s="1354" customFormat="1" ht="21.75" customHeight="1"/>
    <row r="263" s="1354" customFormat="1" ht="21.75" customHeight="1"/>
    <row r="264" s="1354" customFormat="1" ht="21.75" customHeight="1"/>
    <row r="265" s="1354" customFormat="1" ht="21.75" customHeight="1"/>
    <row r="266" s="1354" customFormat="1" ht="21.75" customHeight="1"/>
    <row r="267" s="1354" customFormat="1" ht="21.75" customHeight="1"/>
    <row r="268" s="1354" customFormat="1" ht="21.75" customHeight="1"/>
    <row r="269" s="1354" customFormat="1" ht="21.75" customHeight="1"/>
    <row r="270" s="1354" customFormat="1" ht="21.75" customHeight="1"/>
    <row r="271" s="1354" customFormat="1" ht="21.75" customHeight="1"/>
    <row r="272" s="1354" customFormat="1" ht="21.75" customHeight="1"/>
    <row r="273" s="1354" customFormat="1" ht="21.75" customHeight="1"/>
    <row r="274" s="1354" customFormat="1" ht="21.75" customHeight="1"/>
    <row r="275" s="1354" customFormat="1" ht="21.75" customHeight="1"/>
    <row r="276" s="1354" customFormat="1" ht="21.75" customHeight="1"/>
    <row r="277" s="1354" customFormat="1" ht="21.75" customHeight="1"/>
    <row r="278" s="1354" customFormat="1" ht="21.75" customHeight="1"/>
    <row r="279" s="1354" customFormat="1" ht="21.75" customHeight="1"/>
    <row r="280" s="1354" customFormat="1" ht="21.75" customHeight="1"/>
    <row r="281" s="1354" customFormat="1" ht="21.75" customHeight="1"/>
    <row r="282" s="1354" customFormat="1" ht="21.75" customHeight="1"/>
    <row r="283" s="1354" customFormat="1" ht="21.75" customHeight="1"/>
    <row r="284" s="1354" customFormat="1" ht="21.75" customHeight="1"/>
    <row r="285" s="1354" customFormat="1" ht="21.75" customHeight="1"/>
    <row r="286" s="1354" customFormat="1" ht="21.75" customHeight="1"/>
    <row r="287" s="1354" customFormat="1" ht="21.75" customHeight="1"/>
    <row r="288" s="1354" customFormat="1" ht="21.75" customHeight="1"/>
    <row r="289" s="1354" customFormat="1" ht="21.75" customHeight="1"/>
    <row r="290" s="1354" customFormat="1" ht="21.75" customHeight="1"/>
    <row r="291" s="1354" customFormat="1" ht="21.75" customHeight="1"/>
    <row r="292" s="1354" customFormat="1" ht="21.75" customHeight="1"/>
    <row r="293" s="1354" customFormat="1" ht="21.75" customHeight="1"/>
    <row r="294" s="1354" customFormat="1" ht="21.75" customHeight="1"/>
    <row r="295" s="1354" customFormat="1" ht="21.75" customHeight="1"/>
    <row r="296" s="1354" customFormat="1" ht="21.75" customHeight="1"/>
    <row r="297" s="1354" customFormat="1" ht="21.75" customHeight="1"/>
    <row r="298" s="1354" customFormat="1" ht="21.75" customHeight="1"/>
    <row r="299" s="1354" customFormat="1" ht="21.75" customHeight="1"/>
    <row r="300" s="1354" customFormat="1" ht="21.75" customHeight="1"/>
    <row r="301" s="1354" customFormat="1" ht="21.75" customHeight="1"/>
    <row r="302" s="1354" customFormat="1" ht="21.75" customHeight="1"/>
    <row r="303" s="1354" customFormat="1" ht="21.75" customHeight="1"/>
    <row r="304" s="1354" customFormat="1" ht="21.75" customHeight="1"/>
    <row r="305" s="1354" customFormat="1" ht="21.75" customHeight="1"/>
    <row r="306" s="1354" customFormat="1" ht="21.75" customHeight="1"/>
    <row r="307" s="1354" customFormat="1" ht="21.75" customHeight="1"/>
    <row r="308" s="1354" customFormat="1" ht="21.75" customHeight="1"/>
    <row r="309" s="1354" customFormat="1" ht="21.75" customHeight="1"/>
    <row r="310" s="1354" customFormat="1" ht="21.75" customHeight="1"/>
    <row r="311" s="1354" customFormat="1" ht="21.75" customHeight="1"/>
    <row r="312" s="1354" customFormat="1" ht="21.75" customHeight="1"/>
    <row r="313" s="1354" customFormat="1" ht="21.75" customHeight="1"/>
    <row r="314" s="1354" customFormat="1" ht="21.75" customHeight="1"/>
    <row r="315" s="1354" customFormat="1" ht="21.75" customHeight="1"/>
    <row r="316" s="1354" customFormat="1" ht="21.75" customHeight="1"/>
    <row r="317" s="1354" customFormat="1" ht="21.75" customHeight="1"/>
    <row r="318" s="1354" customFormat="1" ht="21.75" customHeight="1"/>
    <row r="319" s="1354" customFormat="1" ht="21.75" customHeight="1"/>
    <row r="320" s="1354" customFormat="1" ht="21.75" customHeight="1"/>
    <row r="321" s="1354" customFormat="1" ht="21.75" customHeight="1"/>
    <row r="322" s="1354" customFormat="1" ht="21.75" customHeight="1"/>
    <row r="323" s="1354" customFormat="1" ht="21.75" customHeight="1"/>
    <row r="324" s="1354" customFormat="1" ht="21.75" customHeight="1"/>
    <row r="325" s="1354" customFormat="1" ht="21.75" customHeight="1"/>
    <row r="326" s="1354" customFormat="1" ht="21.75" customHeight="1"/>
    <row r="327" s="1354" customFormat="1" ht="21.75" customHeight="1"/>
    <row r="328" s="1354" customFormat="1" ht="21.75" customHeight="1"/>
    <row r="329" s="1354" customFormat="1" ht="21.75" customHeight="1"/>
    <row r="330" s="1354" customFormat="1" ht="21.75" customHeight="1"/>
    <row r="331" s="1354" customFormat="1" ht="21.75" customHeight="1"/>
    <row r="332" s="1354" customFormat="1" ht="21.75" customHeight="1"/>
    <row r="333" s="1354" customFormat="1" ht="21.75" customHeight="1"/>
    <row r="334" s="1354" customFormat="1" ht="21.75" customHeight="1"/>
    <row r="335" s="1354" customFormat="1" ht="21.75" customHeight="1"/>
    <row r="336" s="1354" customFormat="1" ht="21.75" customHeight="1"/>
    <row r="337" s="1354" customFormat="1" ht="21.75" customHeight="1"/>
    <row r="338" s="1354" customFormat="1" ht="21.75" customHeight="1"/>
    <row r="339" s="1354" customFormat="1" ht="21.75" customHeight="1"/>
    <row r="340" s="1354" customFormat="1" ht="21.75" customHeight="1"/>
    <row r="341" s="1354" customFormat="1" ht="21.75" customHeight="1"/>
    <row r="342" s="1354" customFormat="1" ht="21.75" customHeight="1"/>
    <row r="343" s="1354" customFormat="1" ht="21.75" customHeight="1"/>
    <row r="344" s="1354" customFormat="1" ht="21.75" customHeight="1"/>
    <row r="345" s="1354" customFormat="1" ht="21.75" customHeight="1"/>
    <row r="346" s="1354" customFormat="1" ht="21.75" customHeight="1"/>
    <row r="347" s="1354" customFormat="1" ht="21.75" customHeight="1"/>
    <row r="348" s="1354" customFormat="1" ht="21.75" customHeight="1"/>
    <row r="349" s="1354" customFormat="1" ht="21.75" customHeight="1"/>
    <row r="350" s="1354" customFormat="1" ht="21.75" customHeight="1"/>
    <row r="351" s="1354" customFormat="1" ht="21.75" customHeight="1"/>
    <row r="352" s="1354" customFormat="1" ht="21.75" customHeight="1"/>
    <row r="353" s="1354" customFormat="1" ht="21.75" customHeight="1"/>
    <row r="354" s="1354" customFormat="1" ht="21.75" customHeight="1"/>
    <row r="355" s="1354" customFormat="1" ht="21.75" customHeight="1"/>
    <row r="356" s="1354" customFormat="1" ht="21.75" customHeight="1"/>
    <row r="357" s="1354" customFormat="1" ht="21.75" customHeight="1"/>
    <row r="358" s="1354" customFormat="1" ht="21.75" customHeight="1"/>
    <row r="359" s="1354" customFormat="1" ht="21.75" customHeight="1"/>
    <row r="360" s="1354" customFormat="1" ht="21.75" customHeight="1"/>
    <row r="361" s="1354" customFormat="1" ht="21.75" customHeight="1"/>
    <row r="362" s="1354" customFormat="1" ht="21.75" customHeight="1"/>
    <row r="363" s="1354" customFormat="1" ht="21.75" customHeight="1"/>
    <row r="364" s="1354" customFormat="1" ht="21.75" customHeight="1"/>
    <row r="365" s="1354" customFormat="1" ht="21.75" customHeight="1"/>
    <row r="366" s="1354" customFormat="1" ht="21.75" customHeight="1"/>
    <row r="367" s="1354" customFormat="1" ht="21.75" customHeight="1"/>
    <row r="368" s="1354" customFormat="1" ht="21.75" customHeight="1"/>
    <row r="369" spans="10:26" s="1354" customFormat="1" ht="21.75" customHeight="1"/>
    <row r="370" spans="10:26" s="1354" customFormat="1" ht="21.75" customHeight="1"/>
    <row r="371" spans="10:26" s="1354" customFormat="1" ht="21.75" customHeight="1"/>
    <row r="372" spans="10:26" s="1354" customFormat="1" ht="21.75" customHeight="1"/>
    <row r="373" spans="10:26" s="1354" customFormat="1" ht="21.75" customHeight="1"/>
    <row r="374" spans="10:26" s="1354" customFormat="1" ht="21.75" customHeight="1"/>
    <row r="375" spans="10:26" s="1354" customFormat="1" ht="21.75" customHeight="1"/>
    <row r="376" spans="10:26" s="1354" customFormat="1" ht="21.75" customHeight="1"/>
    <row r="377" spans="10:26" s="1354" customFormat="1" ht="21.75" customHeight="1"/>
    <row r="378" spans="10:26" s="1354" customFormat="1" ht="21.75" customHeight="1"/>
    <row r="379" spans="10:26" s="1354" customFormat="1" ht="21.75" customHeight="1"/>
    <row r="380" spans="10:26" s="1354" customFormat="1" ht="21.75" customHeight="1"/>
    <row r="381" spans="10:26" s="1354" customFormat="1" ht="21.75" customHeight="1"/>
    <row r="382" spans="10:26" s="1961" customFormat="1" ht="21.75" customHeight="1">
      <c r="J382" s="1354"/>
      <c r="K382" s="1354"/>
      <c r="L382" s="1354"/>
      <c r="M382" s="1354"/>
      <c r="N382" s="1354"/>
      <c r="O382" s="1354"/>
      <c r="P382" s="1354"/>
      <c r="Q382" s="1354"/>
      <c r="R382" s="1354"/>
      <c r="S382" s="1354"/>
      <c r="T382" s="1354"/>
      <c r="U382" s="1354"/>
      <c r="V382" s="1354"/>
      <c r="W382" s="1354"/>
      <c r="X382" s="1354"/>
      <c r="Y382" s="1354"/>
      <c r="Z382" s="1354"/>
    </row>
    <row r="383" spans="10:26" s="1961" customFormat="1" ht="21.75" customHeight="1">
      <c r="J383" s="1354"/>
      <c r="K383" s="1354"/>
      <c r="L383" s="1354"/>
      <c r="M383" s="1354"/>
      <c r="N383" s="1354"/>
      <c r="O383" s="1354"/>
      <c r="P383" s="1354"/>
      <c r="Q383" s="1354"/>
      <c r="R383" s="1354"/>
      <c r="S383" s="1354"/>
      <c r="T383" s="1354"/>
      <c r="U383" s="1354"/>
      <c r="V383" s="1354"/>
      <c r="W383" s="1354"/>
      <c r="X383" s="1354"/>
      <c r="Y383" s="1354"/>
      <c r="Z383" s="1354"/>
    </row>
    <row r="384" spans="10:26" s="1961" customFormat="1" ht="21.75" customHeight="1">
      <c r="J384" s="1354"/>
      <c r="K384" s="1354"/>
      <c r="L384" s="1354"/>
      <c r="M384" s="1354"/>
      <c r="N384" s="1354"/>
      <c r="O384" s="1354"/>
      <c r="P384" s="1354"/>
      <c r="Q384" s="1354"/>
      <c r="R384" s="1354"/>
      <c r="S384" s="1354"/>
      <c r="T384" s="1354"/>
      <c r="U384" s="1354"/>
      <c r="V384" s="1354"/>
      <c r="W384" s="1354"/>
      <c r="X384" s="1354"/>
      <c r="Y384" s="1354"/>
      <c r="Z384" s="1354"/>
    </row>
    <row r="385" spans="10:26" s="1961" customFormat="1" ht="21.75" customHeight="1">
      <c r="J385" s="1354"/>
      <c r="K385" s="1354"/>
      <c r="L385" s="1354"/>
      <c r="M385" s="1354"/>
      <c r="N385" s="1354"/>
      <c r="O385" s="1354"/>
      <c r="P385" s="1354"/>
      <c r="Q385" s="1354"/>
      <c r="R385" s="1354"/>
      <c r="S385" s="1354"/>
      <c r="T385" s="1354"/>
      <c r="U385" s="1354"/>
      <c r="V385" s="1354"/>
      <c r="W385" s="1354"/>
      <c r="X385" s="1354"/>
      <c r="Y385" s="1354"/>
      <c r="Z385" s="1354"/>
    </row>
    <row r="386" spans="10:26" s="1961" customFormat="1" ht="21.75" customHeight="1">
      <c r="J386" s="1354"/>
      <c r="K386" s="1354"/>
      <c r="L386" s="1354"/>
      <c r="M386" s="1354"/>
      <c r="N386" s="1354"/>
      <c r="O386" s="1354"/>
      <c r="P386" s="1354"/>
      <c r="Q386" s="1354"/>
      <c r="R386" s="1354"/>
      <c r="S386" s="1354"/>
      <c r="T386" s="1354"/>
      <c r="U386" s="1354"/>
      <c r="V386" s="1354"/>
      <c r="W386" s="1354"/>
      <c r="X386" s="1354"/>
      <c r="Y386" s="1354"/>
      <c r="Z386" s="1354"/>
    </row>
    <row r="387" spans="10:26" s="1961" customFormat="1" ht="21.75" customHeight="1">
      <c r="J387" s="1354"/>
      <c r="K387" s="1354"/>
      <c r="L387" s="1354"/>
      <c r="M387" s="1354"/>
      <c r="N387" s="1354"/>
      <c r="O387" s="1354"/>
      <c r="P387" s="1354"/>
      <c r="Q387" s="1354"/>
      <c r="R387" s="1354"/>
      <c r="S387" s="1354"/>
      <c r="T387" s="1354"/>
      <c r="U387" s="1354"/>
      <c r="V387" s="1354"/>
      <c r="W387" s="1354"/>
      <c r="X387" s="1354"/>
      <c r="Y387" s="1354"/>
      <c r="Z387" s="1354"/>
    </row>
    <row r="388" spans="10:26" s="1961" customFormat="1" ht="21.75" customHeight="1">
      <c r="J388" s="1354"/>
      <c r="K388" s="1354"/>
      <c r="L388" s="1354"/>
      <c r="M388" s="1354"/>
      <c r="N388" s="1354"/>
      <c r="O388" s="1354"/>
      <c r="P388" s="1354"/>
      <c r="Q388" s="1354"/>
      <c r="R388" s="1354"/>
      <c r="S388" s="1354"/>
      <c r="T388" s="1354"/>
      <c r="U388" s="1354"/>
      <c r="V388" s="1354"/>
      <c r="W388" s="1354"/>
      <c r="X388" s="1354"/>
      <c r="Y388" s="1354"/>
      <c r="Z388" s="1354"/>
    </row>
    <row r="389" spans="10:26" s="1961" customFormat="1" ht="21.75" customHeight="1">
      <c r="J389" s="1354"/>
      <c r="K389" s="1354"/>
      <c r="L389" s="1354"/>
      <c r="M389" s="1354"/>
      <c r="N389" s="1354"/>
      <c r="O389" s="1354"/>
      <c r="P389" s="1354"/>
      <c r="Q389" s="1354"/>
      <c r="R389" s="1354"/>
      <c r="S389" s="1354"/>
      <c r="T389" s="1354"/>
      <c r="U389" s="1354"/>
      <c r="V389" s="1354"/>
      <c r="W389" s="1354"/>
      <c r="X389" s="1354"/>
      <c r="Y389" s="1354"/>
      <c r="Z389" s="1354"/>
    </row>
    <row r="390" spans="10:26" s="1961" customFormat="1" ht="21.75" customHeight="1">
      <c r="J390" s="1354"/>
      <c r="K390" s="1354"/>
      <c r="L390" s="1354"/>
      <c r="M390" s="1354"/>
      <c r="N390" s="1354"/>
      <c r="O390" s="1354"/>
      <c r="P390" s="1354"/>
      <c r="Q390" s="1354"/>
      <c r="R390" s="1354"/>
      <c r="S390" s="1354"/>
      <c r="T390" s="1354"/>
      <c r="U390" s="1354"/>
      <c r="V390" s="1354"/>
      <c r="W390" s="1354"/>
      <c r="X390" s="1354"/>
      <c r="Y390" s="1354"/>
      <c r="Z390" s="1354"/>
    </row>
    <row r="391" spans="10:26" s="1961" customFormat="1" ht="21.75" customHeight="1">
      <c r="J391" s="1354"/>
      <c r="K391" s="1354"/>
      <c r="L391" s="1354"/>
      <c r="M391" s="1354"/>
      <c r="N391" s="1354"/>
      <c r="O391" s="1354"/>
      <c r="P391" s="1354"/>
      <c r="Q391" s="1354"/>
      <c r="R391" s="1354"/>
      <c r="S391" s="1354"/>
      <c r="T391" s="1354"/>
      <c r="U391" s="1354"/>
      <c r="V391" s="1354"/>
      <c r="W391" s="1354"/>
      <c r="X391" s="1354"/>
      <c r="Y391" s="1354"/>
      <c r="Z391" s="1354"/>
    </row>
    <row r="392" spans="10:26" s="1961" customFormat="1" ht="21.75" customHeight="1">
      <c r="J392" s="1354"/>
      <c r="K392" s="1354"/>
      <c r="L392" s="1354"/>
      <c r="M392" s="1354"/>
      <c r="N392" s="1354"/>
      <c r="O392" s="1354"/>
      <c r="P392" s="1354"/>
      <c r="Q392" s="1354"/>
      <c r="R392" s="1354"/>
      <c r="S392" s="1354"/>
      <c r="T392" s="1354"/>
      <c r="U392" s="1354"/>
      <c r="V392" s="1354"/>
      <c r="W392" s="1354"/>
      <c r="X392" s="1354"/>
      <c r="Y392" s="1354"/>
      <c r="Z392" s="1354"/>
    </row>
    <row r="393" spans="10:26" s="1961" customFormat="1" ht="21.75" customHeight="1">
      <c r="J393" s="1354"/>
      <c r="K393" s="1354"/>
      <c r="L393" s="1354"/>
      <c r="M393" s="1354"/>
      <c r="N393" s="1354"/>
      <c r="O393" s="1354"/>
      <c r="P393" s="1354"/>
      <c r="Q393" s="1354"/>
      <c r="R393" s="1354"/>
      <c r="S393" s="1354"/>
      <c r="T393" s="1354"/>
      <c r="U393" s="1354"/>
      <c r="V393" s="1354"/>
      <c r="W393" s="1354"/>
      <c r="X393" s="1354"/>
      <c r="Y393" s="1354"/>
      <c r="Z393" s="1354"/>
    </row>
    <row r="394" spans="10:26" s="1961" customFormat="1" ht="21.75" customHeight="1">
      <c r="J394" s="1354"/>
      <c r="K394" s="1354"/>
      <c r="L394" s="1354"/>
      <c r="M394" s="1354"/>
      <c r="N394" s="1354"/>
      <c r="O394" s="1354"/>
      <c r="P394" s="1354"/>
      <c r="Q394" s="1354"/>
      <c r="R394" s="1354"/>
      <c r="S394" s="1354"/>
      <c r="T394" s="1354"/>
      <c r="U394" s="1354"/>
      <c r="V394" s="1354"/>
      <c r="W394" s="1354"/>
      <c r="X394" s="1354"/>
      <c r="Y394" s="1354"/>
      <c r="Z394" s="1354"/>
    </row>
    <row r="395" spans="10:26" s="1961" customFormat="1" ht="21.75" customHeight="1">
      <c r="J395" s="1354"/>
      <c r="K395" s="1354"/>
      <c r="L395" s="1354"/>
      <c r="M395" s="1354"/>
      <c r="N395" s="1354"/>
      <c r="O395" s="1354"/>
      <c r="P395" s="1354"/>
      <c r="Q395" s="1354"/>
      <c r="R395" s="1354"/>
      <c r="S395" s="1354"/>
      <c r="T395" s="1354"/>
      <c r="U395" s="1354"/>
      <c r="V395" s="1354"/>
      <c r="W395" s="1354"/>
      <c r="X395" s="1354"/>
      <c r="Y395" s="1354"/>
      <c r="Z395" s="1354"/>
    </row>
    <row r="396" spans="10:26" s="1961" customFormat="1" ht="21.75" customHeight="1">
      <c r="J396" s="1354"/>
      <c r="K396" s="1354"/>
      <c r="L396" s="1354"/>
      <c r="M396" s="1354"/>
      <c r="N396" s="1354"/>
      <c r="O396" s="1354"/>
      <c r="P396" s="1354"/>
      <c r="Q396" s="1354"/>
      <c r="R396" s="1354"/>
      <c r="S396" s="1354"/>
      <c r="T396" s="1354"/>
      <c r="U396" s="1354"/>
      <c r="V396" s="1354"/>
      <c r="W396" s="1354"/>
      <c r="X396" s="1354"/>
      <c r="Y396" s="1354"/>
      <c r="Z396" s="1354"/>
    </row>
    <row r="397" spans="10:26" s="1961" customFormat="1" ht="21.75" customHeight="1">
      <c r="J397" s="1354"/>
      <c r="K397" s="1354"/>
      <c r="L397" s="1354"/>
      <c r="M397" s="1354"/>
      <c r="N397" s="1354"/>
      <c r="O397" s="1354"/>
      <c r="P397" s="1354"/>
      <c r="Q397" s="1354"/>
      <c r="R397" s="1354"/>
      <c r="S397" s="1354"/>
      <c r="T397" s="1354"/>
      <c r="U397" s="1354"/>
      <c r="V397" s="1354"/>
      <c r="W397" s="1354"/>
      <c r="X397" s="1354"/>
      <c r="Y397" s="1354"/>
      <c r="Z397" s="1354"/>
    </row>
    <row r="398" spans="10:26" s="1961" customFormat="1" ht="21.75" customHeight="1">
      <c r="J398" s="1354"/>
      <c r="K398" s="1354"/>
      <c r="L398" s="1354"/>
      <c r="M398" s="1354"/>
      <c r="N398" s="1354"/>
      <c r="O398" s="1354"/>
      <c r="P398" s="1354"/>
      <c r="Q398" s="1354"/>
      <c r="R398" s="1354"/>
      <c r="S398" s="1354"/>
      <c r="T398" s="1354"/>
      <c r="U398" s="1354"/>
      <c r="V398" s="1354"/>
      <c r="W398" s="1354"/>
      <c r="X398" s="1354"/>
      <c r="Y398" s="1354"/>
      <c r="Z398" s="1354"/>
    </row>
    <row r="399" spans="10:26" s="1961" customFormat="1" ht="21.75" customHeight="1">
      <c r="J399" s="1354"/>
      <c r="K399" s="1354"/>
      <c r="L399" s="1354"/>
      <c r="M399" s="1354"/>
      <c r="N399" s="1354"/>
      <c r="O399" s="1354"/>
      <c r="P399" s="1354"/>
      <c r="Q399" s="1354"/>
      <c r="R399" s="1354"/>
      <c r="S399" s="1354"/>
      <c r="T399" s="1354"/>
      <c r="U399" s="1354"/>
      <c r="V399" s="1354"/>
      <c r="W399" s="1354"/>
      <c r="X399" s="1354"/>
      <c r="Y399" s="1354"/>
      <c r="Z399" s="1354"/>
    </row>
    <row r="400" spans="10:26" s="1961" customFormat="1" ht="21.75" customHeight="1">
      <c r="J400" s="1354"/>
      <c r="K400" s="1354"/>
      <c r="L400" s="1354"/>
      <c r="M400" s="1354"/>
      <c r="N400" s="1354"/>
      <c r="O400" s="1354"/>
      <c r="P400" s="1354"/>
      <c r="Q400" s="1354"/>
      <c r="R400" s="1354"/>
      <c r="S400" s="1354"/>
      <c r="T400" s="1354"/>
      <c r="U400" s="1354"/>
      <c r="V400" s="1354"/>
      <c r="W400" s="1354"/>
      <c r="X400" s="1354"/>
      <c r="Y400" s="1354"/>
      <c r="Z400" s="1354"/>
    </row>
    <row r="401" spans="10:26" s="1961" customFormat="1" ht="21.75" customHeight="1">
      <c r="J401" s="1354"/>
      <c r="K401" s="1354"/>
      <c r="L401" s="1354"/>
      <c r="M401" s="1354"/>
      <c r="N401" s="1354"/>
      <c r="O401" s="1354"/>
      <c r="P401" s="1354"/>
      <c r="Q401" s="1354"/>
      <c r="R401" s="1354"/>
      <c r="S401" s="1354"/>
      <c r="T401" s="1354"/>
      <c r="U401" s="1354"/>
      <c r="V401" s="1354"/>
      <c r="W401" s="1354"/>
      <c r="X401" s="1354"/>
      <c r="Y401" s="1354"/>
      <c r="Z401" s="1354"/>
    </row>
    <row r="402" spans="10:26" s="1961" customFormat="1" ht="21.75" customHeight="1">
      <c r="J402" s="1354"/>
      <c r="K402" s="1354"/>
      <c r="L402" s="1354"/>
      <c r="M402" s="1354"/>
      <c r="N402" s="1354"/>
      <c r="O402" s="1354"/>
      <c r="P402" s="1354"/>
      <c r="Q402" s="1354"/>
      <c r="R402" s="1354"/>
      <c r="S402" s="1354"/>
      <c r="T402" s="1354"/>
      <c r="U402" s="1354"/>
      <c r="V402" s="1354"/>
      <c r="W402" s="1354"/>
      <c r="X402" s="1354"/>
      <c r="Y402" s="1354"/>
      <c r="Z402" s="1354"/>
    </row>
    <row r="403" spans="10:26" s="1961" customFormat="1" ht="21.75" customHeight="1">
      <c r="J403" s="1354"/>
      <c r="K403" s="1354"/>
      <c r="L403" s="1354"/>
      <c r="M403" s="1354"/>
      <c r="N403" s="1354"/>
      <c r="O403" s="1354"/>
      <c r="P403" s="1354"/>
      <c r="Q403" s="1354"/>
      <c r="R403" s="1354"/>
      <c r="S403" s="1354"/>
      <c r="T403" s="1354"/>
      <c r="U403" s="1354"/>
      <c r="V403" s="1354"/>
      <c r="W403" s="1354"/>
      <c r="X403" s="1354"/>
      <c r="Y403" s="1354"/>
      <c r="Z403" s="1354"/>
    </row>
    <row r="404" spans="10:26" s="1961" customFormat="1" ht="21.75" customHeight="1">
      <c r="J404" s="1354"/>
      <c r="K404" s="1354"/>
      <c r="L404" s="1354"/>
      <c r="M404" s="1354"/>
      <c r="N404" s="1354"/>
      <c r="O404" s="1354"/>
      <c r="P404" s="1354"/>
      <c r="Q404" s="1354"/>
      <c r="R404" s="1354"/>
      <c r="S404" s="1354"/>
      <c r="T404" s="1354"/>
      <c r="U404" s="1354"/>
      <c r="V404" s="1354"/>
      <c r="W404" s="1354"/>
      <c r="X404" s="1354"/>
      <c r="Y404" s="1354"/>
      <c r="Z404" s="1354"/>
    </row>
    <row r="405" spans="10:26" s="1961" customFormat="1" ht="21.75" customHeight="1">
      <c r="J405" s="1354"/>
      <c r="K405" s="1354"/>
      <c r="L405" s="1354"/>
      <c r="M405" s="1354"/>
      <c r="N405" s="1354"/>
      <c r="O405" s="1354"/>
      <c r="P405" s="1354"/>
      <c r="Q405" s="1354"/>
      <c r="R405" s="1354"/>
      <c r="S405" s="1354"/>
      <c r="T405" s="1354"/>
      <c r="U405" s="1354"/>
      <c r="V405" s="1354"/>
      <c r="W405" s="1354"/>
      <c r="X405" s="1354"/>
      <c r="Y405" s="1354"/>
      <c r="Z405" s="1354"/>
    </row>
    <row r="406" spans="10:26" s="1961" customFormat="1" ht="21.75" customHeight="1">
      <c r="J406" s="1354"/>
      <c r="K406" s="1354"/>
      <c r="L406" s="1354"/>
      <c r="M406" s="1354"/>
      <c r="N406" s="1354"/>
      <c r="O406" s="1354"/>
      <c r="P406" s="1354"/>
      <c r="Q406" s="1354"/>
      <c r="R406" s="1354"/>
      <c r="S406" s="1354"/>
      <c r="T406" s="1354"/>
      <c r="U406" s="1354"/>
      <c r="V406" s="1354"/>
      <c r="W406" s="1354"/>
      <c r="X406" s="1354"/>
      <c r="Y406" s="1354"/>
      <c r="Z406" s="1354"/>
    </row>
    <row r="407" spans="10:26" s="1961" customFormat="1" ht="21.75" customHeight="1">
      <c r="J407" s="1354"/>
      <c r="K407" s="1354"/>
      <c r="L407" s="1354"/>
      <c r="M407" s="1354"/>
      <c r="N407" s="1354"/>
      <c r="O407" s="1354"/>
      <c r="P407" s="1354"/>
      <c r="Q407" s="1354"/>
      <c r="R407" s="1354"/>
      <c r="S407" s="1354"/>
      <c r="T407" s="1354"/>
      <c r="U407" s="1354"/>
      <c r="V407" s="1354"/>
      <c r="W407" s="1354"/>
      <c r="X407" s="1354"/>
      <c r="Y407" s="1354"/>
      <c r="Z407" s="1354"/>
    </row>
    <row r="408" spans="10:26" s="1961" customFormat="1" ht="21.75" customHeight="1">
      <c r="J408" s="1354"/>
      <c r="K408" s="1354"/>
      <c r="L408" s="1354"/>
      <c r="M408" s="1354"/>
      <c r="N408" s="1354"/>
      <c r="O408" s="1354"/>
      <c r="P408" s="1354"/>
      <c r="Q408" s="1354"/>
      <c r="R408" s="1354"/>
      <c r="S408" s="1354"/>
      <c r="T408" s="1354"/>
      <c r="U408" s="1354"/>
      <c r="V408" s="1354"/>
      <c r="W408" s="1354"/>
      <c r="X408" s="1354"/>
      <c r="Y408" s="1354"/>
      <c r="Z408" s="1354"/>
    </row>
    <row r="409" spans="10:26" s="1961" customFormat="1" ht="21.75" customHeight="1">
      <c r="J409" s="1354"/>
      <c r="K409" s="1354"/>
      <c r="L409" s="1354"/>
      <c r="M409" s="1354"/>
      <c r="N409" s="1354"/>
      <c r="O409" s="1354"/>
      <c r="P409" s="1354"/>
      <c r="Q409" s="1354"/>
      <c r="R409" s="1354"/>
      <c r="S409" s="1354"/>
      <c r="T409" s="1354"/>
      <c r="U409" s="1354"/>
      <c r="V409" s="1354"/>
      <c r="W409" s="1354"/>
      <c r="X409" s="1354"/>
      <c r="Y409" s="1354"/>
      <c r="Z409" s="1354"/>
    </row>
    <row r="410" spans="10:26" s="1961" customFormat="1" ht="21.75" customHeight="1">
      <c r="J410" s="1354"/>
      <c r="K410" s="1354"/>
      <c r="L410" s="1354"/>
      <c r="M410" s="1354"/>
      <c r="N410" s="1354"/>
      <c r="O410" s="1354"/>
      <c r="P410" s="1354"/>
      <c r="Q410" s="1354"/>
      <c r="R410" s="1354"/>
      <c r="S410" s="1354"/>
      <c r="T410" s="1354"/>
      <c r="U410" s="1354"/>
      <c r="V410" s="1354"/>
      <c r="W410" s="1354"/>
      <c r="X410" s="1354"/>
      <c r="Y410" s="1354"/>
      <c r="Z410" s="1354"/>
    </row>
    <row r="411" spans="10:26" s="1961" customFormat="1" ht="21.75" customHeight="1">
      <c r="J411" s="1354"/>
      <c r="K411" s="1354"/>
      <c r="L411" s="1354"/>
      <c r="M411" s="1354"/>
      <c r="N411" s="1354"/>
      <c r="O411" s="1354"/>
      <c r="P411" s="1354"/>
      <c r="Q411" s="1354"/>
      <c r="R411" s="1354"/>
      <c r="S411" s="1354"/>
      <c r="T411" s="1354"/>
      <c r="U411" s="1354"/>
      <c r="V411" s="1354"/>
      <c r="W411" s="1354"/>
      <c r="X411" s="1354"/>
      <c r="Y411" s="1354"/>
      <c r="Z411" s="1354"/>
    </row>
    <row r="412" spans="10:26" s="1961" customFormat="1" ht="21.75" customHeight="1">
      <c r="J412" s="1354"/>
      <c r="K412" s="1354"/>
      <c r="L412" s="1354"/>
      <c r="M412" s="1354"/>
      <c r="N412" s="1354"/>
      <c r="O412" s="1354"/>
      <c r="P412" s="1354"/>
      <c r="Q412" s="1354"/>
      <c r="R412" s="1354"/>
      <c r="S412" s="1354"/>
      <c r="T412" s="1354"/>
      <c r="U412" s="1354"/>
      <c r="V412" s="1354"/>
      <c r="W412" s="1354"/>
      <c r="X412" s="1354"/>
      <c r="Y412" s="1354"/>
      <c r="Z412" s="1354"/>
    </row>
    <row r="413" spans="10:26" s="1961" customFormat="1" ht="21.75" customHeight="1">
      <c r="J413" s="1354"/>
      <c r="K413" s="1354"/>
      <c r="L413" s="1354"/>
      <c r="M413" s="1354"/>
      <c r="N413" s="1354"/>
      <c r="O413" s="1354"/>
      <c r="P413" s="1354"/>
      <c r="Q413" s="1354"/>
      <c r="R413" s="1354"/>
      <c r="S413" s="1354"/>
      <c r="T413" s="1354"/>
      <c r="U413" s="1354"/>
      <c r="V413" s="1354"/>
      <c r="W413" s="1354"/>
      <c r="X413" s="1354"/>
      <c r="Y413" s="1354"/>
      <c r="Z413" s="1354"/>
    </row>
    <row r="414" spans="10:26" s="1961" customFormat="1" ht="21.75" customHeight="1">
      <c r="J414" s="1354"/>
      <c r="K414" s="1354"/>
      <c r="L414" s="1354"/>
      <c r="M414" s="1354"/>
      <c r="N414" s="1354"/>
      <c r="O414" s="1354"/>
      <c r="P414" s="1354"/>
      <c r="Q414" s="1354"/>
      <c r="R414" s="1354"/>
      <c r="S414" s="1354"/>
      <c r="T414" s="1354"/>
      <c r="U414" s="1354"/>
      <c r="V414" s="1354"/>
      <c r="W414" s="1354"/>
      <c r="X414" s="1354"/>
      <c r="Y414" s="1354"/>
      <c r="Z414" s="1354"/>
    </row>
    <row r="415" spans="10:26" s="1961" customFormat="1" ht="21.75" customHeight="1">
      <c r="J415" s="1354"/>
      <c r="K415" s="1354"/>
      <c r="L415" s="1354"/>
      <c r="M415" s="1354"/>
      <c r="N415" s="1354"/>
      <c r="O415" s="1354"/>
      <c r="P415" s="1354"/>
      <c r="Q415" s="1354"/>
      <c r="R415" s="1354"/>
      <c r="S415" s="1354"/>
      <c r="T415" s="1354"/>
      <c r="U415" s="1354"/>
      <c r="V415" s="1354"/>
      <c r="W415" s="1354"/>
      <c r="X415" s="1354"/>
      <c r="Y415" s="1354"/>
      <c r="Z415" s="1354"/>
    </row>
    <row r="416" spans="10:26" s="1961" customFormat="1" ht="21.75" customHeight="1">
      <c r="J416" s="1354"/>
      <c r="K416" s="1354"/>
      <c r="L416" s="1354"/>
      <c r="M416" s="1354"/>
      <c r="N416" s="1354"/>
      <c r="O416" s="1354"/>
      <c r="P416" s="1354"/>
      <c r="Q416" s="1354"/>
      <c r="R416" s="1354"/>
      <c r="S416" s="1354"/>
      <c r="T416" s="1354"/>
      <c r="U416" s="1354"/>
      <c r="V416" s="1354"/>
      <c r="W416" s="1354"/>
      <c r="X416" s="1354"/>
      <c r="Y416" s="1354"/>
      <c r="Z416" s="1354"/>
    </row>
    <row r="417" spans="10:26" s="1961" customFormat="1" ht="21.75" customHeight="1">
      <c r="J417" s="1354"/>
      <c r="K417" s="1354"/>
      <c r="L417" s="1354"/>
      <c r="M417" s="1354"/>
      <c r="N417" s="1354"/>
      <c r="O417" s="1354"/>
      <c r="P417" s="1354"/>
      <c r="Q417" s="1354"/>
      <c r="R417" s="1354"/>
      <c r="S417" s="1354"/>
      <c r="T417" s="1354"/>
      <c r="U417" s="1354"/>
      <c r="V417" s="1354"/>
      <c r="W417" s="1354"/>
      <c r="X417" s="1354"/>
      <c r="Y417" s="1354"/>
      <c r="Z417" s="1354"/>
    </row>
    <row r="418" spans="10:26" s="1961" customFormat="1" ht="21.75" customHeight="1">
      <c r="J418" s="1354"/>
      <c r="K418" s="1354"/>
      <c r="L418" s="1354"/>
      <c r="M418" s="1354"/>
      <c r="N418" s="1354"/>
      <c r="O418" s="1354"/>
      <c r="P418" s="1354"/>
      <c r="Q418" s="1354"/>
      <c r="R418" s="1354"/>
      <c r="S418" s="1354"/>
      <c r="T418" s="1354"/>
      <c r="U418" s="1354"/>
      <c r="V418" s="1354"/>
      <c r="W418" s="1354"/>
      <c r="X418" s="1354"/>
      <c r="Y418" s="1354"/>
      <c r="Z418" s="1354"/>
    </row>
    <row r="419" spans="10:26" s="1961" customFormat="1" ht="21.75" customHeight="1">
      <c r="J419" s="1354"/>
      <c r="K419" s="1354"/>
      <c r="L419" s="1354"/>
      <c r="M419" s="1354"/>
      <c r="N419" s="1354"/>
      <c r="O419" s="1354"/>
      <c r="P419" s="1354"/>
      <c r="Q419" s="1354"/>
      <c r="R419" s="1354"/>
      <c r="S419" s="1354"/>
      <c r="T419" s="1354"/>
      <c r="U419" s="1354"/>
      <c r="V419" s="1354"/>
      <c r="W419" s="1354"/>
      <c r="X419" s="1354"/>
      <c r="Y419" s="1354"/>
      <c r="Z419" s="1354"/>
    </row>
    <row r="420" spans="10:26" s="1961" customFormat="1" ht="21.75" customHeight="1">
      <c r="J420" s="1354"/>
      <c r="K420" s="1354"/>
      <c r="L420" s="1354"/>
      <c r="M420" s="1354"/>
      <c r="N420" s="1354"/>
      <c r="O420" s="1354"/>
      <c r="P420" s="1354"/>
      <c r="Q420" s="1354"/>
      <c r="R420" s="1354"/>
      <c r="S420" s="1354"/>
      <c r="T420" s="1354"/>
      <c r="U420" s="1354"/>
      <c r="V420" s="1354"/>
      <c r="W420" s="1354"/>
      <c r="X420" s="1354"/>
      <c r="Y420" s="1354"/>
      <c r="Z420" s="1354"/>
    </row>
    <row r="421" spans="10:26" s="1961" customFormat="1" ht="21.75" customHeight="1">
      <c r="J421" s="1354"/>
      <c r="K421" s="1354"/>
      <c r="L421" s="1354"/>
      <c r="M421" s="1354"/>
      <c r="N421" s="1354"/>
      <c r="O421" s="1354"/>
      <c r="P421" s="1354"/>
      <c r="Q421" s="1354"/>
      <c r="R421" s="1354"/>
      <c r="S421" s="1354"/>
      <c r="T421" s="1354"/>
      <c r="U421" s="1354"/>
      <c r="V421" s="1354"/>
      <c r="W421" s="1354"/>
      <c r="X421" s="1354"/>
      <c r="Y421" s="1354"/>
      <c r="Z421" s="1354"/>
    </row>
    <row r="422" spans="10:26" s="1961" customFormat="1" ht="21.75" customHeight="1">
      <c r="J422" s="1354"/>
      <c r="K422" s="1354"/>
      <c r="L422" s="1354"/>
      <c r="M422" s="1354"/>
      <c r="N422" s="1354"/>
      <c r="O422" s="1354"/>
      <c r="P422" s="1354"/>
      <c r="Q422" s="1354"/>
      <c r="R422" s="1354"/>
      <c r="S422" s="1354"/>
      <c r="T422" s="1354"/>
      <c r="U422" s="1354"/>
      <c r="V422" s="1354"/>
      <c r="W422" s="1354"/>
      <c r="X422" s="1354"/>
      <c r="Y422" s="1354"/>
      <c r="Z422" s="1354"/>
    </row>
    <row r="423" spans="10:26" s="1961" customFormat="1" ht="21.75" customHeight="1">
      <c r="J423" s="1354"/>
      <c r="K423" s="1354"/>
      <c r="L423" s="1354"/>
      <c r="M423" s="1354"/>
      <c r="N423" s="1354"/>
      <c r="O423" s="1354"/>
      <c r="P423" s="1354"/>
      <c r="Q423" s="1354"/>
      <c r="R423" s="1354"/>
      <c r="S423" s="1354"/>
      <c r="T423" s="1354"/>
      <c r="U423" s="1354"/>
      <c r="V423" s="1354"/>
      <c r="W423" s="1354"/>
      <c r="X423" s="1354"/>
      <c r="Y423" s="1354"/>
      <c r="Z423" s="1354"/>
    </row>
    <row r="424" spans="10:26" s="1961" customFormat="1" ht="21.75" customHeight="1">
      <c r="J424" s="1354"/>
      <c r="K424" s="1354"/>
      <c r="L424" s="1354"/>
      <c r="M424" s="1354"/>
      <c r="N424" s="1354"/>
      <c r="O424" s="1354"/>
      <c r="P424" s="1354"/>
      <c r="Q424" s="1354"/>
      <c r="R424" s="1354"/>
      <c r="S424" s="1354"/>
      <c r="T424" s="1354"/>
      <c r="U424" s="1354"/>
      <c r="V424" s="1354"/>
      <c r="W424" s="1354"/>
      <c r="X424" s="1354"/>
      <c r="Y424" s="1354"/>
      <c r="Z424" s="1354"/>
    </row>
    <row r="425" spans="10:26" s="1961" customFormat="1" ht="21.75" customHeight="1">
      <c r="J425" s="1354"/>
      <c r="K425" s="1354"/>
      <c r="L425" s="1354"/>
      <c r="M425" s="1354"/>
      <c r="N425" s="1354"/>
      <c r="O425" s="1354"/>
      <c r="P425" s="1354"/>
      <c r="Q425" s="1354"/>
      <c r="R425" s="1354"/>
      <c r="S425" s="1354"/>
      <c r="T425" s="1354"/>
      <c r="U425" s="1354"/>
      <c r="V425" s="1354"/>
      <c r="W425" s="1354"/>
      <c r="X425" s="1354"/>
      <c r="Y425" s="1354"/>
      <c r="Z425" s="1354"/>
    </row>
    <row r="426" spans="10:26" s="1961" customFormat="1" ht="21.75" customHeight="1">
      <c r="J426" s="1354"/>
      <c r="K426" s="1354"/>
      <c r="L426" s="1354"/>
      <c r="M426" s="1354"/>
      <c r="N426" s="1354"/>
      <c r="O426" s="1354"/>
      <c r="P426" s="1354"/>
      <c r="Q426" s="1354"/>
      <c r="R426" s="1354"/>
      <c r="S426" s="1354"/>
      <c r="T426" s="1354"/>
      <c r="U426" s="1354"/>
      <c r="V426" s="1354"/>
      <c r="W426" s="1354"/>
      <c r="X426" s="1354"/>
      <c r="Y426" s="1354"/>
      <c r="Z426" s="1354"/>
    </row>
    <row r="427" spans="10:26" s="1961" customFormat="1" ht="21.75" customHeight="1">
      <c r="J427" s="1354"/>
      <c r="K427" s="1354"/>
      <c r="L427" s="1354"/>
      <c r="M427" s="1354"/>
      <c r="N427" s="1354"/>
      <c r="O427" s="1354"/>
      <c r="P427" s="1354"/>
      <c r="Q427" s="1354"/>
      <c r="R427" s="1354"/>
      <c r="S427" s="1354"/>
      <c r="T427" s="1354"/>
      <c r="U427" s="1354"/>
      <c r="V427" s="1354"/>
      <c r="W427" s="1354"/>
      <c r="X427" s="1354"/>
      <c r="Y427" s="1354"/>
      <c r="Z427" s="1354"/>
    </row>
    <row r="428" spans="10:26" s="1961" customFormat="1" ht="21.75" customHeight="1">
      <c r="J428" s="1354"/>
      <c r="K428" s="1354"/>
      <c r="L428" s="1354"/>
      <c r="M428" s="1354"/>
      <c r="N428" s="1354"/>
      <c r="O428" s="1354"/>
      <c r="P428" s="1354"/>
      <c r="Q428" s="1354"/>
      <c r="R428" s="1354"/>
      <c r="S428" s="1354"/>
      <c r="T428" s="1354"/>
      <c r="U428" s="1354"/>
      <c r="V428" s="1354"/>
      <c r="W428" s="1354"/>
      <c r="X428" s="1354"/>
      <c r="Y428" s="1354"/>
      <c r="Z428" s="1354"/>
    </row>
    <row r="429" spans="10:26" s="1961" customFormat="1" ht="21.75" customHeight="1">
      <c r="J429" s="1354"/>
      <c r="K429" s="1354"/>
      <c r="L429" s="1354"/>
      <c r="M429" s="1354"/>
      <c r="N429" s="1354"/>
      <c r="O429" s="1354"/>
      <c r="P429" s="1354"/>
      <c r="Q429" s="1354"/>
      <c r="R429" s="1354"/>
      <c r="S429" s="1354"/>
      <c r="T429" s="1354"/>
      <c r="U429" s="1354"/>
      <c r="V429" s="1354"/>
      <c r="W429" s="1354"/>
      <c r="X429" s="1354"/>
      <c r="Y429" s="1354"/>
      <c r="Z429" s="1354"/>
    </row>
    <row r="430" spans="10:26" s="1961" customFormat="1" ht="21.75" customHeight="1">
      <c r="J430" s="1354"/>
      <c r="K430" s="1354"/>
      <c r="L430" s="1354"/>
      <c r="M430" s="1354"/>
      <c r="N430" s="1354"/>
      <c r="O430" s="1354"/>
      <c r="P430" s="1354"/>
      <c r="Q430" s="1354"/>
      <c r="R430" s="1354"/>
      <c r="S430" s="1354"/>
      <c r="T430" s="1354"/>
      <c r="U430" s="1354"/>
      <c r="V430" s="1354"/>
      <c r="W430" s="1354"/>
      <c r="X430" s="1354"/>
      <c r="Y430" s="1354"/>
      <c r="Z430" s="1354"/>
    </row>
    <row r="431" spans="10:26" s="1961" customFormat="1" ht="21.75" customHeight="1">
      <c r="J431" s="1354"/>
      <c r="K431" s="1354"/>
      <c r="L431" s="1354"/>
      <c r="M431" s="1354"/>
      <c r="N431" s="1354"/>
      <c r="O431" s="1354"/>
      <c r="P431" s="1354"/>
      <c r="Q431" s="1354"/>
      <c r="R431" s="1354"/>
      <c r="S431" s="1354"/>
      <c r="T431" s="1354"/>
      <c r="U431" s="1354"/>
      <c r="V431" s="1354"/>
      <c r="W431" s="1354"/>
      <c r="X431" s="1354"/>
      <c r="Y431" s="1354"/>
      <c r="Z431" s="1354"/>
    </row>
    <row r="432" spans="10:26" s="1961" customFormat="1" ht="21.75" customHeight="1">
      <c r="J432" s="1354"/>
      <c r="K432" s="1354"/>
      <c r="L432" s="1354"/>
      <c r="M432" s="1354"/>
      <c r="N432" s="1354"/>
      <c r="O432" s="1354"/>
      <c r="P432" s="1354"/>
      <c r="Q432" s="1354"/>
      <c r="R432" s="1354"/>
      <c r="S432" s="1354"/>
      <c r="T432" s="1354"/>
      <c r="U432" s="1354"/>
      <c r="V432" s="1354"/>
      <c r="W432" s="1354"/>
      <c r="X432" s="1354"/>
      <c r="Y432" s="1354"/>
      <c r="Z432" s="1354"/>
    </row>
    <row r="433" spans="10:26" s="1961" customFormat="1" ht="21.75" customHeight="1">
      <c r="J433" s="1354"/>
      <c r="K433" s="1354"/>
      <c r="L433" s="1354"/>
      <c r="M433" s="1354"/>
      <c r="N433" s="1354"/>
      <c r="O433" s="1354"/>
      <c r="P433" s="1354"/>
      <c r="Q433" s="1354"/>
      <c r="R433" s="1354"/>
      <c r="S433" s="1354"/>
      <c r="T433" s="1354"/>
      <c r="U433" s="1354"/>
      <c r="V433" s="1354"/>
      <c r="W433" s="1354"/>
      <c r="X433" s="1354"/>
      <c r="Y433" s="1354"/>
      <c r="Z433" s="1354"/>
    </row>
    <row r="434" spans="10:26" s="1961" customFormat="1" ht="21.75" customHeight="1">
      <c r="J434" s="1354"/>
      <c r="K434" s="1354"/>
      <c r="L434" s="1354"/>
      <c r="M434" s="1354"/>
      <c r="N434" s="1354"/>
      <c r="O434" s="1354"/>
      <c r="P434" s="1354"/>
      <c r="Q434" s="1354"/>
      <c r="R434" s="1354"/>
      <c r="S434" s="1354"/>
      <c r="T434" s="1354"/>
      <c r="U434" s="1354"/>
      <c r="V434" s="1354"/>
      <c r="W434" s="1354"/>
      <c r="X434" s="1354"/>
      <c r="Y434" s="1354"/>
      <c r="Z434" s="1354"/>
    </row>
    <row r="435" spans="10:26" s="1961" customFormat="1" ht="21.75" customHeight="1">
      <c r="J435" s="1354"/>
      <c r="K435" s="1354"/>
      <c r="L435" s="1354"/>
      <c r="M435" s="1354"/>
      <c r="N435" s="1354"/>
      <c r="O435" s="1354"/>
      <c r="P435" s="1354"/>
      <c r="Q435" s="1354"/>
      <c r="R435" s="1354"/>
      <c r="S435" s="1354"/>
      <c r="T435" s="1354"/>
      <c r="U435" s="1354"/>
      <c r="V435" s="1354"/>
      <c r="W435" s="1354"/>
      <c r="X435" s="1354"/>
      <c r="Y435" s="1354"/>
      <c r="Z435" s="1354"/>
    </row>
    <row r="436" spans="10:26" s="1961" customFormat="1" ht="21.75" customHeight="1">
      <c r="J436" s="1354"/>
      <c r="K436" s="1354"/>
      <c r="L436" s="1354"/>
      <c r="M436" s="1354"/>
      <c r="N436" s="1354"/>
      <c r="O436" s="1354"/>
      <c r="P436" s="1354"/>
      <c r="Q436" s="1354"/>
      <c r="R436" s="1354"/>
      <c r="S436" s="1354"/>
      <c r="T436" s="1354"/>
      <c r="U436" s="1354"/>
      <c r="V436" s="1354"/>
      <c r="W436" s="1354"/>
      <c r="X436" s="1354"/>
      <c r="Y436" s="1354"/>
      <c r="Z436" s="1354"/>
    </row>
    <row r="437" spans="10:26" s="1961" customFormat="1" ht="21.75" customHeight="1">
      <c r="J437" s="1354"/>
      <c r="K437" s="1354"/>
      <c r="L437" s="1354"/>
      <c r="M437" s="1354"/>
      <c r="N437" s="1354"/>
      <c r="O437" s="1354"/>
      <c r="P437" s="1354"/>
      <c r="Q437" s="1354"/>
      <c r="R437" s="1354"/>
      <c r="S437" s="1354"/>
      <c r="T437" s="1354"/>
      <c r="U437" s="1354"/>
      <c r="V437" s="1354"/>
      <c r="W437" s="1354"/>
      <c r="X437" s="1354"/>
      <c r="Y437" s="1354"/>
      <c r="Z437" s="1354"/>
    </row>
    <row r="438" spans="10:26" s="1961" customFormat="1" ht="21.75" customHeight="1">
      <c r="J438" s="1354"/>
      <c r="K438" s="1354"/>
      <c r="L438" s="1354"/>
      <c r="M438" s="1354"/>
      <c r="N438" s="1354"/>
      <c r="O438" s="1354"/>
      <c r="P438" s="1354"/>
      <c r="Q438" s="1354"/>
      <c r="R438" s="1354"/>
      <c r="S438" s="1354"/>
      <c r="T438" s="1354"/>
      <c r="U438" s="1354"/>
      <c r="V438" s="1354"/>
      <c r="W438" s="1354"/>
      <c r="X438" s="1354"/>
      <c r="Y438" s="1354"/>
      <c r="Z438" s="1354"/>
    </row>
    <row r="439" spans="10:26" s="1961" customFormat="1" ht="21.75" customHeight="1">
      <c r="J439" s="1354"/>
      <c r="K439" s="1354"/>
      <c r="L439" s="1354"/>
      <c r="M439" s="1354"/>
      <c r="N439" s="1354"/>
      <c r="O439" s="1354"/>
      <c r="P439" s="1354"/>
      <c r="Q439" s="1354"/>
      <c r="R439" s="1354"/>
      <c r="S439" s="1354"/>
      <c r="T439" s="1354"/>
      <c r="U439" s="1354"/>
      <c r="V439" s="1354"/>
      <c r="W439" s="1354"/>
      <c r="X439" s="1354"/>
      <c r="Y439" s="1354"/>
      <c r="Z439" s="1354"/>
    </row>
    <row r="440" spans="10:26" s="1961" customFormat="1" ht="21.75" customHeight="1">
      <c r="J440" s="1354"/>
      <c r="K440" s="1354"/>
      <c r="L440" s="1354"/>
      <c r="M440" s="1354"/>
      <c r="N440" s="1354"/>
      <c r="O440" s="1354"/>
      <c r="P440" s="1354"/>
      <c r="Q440" s="1354"/>
      <c r="R440" s="1354"/>
      <c r="S440" s="1354"/>
      <c r="T440" s="1354"/>
      <c r="U440" s="1354"/>
      <c r="V440" s="1354"/>
      <c r="W440" s="1354"/>
      <c r="X440" s="1354"/>
      <c r="Y440" s="1354"/>
      <c r="Z440" s="1354"/>
    </row>
    <row r="441" spans="10:26" s="1961" customFormat="1" ht="21.75" customHeight="1">
      <c r="J441" s="1354"/>
      <c r="K441" s="1354"/>
      <c r="L441" s="1354"/>
      <c r="M441" s="1354"/>
      <c r="N441" s="1354"/>
      <c r="O441" s="1354"/>
      <c r="P441" s="1354"/>
      <c r="Q441" s="1354"/>
      <c r="R441" s="1354"/>
      <c r="S441" s="1354"/>
      <c r="T441" s="1354"/>
      <c r="U441" s="1354"/>
      <c r="V441" s="1354"/>
      <c r="W441" s="1354"/>
      <c r="X441" s="1354"/>
      <c r="Y441" s="1354"/>
      <c r="Z441" s="1354"/>
    </row>
    <row r="442" spans="10:26" s="1961" customFormat="1" ht="21.75" customHeight="1">
      <c r="J442" s="1354"/>
      <c r="K442" s="1354"/>
      <c r="L442" s="1354"/>
      <c r="M442" s="1354"/>
      <c r="N442" s="1354"/>
      <c r="O442" s="1354"/>
      <c r="P442" s="1354"/>
      <c r="Q442" s="1354"/>
      <c r="R442" s="1354"/>
      <c r="S442" s="1354"/>
      <c r="T442" s="1354"/>
      <c r="U442" s="1354"/>
      <c r="V442" s="1354"/>
      <c r="W442" s="1354"/>
      <c r="X442" s="1354"/>
      <c r="Y442" s="1354"/>
      <c r="Z442" s="1354"/>
    </row>
    <row r="443" spans="10:26" s="1961" customFormat="1" ht="21.75" customHeight="1">
      <c r="J443" s="1354"/>
      <c r="K443" s="1354"/>
      <c r="L443" s="1354"/>
      <c r="M443" s="1354"/>
      <c r="N443" s="1354"/>
      <c r="O443" s="1354"/>
      <c r="P443" s="1354"/>
      <c r="Q443" s="1354"/>
      <c r="R443" s="1354"/>
      <c r="S443" s="1354"/>
      <c r="T443" s="1354"/>
      <c r="U443" s="1354"/>
      <c r="V443" s="1354"/>
      <c r="W443" s="1354"/>
      <c r="X443" s="1354"/>
      <c r="Y443" s="1354"/>
      <c r="Z443" s="1354"/>
    </row>
    <row r="444" spans="10:26" s="1961" customFormat="1" ht="21.75" customHeight="1">
      <c r="J444" s="1354"/>
      <c r="K444" s="1354"/>
      <c r="L444" s="1354"/>
      <c r="M444" s="1354"/>
      <c r="N444" s="1354"/>
      <c r="O444" s="1354"/>
      <c r="P444" s="1354"/>
      <c r="Q444" s="1354"/>
      <c r="R444" s="1354"/>
      <c r="S444" s="1354"/>
      <c r="T444" s="1354"/>
      <c r="U444" s="1354"/>
      <c r="V444" s="1354"/>
      <c r="W444" s="1354"/>
      <c r="X444" s="1354"/>
      <c r="Y444" s="1354"/>
      <c r="Z444" s="1354"/>
    </row>
    <row r="445" spans="10:26" s="1961" customFormat="1" ht="21.75" customHeight="1">
      <c r="J445" s="1354"/>
      <c r="K445" s="1354"/>
      <c r="L445" s="1354"/>
      <c r="M445" s="1354"/>
      <c r="N445" s="1354"/>
      <c r="O445" s="1354"/>
      <c r="P445" s="1354"/>
      <c r="Q445" s="1354"/>
      <c r="R445" s="1354"/>
      <c r="S445" s="1354"/>
      <c r="T445" s="1354"/>
      <c r="U445" s="1354"/>
      <c r="V445" s="1354"/>
      <c r="W445" s="1354"/>
      <c r="X445" s="1354"/>
      <c r="Y445" s="1354"/>
      <c r="Z445" s="1354"/>
    </row>
    <row r="446" spans="10:26" s="1961" customFormat="1" ht="21.75" customHeight="1">
      <c r="J446" s="1354"/>
      <c r="K446" s="1354"/>
      <c r="L446" s="1354"/>
      <c r="M446" s="1354"/>
      <c r="N446" s="1354"/>
      <c r="O446" s="1354"/>
      <c r="P446" s="1354"/>
      <c r="Q446" s="1354"/>
      <c r="R446" s="1354"/>
      <c r="S446" s="1354"/>
      <c r="T446" s="1354"/>
      <c r="U446" s="1354"/>
      <c r="V446" s="1354"/>
      <c r="W446" s="1354"/>
      <c r="X446" s="1354"/>
      <c r="Y446" s="1354"/>
      <c r="Z446" s="1354"/>
    </row>
    <row r="447" spans="10:26" s="1961" customFormat="1" ht="21.75" customHeight="1">
      <c r="J447" s="1354"/>
      <c r="K447" s="1354"/>
      <c r="L447" s="1354"/>
      <c r="M447" s="1354"/>
      <c r="N447" s="1354"/>
      <c r="O447" s="1354"/>
      <c r="P447" s="1354"/>
      <c r="Q447" s="1354"/>
      <c r="R447" s="1354"/>
      <c r="S447" s="1354"/>
      <c r="T447" s="1354"/>
      <c r="U447" s="1354"/>
      <c r="V447" s="1354"/>
      <c r="W447" s="1354"/>
      <c r="X447" s="1354"/>
      <c r="Y447" s="1354"/>
      <c r="Z447" s="1354"/>
    </row>
    <row r="448" spans="10:26" s="1961" customFormat="1" ht="21.75" customHeight="1">
      <c r="J448" s="1354"/>
      <c r="K448" s="1354"/>
      <c r="L448" s="1354"/>
      <c r="M448" s="1354"/>
      <c r="N448" s="1354"/>
      <c r="O448" s="1354"/>
      <c r="P448" s="1354"/>
      <c r="Q448" s="1354"/>
      <c r="R448" s="1354"/>
      <c r="S448" s="1354"/>
      <c r="T448" s="1354"/>
      <c r="U448" s="1354"/>
      <c r="V448" s="1354"/>
      <c r="W448" s="1354"/>
      <c r="X448" s="1354"/>
      <c r="Y448" s="1354"/>
      <c r="Z448" s="1354"/>
    </row>
    <row r="449" spans="10:26" s="1961" customFormat="1" ht="21.75" customHeight="1">
      <c r="J449" s="1354"/>
      <c r="K449" s="1354"/>
      <c r="L449" s="1354"/>
      <c r="M449" s="1354"/>
      <c r="N449" s="1354"/>
      <c r="O449" s="1354"/>
      <c r="P449" s="1354"/>
      <c r="Q449" s="1354"/>
      <c r="R449" s="1354"/>
      <c r="S449" s="1354"/>
      <c r="T449" s="1354"/>
      <c r="U449" s="1354"/>
      <c r="V449" s="1354"/>
      <c r="W449" s="1354"/>
      <c r="X449" s="1354"/>
      <c r="Y449" s="1354"/>
      <c r="Z449" s="1354"/>
    </row>
    <row r="450" spans="10:26" s="1961" customFormat="1" ht="21.75" customHeight="1">
      <c r="J450" s="1354"/>
      <c r="K450" s="1354"/>
      <c r="L450" s="1354"/>
      <c r="M450" s="1354"/>
      <c r="N450" s="1354"/>
      <c r="O450" s="1354"/>
      <c r="P450" s="1354"/>
      <c r="Q450" s="1354"/>
      <c r="R450" s="1354"/>
      <c r="S450" s="1354"/>
      <c r="T450" s="1354"/>
      <c r="U450" s="1354"/>
      <c r="V450" s="1354"/>
      <c r="W450" s="1354"/>
      <c r="X450" s="1354"/>
      <c r="Y450" s="1354"/>
      <c r="Z450" s="1354"/>
    </row>
    <row r="451" spans="10:26" s="1961" customFormat="1" ht="21.75" customHeight="1">
      <c r="J451" s="1354"/>
      <c r="K451" s="1354"/>
      <c r="L451" s="1354"/>
      <c r="M451" s="1354"/>
      <c r="N451" s="1354"/>
      <c r="O451" s="1354"/>
      <c r="P451" s="1354"/>
      <c r="Q451" s="1354"/>
      <c r="R451" s="1354"/>
      <c r="S451" s="1354"/>
      <c r="T451" s="1354"/>
      <c r="U451" s="1354"/>
      <c r="V451" s="1354"/>
      <c r="W451" s="1354"/>
      <c r="X451" s="1354"/>
      <c r="Y451" s="1354"/>
      <c r="Z451" s="1354"/>
    </row>
    <row r="452" spans="10:26" s="1961" customFormat="1" ht="21.75" customHeight="1">
      <c r="J452" s="1354"/>
      <c r="K452" s="1354"/>
      <c r="L452" s="1354"/>
      <c r="M452" s="1354"/>
      <c r="N452" s="1354"/>
      <c r="O452" s="1354"/>
      <c r="P452" s="1354"/>
      <c r="Q452" s="1354"/>
      <c r="R452" s="1354"/>
      <c r="S452" s="1354"/>
      <c r="T452" s="1354"/>
      <c r="U452" s="1354"/>
      <c r="V452" s="1354"/>
      <c r="W452" s="1354"/>
      <c r="X452" s="1354"/>
      <c r="Y452" s="1354"/>
      <c r="Z452" s="1354"/>
    </row>
    <row r="453" spans="10:26" s="1961" customFormat="1" ht="21.75" customHeight="1">
      <c r="J453" s="1354"/>
      <c r="K453" s="1354"/>
      <c r="L453" s="1354"/>
      <c r="M453" s="1354"/>
      <c r="N453" s="1354"/>
      <c r="O453" s="1354"/>
      <c r="P453" s="1354"/>
      <c r="Q453" s="1354"/>
      <c r="R453" s="1354"/>
      <c r="S453" s="1354"/>
      <c r="T453" s="1354"/>
      <c r="U453" s="1354"/>
      <c r="V453" s="1354"/>
      <c r="W453" s="1354"/>
      <c r="X453" s="1354"/>
      <c r="Y453" s="1354"/>
      <c r="Z453" s="1354"/>
    </row>
    <row r="454" spans="10:26" s="1961" customFormat="1" ht="21.75" customHeight="1">
      <c r="J454" s="1354"/>
      <c r="K454" s="1354"/>
      <c r="L454" s="1354"/>
      <c r="M454" s="1354"/>
      <c r="N454" s="1354"/>
      <c r="O454" s="1354"/>
      <c r="P454" s="1354"/>
      <c r="Q454" s="1354"/>
      <c r="R454" s="1354"/>
      <c r="S454" s="1354"/>
      <c r="T454" s="1354"/>
      <c r="U454" s="1354"/>
      <c r="V454" s="1354"/>
      <c r="W454" s="1354"/>
      <c r="X454" s="1354"/>
      <c r="Y454" s="1354"/>
      <c r="Z454" s="1354"/>
    </row>
    <row r="455" spans="10:26" s="1961" customFormat="1" ht="21.75" customHeight="1">
      <c r="J455" s="1354"/>
      <c r="K455" s="1354"/>
      <c r="L455" s="1354"/>
      <c r="M455" s="1354"/>
      <c r="N455" s="1354"/>
      <c r="O455" s="1354"/>
      <c r="P455" s="1354"/>
      <c r="Q455" s="1354"/>
      <c r="R455" s="1354"/>
      <c r="S455" s="1354"/>
      <c r="T455" s="1354"/>
      <c r="U455" s="1354"/>
      <c r="V455" s="1354"/>
      <c r="W455" s="1354"/>
      <c r="X455" s="1354"/>
      <c r="Y455" s="1354"/>
      <c r="Z455" s="1354"/>
    </row>
    <row r="456" spans="10:26" s="1961" customFormat="1" ht="21.75" customHeight="1">
      <c r="J456" s="1354"/>
      <c r="K456" s="1354"/>
      <c r="L456" s="1354"/>
      <c r="M456" s="1354"/>
      <c r="N456" s="1354"/>
      <c r="O456" s="1354"/>
      <c r="P456" s="1354"/>
      <c r="Q456" s="1354"/>
      <c r="R456" s="1354"/>
      <c r="S456" s="1354"/>
      <c r="T456" s="1354"/>
      <c r="U456" s="1354"/>
      <c r="V456" s="1354"/>
      <c r="W456" s="1354"/>
      <c r="X456" s="1354"/>
      <c r="Y456" s="1354"/>
      <c r="Z456" s="1354"/>
    </row>
    <row r="457" spans="10:26" s="1961" customFormat="1" ht="21.75" customHeight="1">
      <c r="J457" s="1354"/>
      <c r="K457" s="1354"/>
      <c r="L457" s="1354"/>
      <c r="M457" s="1354"/>
      <c r="N457" s="1354"/>
      <c r="O457" s="1354"/>
      <c r="P457" s="1354"/>
      <c r="Q457" s="1354"/>
      <c r="R457" s="1354"/>
      <c r="S457" s="1354"/>
      <c r="T457" s="1354"/>
      <c r="U457" s="1354"/>
      <c r="V457" s="1354"/>
      <c r="W457" s="1354"/>
      <c r="X457" s="1354"/>
      <c r="Y457" s="1354"/>
      <c r="Z457" s="1354"/>
    </row>
    <row r="458" spans="10:26" s="1961" customFormat="1" ht="21.75" customHeight="1">
      <c r="J458" s="1354"/>
      <c r="K458" s="1354"/>
      <c r="L458" s="1354"/>
      <c r="M458" s="1354"/>
      <c r="N458" s="1354"/>
      <c r="O458" s="1354"/>
      <c r="P458" s="1354"/>
      <c r="Q458" s="1354"/>
      <c r="R458" s="1354"/>
      <c r="S458" s="1354"/>
      <c r="T458" s="1354"/>
      <c r="U458" s="1354"/>
      <c r="V458" s="1354"/>
      <c r="W458" s="1354"/>
      <c r="X458" s="1354"/>
      <c r="Y458" s="1354"/>
      <c r="Z458" s="1354"/>
    </row>
    <row r="459" spans="10:26" s="1961" customFormat="1" ht="21.75" customHeight="1">
      <c r="J459" s="1354"/>
      <c r="K459" s="1354"/>
      <c r="L459" s="1354"/>
      <c r="M459" s="1354"/>
      <c r="N459" s="1354"/>
      <c r="O459" s="1354"/>
      <c r="P459" s="1354"/>
      <c r="Q459" s="1354"/>
      <c r="R459" s="1354"/>
      <c r="S459" s="1354"/>
      <c r="T459" s="1354"/>
      <c r="U459" s="1354"/>
      <c r="V459" s="1354"/>
      <c r="W459" s="1354"/>
      <c r="X459" s="1354"/>
      <c r="Y459" s="1354"/>
      <c r="Z459" s="1354"/>
    </row>
    <row r="460" spans="10:26" s="1961" customFormat="1" ht="21.75" customHeight="1">
      <c r="J460" s="1354"/>
      <c r="K460" s="1354"/>
      <c r="L460" s="1354"/>
      <c r="M460" s="1354"/>
      <c r="N460" s="1354"/>
      <c r="O460" s="1354"/>
      <c r="P460" s="1354"/>
      <c r="Q460" s="1354"/>
      <c r="R460" s="1354"/>
      <c r="S460" s="1354"/>
      <c r="T460" s="1354"/>
      <c r="U460" s="1354"/>
      <c r="V460" s="1354"/>
      <c r="W460" s="1354"/>
      <c r="X460" s="1354"/>
      <c r="Y460" s="1354"/>
      <c r="Z460" s="1354"/>
    </row>
    <row r="461" spans="10:26" s="1961" customFormat="1" ht="21.75" customHeight="1">
      <c r="J461" s="1354"/>
      <c r="K461" s="1354"/>
      <c r="L461" s="1354"/>
      <c r="M461" s="1354"/>
      <c r="N461" s="1354"/>
      <c r="O461" s="1354"/>
      <c r="P461" s="1354"/>
      <c r="Q461" s="1354"/>
      <c r="R461" s="1354"/>
      <c r="S461" s="1354"/>
      <c r="T461" s="1354"/>
      <c r="U461" s="1354"/>
      <c r="V461" s="1354"/>
      <c r="W461" s="1354"/>
      <c r="X461" s="1354"/>
      <c r="Y461" s="1354"/>
      <c r="Z461" s="1354"/>
    </row>
    <row r="462" spans="10:26" s="1961" customFormat="1" ht="21.75" customHeight="1">
      <c r="J462" s="1354"/>
      <c r="K462" s="1354"/>
      <c r="L462" s="1354"/>
      <c r="M462" s="1354"/>
      <c r="N462" s="1354"/>
      <c r="O462" s="1354"/>
      <c r="P462" s="1354"/>
      <c r="Q462" s="1354"/>
      <c r="R462" s="1354"/>
      <c r="S462" s="1354"/>
      <c r="T462" s="1354"/>
      <c r="U462" s="1354"/>
      <c r="V462" s="1354"/>
      <c r="W462" s="1354"/>
      <c r="X462" s="1354"/>
      <c r="Y462" s="1354"/>
      <c r="Z462" s="1354"/>
    </row>
    <row r="463" spans="10:26" s="1961" customFormat="1" ht="21.75" customHeight="1">
      <c r="J463" s="1354"/>
      <c r="K463" s="1354"/>
      <c r="L463" s="1354"/>
      <c r="M463" s="1354"/>
      <c r="N463" s="1354"/>
      <c r="O463" s="1354"/>
      <c r="P463" s="1354"/>
      <c r="Q463" s="1354"/>
      <c r="R463" s="1354"/>
      <c r="S463" s="1354"/>
      <c r="T463" s="1354"/>
      <c r="U463" s="1354"/>
      <c r="V463" s="1354"/>
      <c r="W463" s="1354"/>
      <c r="X463" s="1354"/>
      <c r="Y463" s="1354"/>
      <c r="Z463" s="1354"/>
    </row>
    <row r="464" spans="10:26" s="1961" customFormat="1" ht="21.75" customHeight="1">
      <c r="J464" s="1354"/>
      <c r="K464" s="1354"/>
      <c r="L464" s="1354"/>
      <c r="M464" s="1354"/>
      <c r="N464" s="1354"/>
      <c r="O464" s="1354"/>
      <c r="P464" s="1354"/>
      <c r="Q464" s="1354"/>
      <c r="R464" s="1354"/>
      <c r="S464" s="1354"/>
      <c r="T464" s="1354"/>
      <c r="U464" s="1354"/>
      <c r="V464" s="1354"/>
      <c r="W464" s="1354"/>
      <c r="X464" s="1354"/>
      <c r="Y464" s="1354"/>
      <c r="Z464" s="1354"/>
    </row>
    <row r="465" spans="10:26" s="1961" customFormat="1" ht="21.75" customHeight="1">
      <c r="J465" s="1354"/>
      <c r="K465" s="1354"/>
      <c r="L465" s="1354"/>
      <c r="M465" s="1354"/>
      <c r="N465" s="1354"/>
      <c r="O465" s="1354"/>
      <c r="P465" s="1354"/>
      <c r="Q465" s="1354"/>
      <c r="R465" s="1354"/>
      <c r="S465" s="1354"/>
      <c r="T465" s="1354"/>
      <c r="U465" s="1354"/>
      <c r="V465" s="1354"/>
      <c r="W465" s="1354"/>
      <c r="X465" s="1354"/>
      <c r="Y465" s="1354"/>
      <c r="Z465" s="1354"/>
    </row>
    <row r="466" spans="10:26" s="1961" customFormat="1" ht="21.75" customHeight="1">
      <c r="J466" s="1354"/>
      <c r="K466" s="1354"/>
      <c r="L466" s="1354"/>
      <c r="M466" s="1354"/>
      <c r="N466" s="1354"/>
      <c r="O466" s="1354"/>
      <c r="P466" s="1354"/>
      <c r="Q466" s="1354"/>
      <c r="R466" s="1354"/>
      <c r="S466" s="1354"/>
      <c r="T466" s="1354"/>
      <c r="U466" s="1354"/>
      <c r="V466" s="1354"/>
      <c r="W466" s="1354"/>
      <c r="X466" s="1354"/>
      <c r="Y466" s="1354"/>
      <c r="Z466" s="1354"/>
    </row>
    <row r="467" spans="10:26" s="1961" customFormat="1" ht="21.75" customHeight="1">
      <c r="J467" s="1354"/>
      <c r="K467" s="1354"/>
      <c r="L467" s="1354"/>
      <c r="M467" s="1354"/>
      <c r="N467" s="1354"/>
      <c r="O467" s="1354"/>
      <c r="P467" s="1354"/>
      <c r="Q467" s="1354"/>
      <c r="R467" s="1354"/>
      <c r="S467" s="1354"/>
      <c r="T467" s="1354"/>
      <c r="U467" s="1354"/>
      <c r="V467" s="1354"/>
      <c r="W467" s="1354"/>
      <c r="X467" s="1354"/>
      <c r="Y467" s="1354"/>
      <c r="Z467" s="1354"/>
    </row>
    <row r="468" spans="10:26" s="1961" customFormat="1" ht="21.75" customHeight="1">
      <c r="J468" s="1354"/>
      <c r="K468" s="1354"/>
      <c r="L468" s="1354"/>
      <c r="M468" s="1354"/>
      <c r="N468" s="1354"/>
      <c r="O468" s="1354"/>
      <c r="P468" s="1354"/>
      <c r="Q468" s="1354"/>
      <c r="R468" s="1354"/>
      <c r="S468" s="1354"/>
      <c r="T468" s="1354"/>
      <c r="U468" s="1354"/>
      <c r="V468" s="1354"/>
      <c r="W468" s="1354"/>
      <c r="X468" s="1354"/>
      <c r="Y468" s="1354"/>
      <c r="Z468" s="1354"/>
    </row>
    <row r="469" spans="10:26" s="1961" customFormat="1" ht="21.75" customHeight="1">
      <c r="J469" s="1354"/>
      <c r="K469" s="1354"/>
      <c r="L469" s="1354"/>
      <c r="M469" s="1354"/>
      <c r="N469" s="1354"/>
      <c r="O469" s="1354"/>
      <c r="P469" s="1354"/>
      <c r="Q469" s="1354"/>
      <c r="R469" s="1354"/>
      <c r="S469" s="1354"/>
      <c r="T469" s="1354"/>
      <c r="U469" s="1354"/>
      <c r="V469" s="1354"/>
      <c r="W469" s="1354"/>
      <c r="X469" s="1354"/>
      <c r="Y469" s="1354"/>
      <c r="Z469" s="1354"/>
    </row>
    <row r="470" spans="10:26" s="1961" customFormat="1" ht="21.75" customHeight="1">
      <c r="J470" s="1354"/>
      <c r="K470" s="1354"/>
      <c r="L470" s="1354"/>
      <c r="M470" s="1354"/>
      <c r="N470" s="1354"/>
      <c r="O470" s="1354"/>
      <c r="P470" s="1354"/>
      <c r="Q470" s="1354"/>
      <c r="R470" s="1354"/>
      <c r="S470" s="1354"/>
      <c r="T470" s="1354"/>
      <c r="U470" s="1354"/>
      <c r="V470" s="1354"/>
      <c r="W470" s="1354"/>
      <c r="X470" s="1354"/>
      <c r="Y470" s="1354"/>
      <c r="Z470" s="1354"/>
    </row>
    <row r="471" spans="10:26" s="1961" customFormat="1" ht="21.75" customHeight="1">
      <c r="J471" s="1354"/>
      <c r="K471" s="1354"/>
      <c r="L471" s="1354"/>
      <c r="M471" s="1354"/>
      <c r="N471" s="1354"/>
      <c r="O471" s="1354"/>
      <c r="P471" s="1354"/>
      <c r="Q471" s="1354"/>
      <c r="R471" s="1354"/>
      <c r="S471" s="1354"/>
      <c r="T471" s="1354"/>
      <c r="U471" s="1354"/>
      <c r="V471" s="1354"/>
      <c r="W471" s="1354"/>
      <c r="X471" s="1354"/>
      <c r="Y471" s="1354"/>
      <c r="Z471" s="1354"/>
    </row>
    <row r="472" spans="10:26" s="1961" customFormat="1" ht="21.75" customHeight="1">
      <c r="J472" s="1354"/>
      <c r="K472" s="1354"/>
      <c r="L472" s="1354"/>
      <c r="M472" s="1354"/>
      <c r="N472" s="1354"/>
      <c r="O472" s="1354"/>
      <c r="P472" s="1354"/>
      <c r="Q472" s="1354"/>
      <c r="R472" s="1354"/>
      <c r="S472" s="1354"/>
      <c r="T472" s="1354"/>
      <c r="U472" s="1354"/>
      <c r="V472" s="1354"/>
      <c r="W472" s="1354"/>
      <c r="X472" s="1354"/>
      <c r="Y472" s="1354"/>
      <c r="Z472" s="1354"/>
    </row>
    <row r="473" spans="10:26" s="1961" customFormat="1" ht="21.75" customHeight="1">
      <c r="J473" s="1354"/>
      <c r="K473" s="1354"/>
      <c r="L473" s="1354"/>
      <c r="M473" s="1354"/>
      <c r="N473" s="1354"/>
      <c r="O473" s="1354"/>
      <c r="P473" s="1354"/>
      <c r="Q473" s="1354"/>
      <c r="R473" s="1354"/>
      <c r="S473" s="1354"/>
      <c r="T473" s="1354"/>
      <c r="U473" s="1354"/>
      <c r="V473" s="1354"/>
      <c r="W473" s="1354"/>
      <c r="X473" s="1354"/>
      <c r="Y473" s="1354"/>
      <c r="Z473" s="1354"/>
    </row>
    <row r="474" spans="10:26" s="1961" customFormat="1" ht="21.75" customHeight="1">
      <c r="J474" s="1354"/>
      <c r="K474" s="1354"/>
      <c r="L474" s="1354"/>
      <c r="M474" s="1354"/>
      <c r="N474" s="1354"/>
      <c r="O474" s="1354"/>
      <c r="P474" s="1354"/>
      <c r="Q474" s="1354"/>
      <c r="R474" s="1354"/>
      <c r="S474" s="1354"/>
      <c r="T474" s="1354"/>
      <c r="U474" s="1354"/>
      <c r="V474" s="1354"/>
      <c r="W474" s="1354"/>
      <c r="X474" s="1354"/>
      <c r="Y474" s="1354"/>
      <c r="Z474" s="1354"/>
    </row>
    <row r="475" spans="10:26" s="1961" customFormat="1" ht="21.75" customHeight="1">
      <c r="J475" s="1354"/>
      <c r="K475" s="1354"/>
      <c r="L475" s="1354"/>
      <c r="M475" s="1354"/>
      <c r="N475" s="1354"/>
      <c r="O475" s="1354"/>
      <c r="P475" s="1354"/>
      <c r="Q475" s="1354"/>
      <c r="R475" s="1354"/>
      <c r="S475" s="1354"/>
      <c r="T475" s="1354"/>
      <c r="U475" s="1354"/>
      <c r="V475" s="1354"/>
      <c r="W475" s="1354"/>
      <c r="X475" s="1354"/>
      <c r="Y475" s="1354"/>
      <c r="Z475" s="1354"/>
    </row>
    <row r="476" spans="10:26" s="1961" customFormat="1" ht="21.75" customHeight="1">
      <c r="J476" s="1354"/>
      <c r="K476" s="1354"/>
      <c r="L476" s="1354"/>
      <c r="M476" s="1354"/>
      <c r="N476" s="1354"/>
      <c r="O476" s="1354"/>
      <c r="P476" s="1354"/>
      <c r="Q476" s="1354"/>
      <c r="R476" s="1354"/>
      <c r="S476" s="1354"/>
      <c r="T476" s="1354"/>
      <c r="U476" s="1354"/>
      <c r="V476" s="1354"/>
      <c r="W476" s="1354"/>
      <c r="X476" s="1354"/>
      <c r="Y476" s="1354"/>
      <c r="Z476" s="1354"/>
    </row>
    <row r="477" spans="10:26" s="1961" customFormat="1" ht="21.75" customHeight="1">
      <c r="J477" s="1354"/>
      <c r="K477" s="1354"/>
      <c r="L477" s="1354"/>
      <c r="M477" s="1354"/>
      <c r="N477" s="1354"/>
      <c r="O477" s="1354"/>
      <c r="P477" s="1354"/>
      <c r="Q477" s="1354"/>
      <c r="R477" s="1354"/>
      <c r="S477" s="1354"/>
      <c r="T477" s="1354"/>
      <c r="U477" s="1354"/>
      <c r="V477" s="1354"/>
      <c r="W477" s="1354"/>
      <c r="X477" s="1354"/>
      <c r="Y477" s="1354"/>
      <c r="Z477" s="1354"/>
    </row>
    <row r="478" spans="10:26" s="1961" customFormat="1" ht="21.75" customHeight="1">
      <c r="J478" s="1354"/>
      <c r="K478" s="1354"/>
      <c r="L478" s="1354"/>
      <c r="M478" s="1354"/>
      <c r="N478" s="1354"/>
      <c r="O478" s="1354"/>
      <c r="P478" s="1354"/>
      <c r="Q478" s="1354"/>
      <c r="R478" s="1354"/>
      <c r="S478" s="1354"/>
      <c r="T478" s="1354"/>
      <c r="U478" s="1354"/>
      <c r="V478" s="1354"/>
      <c r="W478" s="1354"/>
      <c r="X478" s="1354"/>
      <c r="Y478" s="1354"/>
      <c r="Z478" s="1354"/>
    </row>
    <row r="479" spans="10:26" s="1961" customFormat="1" ht="21.75" customHeight="1">
      <c r="J479" s="1354"/>
      <c r="K479" s="1354"/>
      <c r="L479" s="1354"/>
      <c r="M479" s="1354"/>
      <c r="N479" s="1354"/>
      <c r="O479" s="1354"/>
      <c r="P479" s="1354"/>
      <c r="Q479" s="1354"/>
      <c r="R479" s="1354"/>
      <c r="S479" s="1354"/>
      <c r="T479" s="1354"/>
      <c r="U479" s="1354"/>
      <c r="V479" s="1354"/>
      <c r="W479" s="1354"/>
      <c r="X479" s="1354"/>
      <c r="Y479" s="1354"/>
      <c r="Z479" s="1354"/>
    </row>
    <row r="480" spans="10:26" s="1961" customFormat="1" ht="21.75" customHeight="1">
      <c r="J480" s="1354"/>
      <c r="K480" s="1354"/>
      <c r="L480" s="1354"/>
      <c r="M480" s="1354"/>
      <c r="N480" s="1354"/>
      <c r="O480" s="1354"/>
      <c r="P480" s="1354"/>
      <c r="Q480" s="1354"/>
      <c r="R480" s="1354"/>
      <c r="S480" s="1354"/>
      <c r="T480" s="1354"/>
      <c r="U480" s="1354"/>
      <c r="V480" s="1354"/>
      <c r="W480" s="1354"/>
      <c r="X480" s="1354"/>
      <c r="Y480" s="1354"/>
      <c r="Z480" s="1354"/>
    </row>
    <row r="481" spans="10:26" s="1961" customFormat="1" ht="21.75" customHeight="1">
      <c r="J481" s="1354"/>
      <c r="K481" s="1354"/>
      <c r="L481" s="1354"/>
      <c r="M481" s="1354"/>
      <c r="N481" s="1354"/>
      <c r="O481" s="1354"/>
      <c r="P481" s="1354"/>
      <c r="Q481" s="1354"/>
      <c r="R481" s="1354"/>
      <c r="S481" s="1354"/>
      <c r="T481" s="1354"/>
      <c r="U481" s="1354"/>
      <c r="V481" s="1354"/>
      <c r="W481" s="1354"/>
      <c r="X481" s="1354"/>
      <c r="Y481" s="1354"/>
      <c r="Z481" s="1354"/>
    </row>
    <row r="482" spans="10:26" s="1961" customFormat="1" ht="21.75" customHeight="1">
      <c r="J482" s="1354"/>
      <c r="K482" s="1354"/>
      <c r="L482" s="1354"/>
      <c r="M482" s="1354"/>
      <c r="N482" s="1354"/>
      <c r="O482" s="1354"/>
      <c r="P482" s="1354"/>
      <c r="Q482" s="1354"/>
      <c r="R482" s="1354"/>
      <c r="S482" s="1354"/>
      <c r="T482" s="1354"/>
      <c r="U482" s="1354"/>
      <c r="V482" s="1354"/>
      <c r="W482" s="1354"/>
      <c r="X482" s="1354"/>
      <c r="Y482" s="1354"/>
      <c r="Z482" s="1354"/>
    </row>
    <row r="483" spans="10:26" s="1961" customFormat="1" ht="21.75" customHeight="1">
      <c r="J483" s="1354"/>
      <c r="K483" s="1354"/>
      <c r="L483" s="1354"/>
      <c r="M483" s="1354"/>
      <c r="N483" s="1354"/>
      <c r="O483" s="1354"/>
      <c r="P483" s="1354"/>
      <c r="Q483" s="1354"/>
      <c r="R483" s="1354"/>
      <c r="S483" s="1354"/>
      <c r="T483" s="1354"/>
      <c r="U483" s="1354"/>
      <c r="V483" s="1354"/>
      <c r="W483" s="1354"/>
      <c r="X483" s="1354"/>
      <c r="Y483" s="1354"/>
      <c r="Z483" s="1354"/>
    </row>
    <row r="484" spans="10:26" s="1961" customFormat="1" ht="21.75" customHeight="1">
      <c r="J484" s="1354"/>
      <c r="K484" s="1354"/>
      <c r="L484" s="1354"/>
      <c r="M484" s="1354"/>
      <c r="N484" s="1354"/>
      <c r="O484" s="1354"/>
      <c r="P484" s="1354"/>
      <c r="Q484" s="1354"/>
      <c r="R484" s="1354"/>
      <c r="S484" s="1354"/>
      <c r="T484" s="1354"/>
      <c r="U484" s="1354"/>
      <c r="V484" s="1354"/>
      <c r="W484" s="1354"/>
      <c r="X484" s="1354"/>
      <c r="Y484" s="1354"/>
      <c r="Z484" s="1354"/>
    </row>
    <row r="485" spans="10:26" s="1961" customFormat="1" ht="21.75" customHeight="1">
      <c r="J485" s="1354"/>
      <c r="K485" s="1354"/>
      <c r="L485" s="1354"/>
      <c r="M485" s="1354"/>
      <c r="N485" s="1354"/>
      <c r="O485" s="1354"/>
      <c r="P485" s="1354"/>
      <c r="Q485" s="1354"/>
      <c r="R485" s="1354"/>
      <c r="S485" s="1354"/>
      <c r="T485" s="1354"/>
      <c r="U485" s="1354"/>
      <c r="V485" s="1354"/>
      <c r="W485" s="1354"/>
      <c r="X485" s="1354"/>
      <c r="Y485" s="1354"/>
      <c r="Z485" s="1354"/>
    </row>
    <row r="486" spans="10:26" s="1961" customFormat="1" ht="21.75" customHeight="1">
      <c r="J486" s="1354"/>
      <c r="K486" s="1354"/>
      <c r="L486" s="1354"/>
      <c r="M486" s="1354"/>
      <c r="N486" s="1354"/>
      <c r="O486" s="1354"/>
      <c r="P486" s="1354"/>
      <c r="Q486" s="1354"/>
      <c r="R486" s="1354"/>
      <c r="S486" s="1354"/>
      <c r="T486" s="1354"/>
      <c r="U486" s="1354"/>
      <c r="V486" s="1354"/>
      <c r="W486" s="1354"/>
      <c r="X486" s="1354"/>
      <c r="Y486" s="1354"/>
      <c r="Z486" s="1354"/>
    </row>
    <row r="487" spans="10:26" s="1961" customFormat="1" ht="21.75" customHeight="1">
      <c r="J487" s="1354"/>
      <c r="K487" s="1354"/>
      <c r="L487" s="1354"/>
      <c r="M487" s="1354"/>
      <c r="N487" s="1354"/>
      <c r="O487" s="1354"/>
      <c r="P487" s="1354"/>
      <c r="Q487" s="1354"/>
      <c r="R487" s="1354"/>
      <c r="S487" s="1354"/>
      <c r="T487" s="1354"/>
      <c r="U487" s="1354"/>
      <c r="V487" s="1354"/>
      <c r="W487" s="1354"/>
      <c r="X487" s="1354"/>
      <c r="Y487" s="1354"/>
      <c r="Z487" s="1354"/>
    </row>
    <row r="488" spans="10:26" s="1961" customFormat="1" ht="21.75" customHeight="1">
      <c r="J488" s="1354"/>
      <c r="K488" s="1354"/>
      <c r="L488" s="1354"/>
      <c r="M488" s="1354"/>
      <c r="N488" s="1354"/>
      <c r="O488" s="1354"/>
      <c r="P488" s="1354"/>
      <c r="Q488" s="1354"/>
      <c r="R488" s="1354"/>
      <c r="S488" s="1354"/>
      <c r="T488" s="1354"/>
      <c r="U488" s="1354"/>
      <c r="V488" s="1354"/>
      <c r="W488" s="1354"/>
      <c r="X488" s="1354"/>
      <c r="Y488" s="1354"/>
      <c r="Z488" s="1354"/>
    </row>
    <row r="489" spans="10:26" s="1961" customFormat="1" ht="21.75" customHeight="1">
      <c r="J489" s="1354"/>
      <c r="K489" s="1354"/>
      <c r="L489" s="1354"/>
      <c r="M489" s="1354"/>
      <c r="N489" s="1354"/>
      <c r="O489" s="1354"/>
      <c r="P489" s="1354"/>
      <c r="Q489" s="1354"/>
      <c r="R489" s="1354"/>
      <c r="S489" s="1354"/>
      <c r="T489" s="1354"/>
      <c r="U489" s="1354"/>
      <c r="V489" s="1354"/>
      <c r="W489" s="1354"/>
      <c r="X489" s="1354"/>
      <c r="Y489" s="1354"/>
      <c r="Z489" s="1354"/>
    </row>
    <row r="490" spans="10:26" s="1961" customFormat="1" ht="21.75" customHeight="1">
      <c r="J490" s="1354"/>
      <c r="K490" s="1354"/>
      <c r="L490" s="1354"/>
      <c r="M490" s="1354"/>
      <c r="N490" s="1354"/>
      <c r="O490" s="1354"/>
      <c r="P490" s="1354"/>
      <c r="Q490" s="1354"/>
      <c r="R490" s="1354"/>
      <c r="S490" s="1354"/>
      <c r="T490" s="1354"/>
      <c r="U490" s="1354"/>
      <c r="V490" s="1354"/>
      <c r="W490" s="1354"/>
      <c r="X490" s="1354"/>
      <c r="Y490" s="1354"/>
      <c r="Z490" s="1354"/>
    </row>
    <row r="491" spans="10:26" s="1961" customFormat="1" ht="21.75" customHeight="1">
      <c r="J491" s="1354"/>
      <c r="K491" s="1354"/>
      <c r="L491" s="1354"/>
      <c r="M491" s="1354"/>
      <c r="N491" s="1354"/>
      <c r="O491" s="1354"/>
      <c r="P491" s="1354"/>
      <c r="Q491" s="1354"/>
      <c r="R491" s="1354"/>
      <c r="S491" s="1354"/>
      <c r="T491" s="1354"/>
      <c r="U491" s="1354"/>
      <c r="V491" s="1354"/>
      <c r="W491" s="1354"/>
      <c r="X491" s="1354"/>
      <c r="Y491" s="1354"/>
      <c r="Z491" s="1354"/>
    </row>
    <row r="492" spans="10:26" s="1961" customFormat="1" ht="21.75" customHeight="1">
      <c r="J492" s="1354"/>
      <c r="K492" s="1354"/>
      <c r="L492" s="1354"/>
      <c r="M492" s="1354"/>
      <c r="N492" s="1354"/>
      <c r="O492" s="1354"/>
      <c r="P492" s="1354"/>
      <c r="Q492" s="1354"/>
      <c r="R492" s="1354"/>
      <c r="S492" s="1354"/>
      <c r="T492" s="1354"/>
      <c r="U492" s="1354"/>
      <c r="V492" s="1354"/>
      <c r="W492" s="1354"/>
      <c r="X492" s="1354"/>
      <c r="Y492" s="1354"/>
      <c r="Z492" s="1354"/>
    </row>
    <row r="493" spans="10:26" s="1961" customFormat="1" ht="21.75" customHeight="1">
      <c r="J493" s="1354"/>
      <c r="K493" s="1354"/>
      <c r="L493" s="1354"/>
      <c r="M493" s="1354"/>
      <c r="N493" s="1354"/>
      <c r="O493" s="1354"/>
      <c r="P493" s="1354"/>
      <c r="Q493" s="1354"/>
      <c r="R493" s="1354"/>
      <c r="S493" s="1354"/>
      <c r="T493" s="1354"/>
      <c r="U493" s="1354"/>
      <c r="V493" s="1354"/>
      <c r="W493" s="1354"/>
      <c r="X493" s="1354"/>
      <c r="Y493" s="1354"/>
      <c r="Z493" s="1354"/>
    </row>
    <row r="494" spans="10:26" s="1961" customFormat="1" ht="21.75" customHeight="1">
      <c r="J494" s="1354"/>
      <c r="K494" s="1354"/>
      <c r="L494" s="1354"/>
      <c r="M494" s="1354"/>
      <c r="N494" s="1354"/>
      <c r="O494" s="1354"/>
      <c r="P494" s="1354"/>
      <c r="Q494" s="1354"/>
      <c r="R494" s="1354"/>
      <c r="S494" s="1354"/>
      <c r="T494" s="1354"/>
      <c r="U494" s="1354"/>
      <c r="V494" s="1354"/>
      <c r="W494" s="1354"/>
      <c r="X494" s="1354"/>
      <c r="Y494" s="1354"/>
      <c r="Z494" s="1354"/>
    </row>
    <row r="495" spans="10:26" s="1961" customFormat="1" ht="21.75" customHeight="1">
      <c r="J495" s="1354"/>
      <c r="K495" s="1354"/>
      <c r="L495" s="1354"/>
      <c r="M495" s="1354"/>
      <c r="N495" s="1354"/>
      <c r="O495" s="1354"/>
      <c r="P495" s="1354"/>
      <c r="Q495" s="1354"/>
      <c r="R495" s="1354"/>
      <c r="S495" s="1354"/>
      <c r="T495" s="1354"/>
      <c r="U495" s="1354"/>
      <c r="V495" s="1354"/>
      <c r="W495" s="1354"/>
      <c r="X495" s="1354"/>
      <c r="Y495" s="1354"/>
      <c r="Z495" s="1354"/>
    </row>
    <row r="496" spans="10:26" s="1961" customFormat="1" ht="21.75" customHeight="1">
      <c r="J496" s="1354"/>
      <c r="K496" s="1354"/>
      <c r="L496" s="1354"/>
      <c r="M496" s="1354"/>
      <c r="N496" s="1354"/>
      <c r="O496" s="1354"/>
      <c r="P496" s="1354"/>
      <c r="Q496" s="1354"/>
      <c r="R496" s="1354"/>
      <c r="S496" s="1354"/>
      <c r="T496" s="1354"/>
      <c r="U496" s="1354"/>
      <c r="V496" s="1354"/>
      <c r="W496" s="1354"/>
      <c r="X496" s="1354"/>
      <c r="Y496" s="1354"/>
      <c r="Z496" s="1354"/>
    </row>
    <row r="497" spans="10:26" s="1961" customFormat="1" ht="21.75" customHeight="1">
      <c r="J497" s="1354"/>
      <c r="K497" s="1354"/>
      <c r="L497" s="1354"/>
      <c r="M497" s="1354"/>
      <c r="N497" s="1354"/>
      <c r="O497" s="1354"/>
      <c r="P497" s="1354"/>
      <c r="Q497" s="1354"/>
      <c r="R497" s="1354"/>
      <c r="S497" s="1354"/>
      <c r="T497" s="1354"/>
      <c r="U497" s="1354"/>
      <c r="V497" s="1354"/>
      <c r="W497" s="1354"/>
      <c r="X497" s="1354"/>
      <c r="Y497" s="1354"/>
      <c r="Z497" s="1354"/>
    </row>
    <row r="498" spans="10:26" s="1961" customFormat="1" ht="21.75" customHeight="1">
      <c r="J498" s="1354"/>
      <c r="K498" s="1354"/>
      <c r="L498" s="1354"/>
      <c r="M498" s="1354"/>
      <c r="N498" s="1354"/>
      <c r="O498" s="1354"/>
      <c r="P498" s="1354"/>
      <c r="Q498" s="1354"/>
      <c r="R498" s="1354"/>
      <c r="S498" s="1354"/>
      <c r="T498" s="1354"/>
      <c r="U498" s="1354"/>
      <c r="V498" s="1354"/>
      <c r="W498" s="1354"/>
      <c r="X498" s="1354"/>
      <c r="Y498" s="1354"/>
      <c r="Z498" s="1354"/>
    </row>
    <row r="499" spans="10:26" s="1961" customFormat="1" ht="21.75" customHeight="1">
      <c r="J499" s="1354"/>
      <c r="K499" s="1354"/>
      <c r="L499" s="1354"/>
      <c r="M499" s="1354"/>
      <c r="N499" s="1354"/>
      <c r="O499" s="1354"/>
      <c r="P499" s="1354"/>
      <c r="Q499" s="1354"/>
      <c r="R499" s="1354"/>
      <c r="S499" s="1354"/>
      <c r="T499" s="1354"/>
      <c r="U499" s="1354"/>
      <c r="V499" s="1354"/>
      <c r="W499" s="1354"/>
      <c r="X499" s="1354"/>
      <c r="Y499" s="1354"/>
      <c r="Z499" s="1354"/>
    </row>
    <row r="500" spans="10:26" s="1961" customFormat="1" ht="21.75" customHeight="1">
      <c r="J500" s="1354"/>
      <c r="K500" s="1354"/>
      <c r="L500" s="1354"/>
      <c r="M500" s="1354"/>
      <c r="N500" s="1354"/>
      <c r="O500" s="1354"/>
      <c r="P500" s="1354"/>
      <c r="Q500" s="1354"/>
      <c r="R500" s="1354"/>
      <c r="S500" s="1354"/>
      <c r="T500" s="1354"/>
      <c r="U500" s="1354"/>
      <c r="V500" s="1354"/>
      <c r="W500" s="1354"/>
      <c r="X500" s="1354"/>
      <c r="Y500" s="1354"/>
      <c r="Z500" s="1354"/>
    </row>
    <row r="501" spans="10:26" s="1961" customFormat="1" ht="21.75" customHeight="1">
      <c r="J501" s="1354"/>
      <c r="K501" s="1354"/>
      <c r="L501" s="1354"/>
      <c r="M501" s="1354"/>
      <c r="N501" s="1354"/>
      <c r="O501" s="1354"/>
      <c r="P501" s="1354"/>
      <c r="Q501" s="1354"/>
      <c r="R501" s="1354"/>
      <c r="S501" s="1354"/>
      <c r="T501" s="1354"/>
      <c r="U501" s="1354"/>
      <c r="V501" s="1354"/>
      <c r="W501" s="1354"/>
      <c r="X501" s="1354"/>
      <c r="Y501" s="1354"/>
      <c r="Z501" s="1354"/>
    </row>
    <row r="502" spans="10:26" s="1961" customFormat="1" ht="21.75" customHeight="1">
      <c r="J502" s="1354"/>
      <c r="K502" s="1354"/>
      <c r="L502" s="1354"/>
      <c r="M502" s="1354"/>
      <c r="N502" s="1354"/>
      <c r="O502" s="1354"/>
      <c r="P502" s="1354"/>
      <c r="Q502" s="1354"/>
      <c r="R502" s="1354"/>
      <c r="S502" s="1354"/>
      <c r="T502" s="1354"/>
      <c r="U502" s="1354"/>
      <c r="V502" s="1354"/>
      <c r="W502" s="1354"/>
      <c r="X502" s="1354"/>
      <c r="Y502" s="1354"/>
      <c r="Z502" s="1354"/>
    </row>
    <row r="503" spans="10:26" s="1961" customFormat="1" ht="21.75" customHeight="1">
      <c r="J503" s="1354"/>
      <c r="K503" s="1354"/>
      <c r="L503" s="1354"/>
      <c r="M503" s="1354"/>
      <c r="N503" s="1354"/>
      <c r="O503" s="1354"/>
      <c r="P503" s="1354"/>
      <c r="Q503" s="1354"/>
      <c r="R503" s="1354"/>
      <c r="S503" s="1354"/>
      <c r="T503" s="1354"/>
      <c r="U503" s="1354"/>
      <c r="V503" s="1354"/>
      <c r="W503" s="1354"/>
      <c r="X503" s="1354"/>
      <c r="Y503" s="1354"/>
      <c r="Z503" s="1354"/>
    </row>
    <row r="504" spans="10:26" s="1961" customFormat="1" ht="21.75" customHeight="1">
      <c r="J504" s="1354"/>
      <c r="K504" s="1354"/>
      <c r="L504" s="1354"/>
      <c r="M504" s="1354"/>
      <c r="N504" s="1354"/>
      <c r="O504" s="1354"/>
      <c r="P504" s="1354"/>
      <c r="Q504" s="1354"/>
      <c r="R504" s="1354"/>
      <c r="S504" s="1354"/>
      <c r="T504" s="1354"/>
      <c r="U504" s="1354"/>
      <c r="V504" s="1354"/>
      <c r="W504" s="1354"/>
      <c r="X504" s="1354"/>
      <c r="Y504" s="1354"/>
      <c r="Z504" s="1354"/>
    </row>
    <row r="505" spans="10:26" s="1961" customFormat="1" ht="21.75" customHeight="1">
      <c r="J505" s="1354"/>
      <c r="K505" s="1354"/>
      <c r="L505" s="1354"/>
      <c r="M505" s="1354"/>
      <c r="N505" s="1354"/>
      <c r="O505" s="1354"/>
      <c r="P505" s="1354"/>
      <c r="Q505" s="1354"/>
      <c r="R505" s="1354"/>
      <c r="S505" s="1354"/>
      <c r="T505" s="1354"/>
      <c r="U505" s="1354"/>
      <c r="V505" s="1354"/>
      <c r="W505" s="1354"/>
      <c r="X505" s="1354"/>
      <c r="Y505" s="1354"/>
      <c r="Z505" s="1354"/>
    </row>
    <row r="506" spans="10:26" s="1961" customFormat="1" ht="21.75" customHeight="1">
      <c r="J506" s="1354"/>
      <c r="K506" s="1354"/>
      <c r="L506" s="1354"/>
      <c r="M506" s="1354"/>
      <c r="N506" s="1354"/>
      <c r="O506" s="1354"/>
      <c r="P506" s="1354"/>
      <c r="Q506" s="1354"/>
      <c r="R506" s="1354"/>
      <c r="S506" s="1354"/>
      <c r="T506" s="1354"/>
      <c r="U506" s="1354"/>
      <c r="V506" s="1354"/>
      <c r="W506" s="1354"/>
      <c r="X506" s="1354"/>
      <c r="Y506" s="1354"/>
      <c r="Z506" s="1354"/>
    </row>
    <row r="507" spans="10:26" s="1961" customFormat="1" ht="21.75" customHeight="1">
      <c r="J507" s="1354"/>
      <c r="K507" s="1354"/>
      <c r="L507" s="1354"/>
      <c r="M507" s="1354"/>
      <c r="N507" s="1354"/>
      <c r="O507" s="1354"/>
      <c r="P507" s="1354"/>
      <c r="Q507" s="1354"/>
      <c r="R507" s="1354"/>
      <c r="S507" s="1354"/>
      <c r="T507" s="1354"/>
      <c r="U507" s="1354"/>
      <c r="V507" s="1354"/>
      <c r="W507" s="1354"/>
      <c r="X507" s="1354"/>
      <c r="Y507" s="1354"/>
      <c r="Z507" s="1354"/>
    </row>
    <row r="508" spans="10:26" s="1961" customFormat="1" ht="21.75" customHeight="1">
      <c r="J508" s="1354"/>
      <c r="K508" s="1354"/>
      <c r="L508" s="1354"/>
      <c r="M508" s="1354"/>
      <c r="N508" s="1354"/>
      <c r="O508" s="1354"/>
      <c r="P508" s="1354"/>
      <c r="Q508" s="1354"/>
      <c r="R508" s="1354"/>
      <c r="S508" s="1354"/>
      <c r="T508" s="1354"/>
      <c r="U508" s="1354"/>
      <c r="V508" s="1354"/>
      <c r="W508" s="1354"/>
      <c r="X508" s="1354"/>
      <c r="Y508" s="1354"/>
      <c r="Z508" s="1354"/>
    </row>
    <row r="509" spans="10:26" s="1961" customFormat="1" ht="21.75" customHeight="1">
      <c r="J509" s="1354"/>
      <c r="K509" s="1354"/>
      <c r="L509" s="1354"/>
      <c r="M509" s="1354"/>
      <c r="N509" s="1354"/>
      <c r="O509" s="1354"/>
      <c r="P509" s="1354"/>
      <c r="Q509" s="1354"/>
      <c r="R509" s="1354"/>
      <c r="S509" s="1354"/>
      <c r="T509" s="1354"/>
      <c r="U509" s="1354"/>
      <c r="V509" s="1354"/>
      <c r="W509" s="1354"/>
      <c r="X509" s="1354"/>
      <c r="Y509" s="1354"/>
      <c r="Z509" s="1354"/>
    </row>
    <row r="510" spans="10:26" s="1961" customFormat="1" ht="21.75" customHeight="1">
      <c r="J510" s="1354"/>
      <c r="K510" s="1354"/>
      <c r="L510" s="1354"/>
      <c r="M510" s="1354"/>
      <c r="N510" s="1354"/>
      <c r="O510" s="1354"/>
      <c r="P510" s="1354"/>
      <c r="Q510" s="1354"/>
      <c r="R510" s="1354"/>
      <c r="S510" s="1354"/>
      <c r="T510" s="1354"/>
      <c r="U510" s="1354"/>
      <c r="V510" s="1354"/>
      <c r="W510" s="1354"/>
      <c r="X510" s="1354"/>
      <c r="Y510" s="1354"/>
      <c r="Z510" s="1354"/>
    </row>
    <row r="511" spans="10:26" s="1961" customFormat="1" ht="21.75" customHeight="1">
      <c r="J511" s="1354"/>
      <c r="K511" s="1354"/>
      <c r="L511" s="1354"/>
      <c r="M511" s="1354"/>
      <c r="N511" s="1354"/>
      <c r="O511" s="1354"/>
      <c r="P511" s="1354"/>
      <c r="Q511" s="1354"/>
      <c r="R511" s="1354"/>
      <c r="S511" s="1354"/>
      <c r="T511" s="1354"/>
      <c r="U511" s="1354"/>
      <c r="V511" s="1354"/>
      <c r="W511" s="1354"/>
      <c r="X511" s="1354"/>
      <c r="Y511" s="1354"/>
      <c r="Z511" s="1354"/>
    </row>
    <row r="512" spans="10:26" s="1961" customFormat="1" ht="21.75" customHeight="1">
      <c r="J512" s="1354"/>
      <c r="K512" s="1354"/>
      <c r="L512" s="1354"/>
      <c r="M512" s="1354"/>
      <c r="N512" s="1354"/>
      <c r="O512" s="1354"/>
      <c r="P512" s="1354"/>
      <c r="Q512" s="1354"/>
      <c r="R512" s="1354"/>
      <c r="S512" s="1354"/>
      <c r="T512" s="1354"/>
      <c r="U512" s="1354"/>
      <c r="V512" s="1354"/>
      <c r="W512" s="1354"/>
      <c r="X512" s="1354"/>
      <c r="Y512" s="1354"/>
      <c r="Z512" s="1354"/>
    </row>
    <row r="513" spans="6:26" s="1961" customFormat="1" ht="21.75" customHeight="1">
      <c r="J513" s="1354"/>
      <c r="K513" s="1354"/>
      <c r="L513" s="1354"/>
      <c r="M513" s="1354"/>
      <c r="N513" s="1354"/>
      <c r="O513" s="1354"/>
      <c r="P513" s="1354"/>
      <c r="Q513" s="1354"/>
      <c r="R513" s="1354"/>
      <c r="S513" s="1354"/>
      <c r="T513" s="1354"/>
      <c r="U513" s="1354"/>
      <c r="V513" s="1354"/>
      <c r="W513" s="1354"/>
      <c r="X513" s="1354"/>
      <c r="Y513" s="1354"/>
      <c r="Z513" s="1354"/>
    </row>
    <row r="514" spans="6:26" s="1961" customFormat="1" ht="21.75" customHeight="1">
      <c r="J514" s="1354"/>
      <c r="K514" s="1354"/>
      <c r="L514" s="1354"/>
      <c r="M514" s="1354"/>
      <c r="N514" s="1354"/>
      <c r="O514" s="1354"/>
      <c r="P514" s="1354"/>
      <c r="Q514" s="1354"/>
      <c r="R514" s="1354"/>
      <c r="S514" s="1354"/>
      <c r="T514" s="1354"/>
      <c r="U514" s="1354"/>
      <c r="V514" s="1354"/>
      <c r="W514" s="1354"/>
      <c r="X514" s="1354"/>
      <c r="Y514" s="1354"/>
      <c r="Z514" s="1354"/>
    </row>
    <row r="515" spans="6:26" s="1961" customFormat="1" ht="21.75" customHeight="1">
      <c r="J515" s="1354"/>
      <c r="K515" s="1354"/>
      <c r="L515" s="1354"/>
      <c r="M515" s="1354"/>
      <c r="N515" s="1354"/>
      <c r="O515" s="1354"/>
      <c r="P515" s="1354"/>
      <c r="Q515" s="1354"/>
      <c r="R515" s="1354"/>
      <c r="S515" s="1354"/>
      <c r="T515" s="1354"/>
      <c r="U515" s="1354"/>
      <c r="V515" s="1354"/>
      <c r="W515" s="1354"/>
      <c r="X515" s="1354"/>
      <c r="Y515" s="1354"/>
      <c r="Z515" s="1354"/>
    </row>
    <row r="516" spans="6:26" s="1961" customFormat="1" ht="21.75" customHeight="1">
      <c r="J516" s="1354"/>
      <c r="K516" s="1354"/>
      <c r="L516" s="1354"/>
      <c r="M516" s="1354"/>
      <c r="N516" s="1354"/>
      <c r="O516" s="1354"/>
      <c r="P516" s="1354"/>
      <c r="Q516" s="1354"/>
      <c r="R516" s="1354"/>
      <c r="S516" s="1354"/>
      <c r="T516" s="1354"/>
      <c r="U516" s="1354"/>
      <c r="V516" s="1354"/>
      <c r="W516" s="1354"/>
      <c r="X516" s="1354"/>
      <c r="Y516" s="1354"/>
      <c r="Z516" s="1354"/>
    </row>
    <row r="517" spans="6:26" s="1961" customFormat="1" ht="21.75" customHeight="1">
      <c r="J517" s="1354"/>
      <c r="K517" s="1354"/>
      <c r="L517" s="1354"/>
      <c r="M517" s="1354"/>
      <c r="N517" s="1354"/>
      <c r="O517" s="1354"/>
      <c r="P517" s="1354"/>
      <c r="Q517" s="1354"/>
      <c r="R517" s="1354"/>
      <c r="S517" s="1354"/>
      <c r="T517" s="1354"/>
      <c r="U517" s="1354"/>
      <c r="V517" s="1354"/>
      <c r="W517" s="1354"/>
      <c r="X517" s="1354"/>
      <c r="Y517" s="1354"/>
      <c r="Z517" s="1354"/>
    </row>
    <row r="518" spans="6:26" s="1961" customFormat="1" ht="21.75" customHeight="1">
      <c r="J518" s="1354"/>
      <c r="K518" s="1354"/>
      <c r="L518" s="1354"/>
      <c r="M518" s="1354"/>
      <c r="N518" s="1354"/>
      <c r="O518" s="1354"/>
      <c r="P518" s="1354"/>
      <c r="Q518" s="1354"/>
      <c r="R518" s="1354"/>
      <c r="S518" s="1354"/>
      <c r="T518" s="1354"/>
      <c r="U518" s="1354"/>
      <c r="V518" s="1354"/>
      <c r="W518" s="1354"/>
      <c r="X518" s="1354"/>
      <c r="Y518" s="1354"/>
      <c r="Z518" s="1354"/>
    </row>
    <row r="519" spans="6:26" s="1961" customFormat="1" ht="21.75" customHeight="1">
      <c r="F519" s="1962"/>
      <c r="G519" s="1962"/>
      <c r="H519" s="1962"/>
      <c r="I519" s="1962"/>
      <c r="J519" s="1354"/>
      <c r="K519" s="1354"/>
      <c r="L519" s="1354"/>
      <c r="M519" s="1354"/>
      <c r="N519" s="1354"/>
      <c r="O519" s="1354"/>
      <c r="P519" s="1354"/>
      <c r="Q519" s="1354"/>
      <c r="R519" s="1354"/>
      <c r="S519" s="1354"/>
      <c r="T519" s="1354"/>
      <c r="U519" s="1354"/>
      <c r="V519" s="1354"/>
      <c r="W519" s="1354"/>
      <c r="X519" s="1354"/>
      <c r="Y519" s="1354"/>
      <c r="Z519" s="1354"/>
    </row>
  </sheetData>
  <sheetProtection password="C66D" sheet="1" objects="1" scenarios="1" formatCells="0" formatColumns="0" formatRows="0"/>
  <mergeCells count="138">
    <mergeCell ref="J64:J70"/>
    <mergeCell ref="K58:K59"/>
    <mergeCell ref="K60:K61"/>
    <mergeCell ref="F111:G112"/>
    <mergeCell ref="F113:G114"/>
    <mergeCell ref="A117:B118"/>
    <mergeCell ref="F115:G116"/>
    <mergeCell ref="A119:B120"/>
    <mergeCell ref="A115:B116"/>
    <mergeCell ref="A109:B110"/>
    <mergeCell ref="F103:G104"/>
    <mergeCell ref="A113:B113"/>
    <mergeCell ref="A114:B114"/>
    <mergeCell ref="F117:G117"/>
    <mergeCell ref="H117:I117"/>
    <mergeCell ref="F118:I118"/>
    <mergeCell ref="E95:H95"/>
    <mergeCell ref="A100:D100"/>
    <mergeCell ref="F100:I100"/>
    <mergeCell ref="A101:B101"/>
    <mergeCell ref="F101:G101"/>
    <mergeCell ref="H101:I101"/>
    <mergeCell ref="F102:G102"/>
    <mergeCell ref="H102:I102"/>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21:I121"/>
    <mergeCell ref="D122:E122"/>
    <mergeCell ref="F122:G122"/>
    <mergeCell ref="H122:I122"/>
    <mergeCell ref="F106:G106"/>
    <mergeCell ref="F107:G107"/>
    <mergeCell ref="A108:D108"/>
    <mergeCell ref="F108:G108"/>
    <mergeCell ref="F109:G109"/>
    <mergeCell ref="F110:G110"/>
    <mergeCell ref="H110:I110"/>
    <mergeCell ref="A111:B111"/>
    <mergeCell ref="A112:B112"/>
    <mergeCell ref="F105:G105"/>
    <mergeCell ref="H105:I105"/>
    <mergeCell ref="A71:H71"/>
    <mergeCell ref="A72:B72"/>
    <mergeCell ref="E77:H77"/>
    <mergeCell ref="E79:H79"/>
    <mergeCell ref="A84:H84"/>
    <mergeCell ref="A85:B85"/>
    <mergeCell ref="E92:G92"/>
    <mergeCell ref="E93:H93"/>
    <mergeCell ref="E94:H94"/>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205"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G78">
      <formula1>"个人住宅,2016年5月1日前购买,2016年5月1日后购买"</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4:D4">
      <formula1>估价方法</formula1>
    </dataValidation>
    <dataValidation type="list" allowBlank="1" showInputMessage="1" showErrorMessage="1" sqref="H49">
      <formula1>"情况1,情况2,情况3,情况4"</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H92">
      <formula1>"企业提供（在右侧录入）,——"</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sqref="A1:XFD1048576"/>
    </sheetView>
  </sheetViews>
  <sheetFormatPr defaultColWidth="8.375" defaultRowHeight="12.75"/>
  <cols>
    <col min="1" max="1" width="9.375" style="1893" customWidth="1"/>
    <col min="2" max="2" width="29.25" style="1894" customWidth="1"/>
    <col min="3" max="3" width="12.125" style="1894" customWidth="1"/>
    <col min="4" max="4" width="12.25" style="1895" customWidth="1"/>
    <col min="5" max="5" width="11.25" style="1895" customWidth="1"/>
    <col min="6" max="6" width="9.5" style="1894" customWidth="1"/>
    <col min="7" max="7" width="31.875" style="1894" customWidth="1"/>
    <col min="8" max="254" width="9" style="1894" customWidth="1"/>
    <col min="255" max="16384" width="8.375" style="1894"/>
  </cols>
  <sheetData>
    <row r="1" spans="1:7" s="1888" customFormat="1" ht="20.25">
      <c r="A1" s="396" t="s">
        <v>831</v>
      </c>
      <c r="B1" s="1804"/>
      <c r="C1" s="398"/>
      <c r="D1" s="398"/>
      <c r="E1" s="398"/>
      <c r="F1" s="398"/>
      <c r="G1" s="1083"/>
    </row>
    <row r="2" spans="1:7" s="1888" customFormat="1" ht="18" customHeight="1">
      <c r="A2" s="400" t="s">
        <v>832</v>
      </c>
      <c r="B2" s="1896">
        <f ca="1">IF(D2="——",IF(C2="元",C52,ROUND(C52/10000,0)),IF(C2="元",C52,ROUND(C52/10000,0))-E2)</f>
        <v>596</v>
      </c>
      <c r="C2" s="1083" t="str">
        <f>'数据-取费表'!B3</f>
        <v>万元</v>
      </c>
      <c r="D2" s="1897" t="s">
        <v>121</v>
      </c>
      <c r="E2" s="1898" t="e">
        <f ca="1">SUMIF(INDIRECT("'"&amp;G2&amp;"'"&amp;"!A:A"),"承租人权益价值",INDIRECT("'"&amp;G2&amp;"'"&amp;"!c:c"))</f>
        <v>#REF!</v>
      </c>
      <c r="F2" s="1899" t="str">
        <f>C2</f>
        <v>万元</v>
      </c>
      <c r="G2" s="1900"/>
    </row>
    <row r="3" spans="1:7" s="1888" customFormat="1" ht="18" customHeight="1">
      <c r="A3" s="407" t="s">
        <v>833</v>
      </c>
      <c r="B3" s="401">
        <f ca="1">ROUND(C52/IF(B1="仅计算典型户型",'数据-取费表'!E5,'数据-取费表'!B5),0)</f>
        <v>5817</v>
      </c>
      <c r="C3" s="1083" t="s">
        <v>834</v>
      </c>
      <c r="D3" s="1083"/>
      <c r="E3" s="1083"/>
      <c r="F3" s="1083"/>
      <c r="G3" s="1083"/>
    </row>
    <row r="4" spans="1:7" s="1889" customFormat="1" ht="15.75">
      <c r="A4" s="1901" t="s">
        <v>835</v>
      </c>
      <c r="B4" s="1902"/>
      <c r="C4" s="1902"/>
      <c r="D4" s="1902"/>
      <c r="E4" s="1902"/>
      <c r="F4" s="1902"/>
      <c r="G4" s="1903"/>
    </row>
    <row r="5" spans="1:7" s="1890" customFormat="1" ht="13.5" customHeight="1">
      <c r="A5" s="1904" t="s">
        <v>836</v>
      </c>
      <c r="B5" s="1905" t="s">
        <v>837</v>
      </c>
      <c r="C5" s="1906">
        <f>C6+C7+C8</f>
        <v>1030500</v>
      </c>
      <c r="D5" s="1906" t="s">
        <v>838</v>
      </c>
      <c r="E5" s="1907" t="s">
        <v>839</v>
      </c>
      <c r="F5" s="1907" t="s">
        <v>719</v>
      </c>
      <c r="G5" s="1908"/>
    </row>
    <row r="6" spans="1:7" s="1890" customFormat="1" ht="13.5" customHeight="1">
      <c r="A6" s="1909" t="s">
        <v>840</v>
      </c>
      <c r="B6" s="1910" t="s">
        <v>841</v>
      </c>
      <c r="C6" s="1911">
        <v>1000000</v>
      </c>
      <c r="D6" s="1912"/>
      <c r="E6" s="1913"/>
      <c r="F6" s="1913"/>
      <c r="G6" s="1914"/>
    </row>
    <row r="7" spans="1:7" s="1890" customFormat="1" ht="13.5" customHeight="1">
      <c r="A7" s="1909" t="s">
        <v>842</v>
      </c>
      <c r="B7" s="1910" t="s">
        <v>843</v>
      </c>
      <c r="C7" s="1915">
        <f>ROUND(C6*F7,0)</f>
        <v>30500</v>
      </c>
      <c r="D7" s="1915"/>
      <c r="E7" s="1913"/>
      <c r="F7" s="1916">
        <f>'数据-取费表'!E36+'数据-取费表'!E37</f>
        <v>3.0499999999999999E-2</v>
      </c>
      <c r="G7" s="1914"/>
    </row>
    <row r="8" spans="1:7" s="1891" customFormat="1">
      <c r="A8" s="1909" t="s">
        <v>844</v>
      </c>
      <c r="B8" s="1910" t="s">
        <v>845</v>
      </c>
      <c r="C8" s="1915">
        <f>IF(G8="已包含在土地购买价格中","0",'数据-取费表'!E13)</f>
        <v>0</v>
      </c>
      <c r="D8" s="1917"/>
      <c r="E8" s="1915"/>
      <c r="F8" s="1916"/>
      <c r="G8" s="1918"/>
    </row>
    <row r="9" spans="1:7" s="1890" customFormat="1" ht="13.5" customHeight="1">
      <c r="A9" s="1919" t="s">
        <v>846</v>
      </c>
      <c r="B9" s="1920" t="s">
        <v>847</v>
      </c>
      <c r="C9" s="1921">
        <f>ROUND(D9*E9,0)</f>
        <v>0</v>
      </c>
      <c r="D9" s="1922">
        <f>IF('数据-取费表'!B10="住宅",IF(B1="仅计算典型户型",'数据-取费表'!E5,'数据-取费表'!B5),0)</f>
        <v>0</v>
      </c>
      <c r="E9" s="1921">
        <f>'数据-取费表'!E11</f>
        <v>0</v>
      </c>
      <c r="F9" s="1916"/>
      <c r="G9" s="1923"/>
    </row>
    <row r="10" spans="1:7" s="1890" customFormat="1" ht="13.5" customHeight="1">
      <c r="A10" s="1919" t="s">
        <v>848</v>
      </c>
      <c r="B10" s="1920" t="s">
        <v>849</v>
      </c>
      <c r="C10" s="1921">
        <f>ROUND(D10*E10,0)</f>
        <v>204896</v>
      </c>
      <c r="D10" s="1922">
        <f>IF('数据-取费表'!B10&lt;&gt;"住宅",IF(B1="仅计算典型户型",'数据-取费表'!E5,'数据-取费表'!B5),0)</f>
        <v>1024.48</v>
      </c>
      <c r="E10" s="1921">
        <f>'数据-取费表'!E12</f>
        <v>200</v>
      </c>
      <c r="F10" s="1916"/>
      <c r="G10" s="1923"/>
    </row>
    <row r="11" spans="1:7" s="1890" customFormat="1" ht="13.5" hidden="1" customHeight="1">
      <c r="A11" s="1909" t="s">
        <v>850</v>
      </c>
      <c r="B11" s="1910" t="s">
        <v>851</v>
      </c>
      <c r="C11" s="1906"/>
      <c r="D11" s="1915"/>
      <c r="E11" s="1913"/>
      <c r="F11" s="1913"/>
      <c r="G11" s="1914"/>
    </row>
    <row r="12" spans="1:7" s="1890" customFormat="1" ht="13.5" hidden="1" customHeight="1">
      <c r="A12" s="1909" t="s">
        <v>852</v>
      </c>
      <c r="B12" s="1910" t="s">
        <v>757</v>
      </c>
      <c r="C12" s="1906">
        <v>0</v>
      </c>
      <c r="D12" s="1915"/>
      <c r="E12" s="1924"/>
      <c r="F12" s="1916">
        <v>3.0499999999999999E-2</v>
      </c>
      <c r="G12" s="1914"/>
    </row>
    <row r="13" spans="1:7" s="1890" customFormat="1" ht="13.5" hidden="1" customHeight="1">
      <c r="A13" s="1909" t="s">
        <v>853</v>
      </c>
      <c r="B13" s="1910" t="s">
        <v>854</v>
      </c>
      <c r="C13" s="1906"/>
      <c r="D13" s="1915"/>
      <c r="E13" s="1913"/>
      <c r="F13" s="1913"/>
      <c r="G13" s="1914"/>
    </row>
    <row r="14" spans="1:7" s="1890" customFormat="1" ht="13.5" hidden="1" customHeight="1">
      <c r="A14" s="1909" t="s">
        <v>855</v>
      </c>
      <c r="B14" s="1910" t="s">
        <v>845</v>
      </c>
      <c r="C14" s="1906"/>
      <c r="D14" s="1915"/>
      <c r="E14" s="1913"/>
      <c r="F14" s="1913"/>
      <c r="G14" s="1914" t="s">
        <v>856</v>
      </c>
    </row>
    <row r="15" spans="1:7" s="1890" customFormat="1" ht="13.5" hidden="1" customHeight="1">
      <c r="A15" s="1909" t="s">
        <v>857</v>
      </c>
      <c r="B15" s="1910" t="s">
        <v>858</v>
      </c>
      <c r="C15" s="1915"/>
      <c r="D15" s="1915"/>
      <c r="E15" s="1913"/>
      <c r="F15" s="1913"/>
      <c r="G15" s="1914" t="s">
        <v>859</v>
      </c>
    </row>
    <row r="16" spans="1:7" s="1890" customFormat="1" ht="13.5" hidden="1" customHeight="1">
      <c r="A16" s="1909" t="s">
        <v>860</v>
      </c>
      <c r="B16" s="1910" t="s">
        <v>845</v>
      </c>
      <c r="C16" s="1915"/>
      <c r="D16" s="1915"/>
      <c r="E16" s="1913"/>
      <c r="F16" s="1913"/>
      <c r="G16" s="1914"/>
    </row>
    <row r="17" spans="1:7" s="1890" customFormat="1" ht="13.5" hidden="1" customHeight="1">
      <c r="A17" s="1909" t="s">
        <v>861</v>
      </c>
      <c r="B17" s="1910" t="s">
        <v>862</v>
      </c>
      <c r="C17" s="1925"/>
      <c r="D17" s="1925"/>
      <c r="E17" s="1925"/>
      <c r="F17" s="1925"/>
      <c r="G17" s="1914" t="s">
        <v>859</v>
      </c>
    </row>
    <row r="18" spans="1:7" s="1890" customFormat="1" ht="13.5" hidden="1" customHeight="1">
      <c r="A18" s="1909" t="s">
        <v>863</v>
      </c>
      <c r="B18" s="1910" t="s">
        <v>864</v>
      </c>
      <c r="C18" s="1915">
        <v>0</v>
      </c>
      <c r="D18" s="1915"/>
      <c r="E18" s="1913"/>
      <c r="F18" s="1916">
        <v>3.0499999999999999E-2</v>
      </c>
      <c r="G18" s="1914" t="s">
        <v>865</v>
      </c>
    </row>
    <row r="19" spans="1:7" s="1891" customFormat="1" ht="13.5" customHeight="1">
      <c r="A19" s="1904" t="s">
        <v>866</v>
      </c>
      <c r="B19" s="1905" t="s">
        <v>867</v>
      </c>
      <c r="C19" s="1906">
        <f>IF(G19="已包含在土地取得成本中","0",ROUND(D19*E19,0))</f>
        <v>204896</v>
      </c>
      <c r="D19" s="1926">
        <f>IF(B1="仅计算典型户型",'数据-取费表'!E5,'数据-取费表'!B5)</f>
        <v>1024.48</v>
      </c>
      <c r="E19" s="1906">
        <f>'数据-取费表'!E15</f>
        <v>200</v>
      </c>
      <c r="F19" s="1927"/>
      <c r="G19" s="1918"/>
    </row>
    <row r="20" spans="1:7" s="1890" customFormat="1" ht="13.5" customHeight="1">
      <c r="A20" s="1904" t="s">
        <v>868</v>
      </c>
      <c r="B20" s="1905" t="s">
        <v>869</v>
      </c>
      <c r="C20" s="1928">
        <f>ROUND((C5+C19)*F20,0)</f>
        <v>12354</v>
      </c>
      <c r="D20" s="1928"/>
      <c r="E20" s="1928"/>
      <c r="F20" s="1929">
        <f>'数据-取费表'!E25</f>
        <v>0.01</v>
      </c>
      <c r="G20" s="1930" t="s">
        <v>870</v>
      </c>
    </row>
    <row r="21" spans="1:7" s="1890" customFormat="1" ht="13.5" customHeight="1">
      <c r="A21" s="1904" t="s">
        <v>871</v>
      </c>
      <c r="B21" s="1905" t="s">
        <v>872</v>
      </c>
      <c r="C21" s="1931">
        <f>F21</f>
        <v>0.01</v>
      </c>
      <c r="D21" s="1932" t="s">
        <v>873</v>
      </c>
      <c r="E21" s="1928"/>
      <c r="F21" s="1929">
        <f>'数据-取费表'!E26</f>
        <v>0.01</v>
      </c>
      <c r="G21" s="1930" t="s">
        <v>874</v>
      </c>
    </row>
    <row r="22" spans="1:7" s="1890" customFormat="1" ht="13.5" customHeight="1">
      <c r="A22" s="1904" t="s">
        <v>875</v>
      </c>
      <c r="B22" s="1905" t="s">
        <v>876</v>
      </c>
      <c r="C22" s="1933">
        <f ca="1">ROUND(SUM(C23:C25),0)</f>
        <v>120737</v>
      </c>
      <c r="D22" s="1931">
        <f ca="1">C26</f>
        <v>5.0000000000000001E-4</v>
      </c>
      <c r="E22" s="1932" t="s">
        <v>873</v>
      </c>
      <c r="F22" s="1929">
        <f ca="1">'数据-取费表'!E27</f>
        <v>4.7500000000000001E-2</v>
      </c>
      <c r="G22" s="1930" t="str">
        <f>IF('数据-取费表'!B23&lt;=1,"单利计息。","复利计息。")</f>
        <v>复利计息。</v>
      </c>
    </row>
    <row r="23" spans="1:7" s="1890" customFormat="1" ht="13.5" customHeight="1">
      <c r="A23" s="1909" t="s">
        <v>840</v>
      </c>
      <c r="B23" s="1910" t="s">
        <v>877</v>
      </c>
      <c r="C23" s="1934">
        <f ca="1">ROUND(IF('数据-取费表'!B23&lt;=1,C5*F22*'数据-取费表'!B24,C5*(POWER((1+F22),'数据-取费表'!B24)-1)),0)</f>
        <v>100223</v>
      </c>
      <c r="D23" s="1681"/>
      <c r="E23" s="1681"/>
      <c r="F23" s="1935"/>
      <c r="G23" s="1936" t="s">
        <v>878</v>
      </c>
    </row>
    <row r="24" spans="1:7" s="1890" customFormat="1" ht="13.5" customHeight="1">
      <c r="A24" s="1909" t="s">
        <v>842</v>
      </c>
      <c r="B24" s="1910" t="s">
        <v>879</v>
      </c>
      <c r="C24" s="1934">
        <f ca="1">ROUND(IF('数据-取费表'!B23&lt;=1,C19*F22*('数据-取费表'!B20/2+'数据-取费表'!B22),C19*(POWER((1+F22),('数据-取费表'!B20/2+'数据-取费表'!B22))-1)),0)</f>
        <v>19927</v>
      </c>
      <c r="D24" s="1681"/>
      <c r="E24" s="1681"/>
      <c r="F24" s="1935"/>
      <c r="G24" s="1936" t="s">
        <v>880</v>
      </c>
    </row>
    <row r="25" spans="1:7" s="1890" customFormat="1" ht="24">
      <c r="A25" s="1909" t="s">
        <v>844</v>
      </c>
      <c r="B25" s="1910" t="s">
        <v>881</v>
      </c>
      <c r="C25" s="1934">
        <f ca="1">ROUND(IF('数据-取费表'!B23&lt;=1,C20*F22*'数据-取费表'!B24/2,C20*(POWER((1+F22),'数据-取费表'!B24/2)-1)),0)</f>
        <v>587</v>
      </c>
      <c r="D25" s="1681"/>
      <c r="E25" s="1937"/>
      <c r="F25" s="1935"/>
      <c r="G25" s="1938" t="s">
        <v>882</v>
      </c>
    </row>
    <row r="26" spans="1:7" s="1890" customFormat="1">
      <c r="A26" s="1909" t="s">
        <v>883</v>
      </c>
      <c r="B26" s="1910" t="s">
        <v>884</v>
      </c>
      <c r="C26" s="1681">
        <f ca="1">ROUND(IF('数据-取费表'!B23&lt;=1,F21*F22*'数据-取费表'!B24/2,F21*(POWER((1+F22),'数据-取费表'!B24/2)-1)),4)</f>
        <v>5.0000000000000001E-4</v>
      </c>
      <c r="D26" s="1681"/>
      <c r="E26" s="1937"/>
      <c r="F26" s="1935"/>
      <c r="G26" s="633"/>
    </row>
    <row r="27" spans="1:7" s="1890" customFormat="1" ht="25.5">
      <c r="A27" s="1939" t="s">
        <v>885</v>
      </c>
      <c r="B27" s="1940" t="s">
        <v>886</v>
      </c>
      <c r="C27" s="1906">
        <f>C28</f>
        <v>187163</v>
      </c>
      <c r="D27" s="1931">
        <f>C29</f>
        <v>1.5E-3</v>
      </c>
      <c r="E27" s="1932" t="s">
        <v>873</v>
      </c>
      <c r="F27" s="1927">
        <f>'数据-取费表'!E28</f>
        <v>0.15</v>
      </c>
      <c r="G27" s="1941" t="s">
        <v>887</v>
      </c>
    </row>
    <row r="28" spans="1:7" s="1890" customFormat="1" ht="13.5" customHeight="1">
      <c r="A28" s="1909" t="s">
        <v>840</v>
      </c>
      <c r="B28" s="1942" t="s">
        <v>888</v>
      </c>
      <c r="C28" s="1915">
        <f>ROUND((C5+C19+C20)*F27*'数据-取费表'!B22/'数据-取费表'!B21,0)</f>
        <v>187163</v>
      </c>
      <c r="D28" s="1931"/>
      <c r="E28" s="1932"/>
      <c r="F28" s="1927"/>
      <c r="G28" s="1941"/>
    </row>
    <row r="29" spans="1:7" s="1890" customFormat="1" ht="13.5" customHeight="1">
      <c r="A29" s="1909" t="s">
        <v>842</v>
      </c>
      <c r="B29" s="1942" t="s">
        <v>889</v>
      </c>
      <c r="C29" s="1681">
        <f>ROUND(C21*F27*'数据-取费表'!B22/'数据-取费表'!B21,4)</f>
        <v>1.5E-3</v>
      </c>
      <c r="D29" s="1931"/>
      <c r="E29" s="1932"/>
      <c r="F29" s="1927"/>
      <c r="G29" s="1941"/>
    </row>
    <row r="30" spans="1:7" s="1890" customFormat="1" ht="13.5" customHeight="1">
      <c r="A30" s="1939" t="s">
        <v>890</v>
      </c>
      <c r="B30" s="1905" t="s">
        <v>891</v>
      </c>
      <c r="C30" s="1931">
        <f>ROUND(F30/(1+'数据-取费表'!F30),4)</f>
        <v>5.33E-2</v>
      </c>
      <c r="D30" s="1932" t="s">
        <v>873</v>
      </c>
      <c r="E30" s="1937"/>
      <c r="F30" s="1929">
        <f>'数据-取费表'!E29</f>
        <v>5.6000000000000001E-2</v>
      </c>
      <c r="G30" s="1930" t="s">
        <v>892</v>
      </c>
    </row>
    <row r="31" spans="1:7" ht="16.5" customHeight="1">
      <c r="A31" s="1904">
        <v>1</v>
      </c>
      <c r="B31" s="1905" t="s">
        <v>893</v>
      </c>
      <c r="C31" s="1906">
        <f ca="1">ROUND((C5+C19+C20+C22+C27)/(1-C21-D22-D27-C30),0)</f>
        <v>1664331</v>
      </c>
      <c r="D31" s="1926"/>
      <c r="E31" s="1906"/>
      <c r="F31" s="1943"/>
      <c r="G31" s="1930" t="s">
        <v>894</v>
      </c>
    </row>
    <row r="32" spans="1:7" s="1889" customFormat="1" ht="15.75">
      <c r="A32" s="1944" t="s">
        <v>895</v>
      </c>
      <c r="B32" s="1945"/>
      <c r="C32" s="1946"/>
      <c r="D32" s="1946"/>
      <c r="E32" s="1946"/>
      <c r="F32" s="1946"/>
      <c r="G32" s="1947"/>
    </row>
    <row r="33" spans="1:7" s="1890" customFormat="1" ht="13.5" customHeight="1">
      <c r="A33" s="1904" t="s">
        <v>836</v>
      </c>
      <c r="B33" s="1905" t="s">
        <v>896</v>
      </c>
      <c r="C33" s="1933">
        <f>SUM(C34:C38)</f>
        <v>3951931</v>
      </c>
      <c r="D33" s="1928"/>
      <c r="E33" s="1907"/>
      <c r="F33" s="1937"/>
      <c r="G33" s="1930"/>
    </row>
    <row r="34" spans="1:7" s="1892" customFormat="1" ht="13.5" customHeight="1">
      <c r="A34" s="1909" t="s">
        <v>840</v>
      </c>
      <c r="B34" s="1910" t="s">
        <v>897</v>
      </c>
      <c r="C34" s="1915">
        <f>IF(B1="仅计算典型户型",'数据-取费表'!F18,'数据-取费表'!E18)</f>
        <v>3585680</v>
      </c>
      <c r="D34" s="1912"/>
      <c r="E34" s="1915"/>
      <c r="F34" s="1948" t="str">
        <f>IF('数据-取费表'!B25=0,"",'数据-取费表'!E20)</f>
        <v/>
      </c>
      <c r="G34" s="1914"/>
    </row>
    <row r="35" spans="1:7" ht="13.5" customHeight="1">
      <c r="A35" s="1909" t="s">
        <v>842</v>
      </c>
      <c r="B35" s="1910" t="s">
        <v>898</v>
      </c>
      <c r="C35" s="1915">
        <f>ROUND(C34*F35,0)</f>
        <v>107570</v>
      </c>
      <c r="D35" s="1915"/>
      <c r="E35" s="1915"/>
      <c r="F35" s="1949">
        <f>'数据-取费表'!E21</f>
        <v>0.03</v>
      </c>
      <c r="G35" s="1914" t="s">
        <v>899</v>
      </c>
    </row>
    <row r="36" spans="1:7" ht="24">
      <c r="A36" s="1909" t="s">
        <v>844</v>
      </c>
      <c r="B36" s="1910" t="s">
        <v>900</v>
      </c>
      <c r="C36" s="1915">
        <f>ROUND(IF('数据-取费表'!B10="住宅",C34*F36,0),0)</f>
        <v>0</v>
      </c>
      <c r="D36" s="1915"/>
      <c r="E36" s="1915"/>
      <c r="F36" s="1949">
        <f>'数据-取费表'!E22</f>
        <v>0</v>
      </c>
      <c r="G36" s="1950" t="s">
        <v>901</v>
      </c>
    </row>
    <row r="37" spans="1:7" s="1892" customFormat="1" ht="13.5" customHeight="1">
      <c r="A37" s="1909" t="s">
        <v>883</v>
      </c>
      <c r="B37" s="1910" t="s">
        <v>902</v>
      </c>
      <c r="C37" s="1915">
        <f>ROUND(E37*D37,0)</f>
        <v>204896</v>
      </c>
      <c r="D37" s="1912">
        <f>IF(B1="仅计算典型户型",'数据-取费表'!E5,'数据-取费表'!B5)</f>
        <v>1024.48</v>
      </c>
      <c r="E37" s="1915">
        <f>'数据-取费表'!E23</f>
        <v>200</v>
      </c>
      <c r="F37" s="1949"/>
      <c r="G37" s="1951" t="s">
        <v>903</v>
      </c>
    </row>
    <row r="38" spans="1:7" ht="13.5" customHeight="1">
      <c r="A38" s="1909" t="s">
        <v>904</v>
      </c>
      <c r="B38" s="1910" t="s">
        <v>757</v>
      </c>
      <c r="C38" s="1915">
        <f>ROUND(C34*F38,0)</f>
        <v>53785</v>
      </c>
      <c r="D38" s="1915"/>
      <c r="E38" s="1915"/>
      <c r="F38" s="1949">
        <f>'数据-取费表'!E24</f>
        <v>1.4999999999999999E-2</v>
      </c>
      <c r="G38" s="1914" t="s">
        <v>899</v>
      </c>
    </row>
    <row r="39" spans="1:7" s="1890" customFormat="1" ht="13.5" customHeight="1">
      <c r="A39" s="1904" t="s">
        <v>866</v>
      </c>
      <c r="B39" s="1905" t="s">
        <v>869</v>
      </c>
      <c r="C39" s="1928">
        <f>ROUND(C33*F20,0)</f>
        <v>39519</v>
      </c>
      <c r="D39" s="1928"/>
      <c r="E39" s="1928"/>
      <c r="F39" s="1929"/>
      <c r="G39" s="1930" t="s">
        <v>905</v>
      </c>
    </row>
    <row r="40" spans="1:7" s="1890" customFormat="1" ht="13.5" customHeight="1">
      <c r="A40" s="1904" t="s">
        <v>868</v>
      </c>
      <c r="B40" s="1905" t="s">
        <v>872</v>
      </c>
      <c r="C40" s="1952">
        <f>F21</f>
        <v>0.01</v>
      </c>
      <c r="D40" s="1932" t="s">
        <v>906</v>
      </c>
      <c r="E40" s="1928"/>
      <c r="F40" s="1929"/>
      <c r="G40" s="1930" t="s">
        <v>907</v>
      </c>
    </row>
    <row r="41" spans="1:7" s="1890" customFormat="1" ht="13.5" customHeight="1">
      <c r="A41" s="1904" t="s">
        <v>871</v>
      </c>
      <c r="B41" s="1905" t="s">
        <v>876</v>
      </c>
      <c r="C41" s="1928">
        <f ca="1">ROUND(SUM(C42:C43),0)</f>
        <v>189594</v>
      </c>
      <c r="D41" s="1931">
        <f ca="1">C44</f>
        <v>5.0000000000000001E-4</v>
      </c>
      <c r="E41" s="1932" t="s">
        <v>906</v>
      </c>
      <c r="F41" s="1929"/>
      <c r="G41" s="1930" t="str">
        <f>IF('数据-取费表'!B23&lt;=1,"单利计息。","复利计息。")</f>
        <v>复利计息。</v>
      </c>
    </row>
    <row r="42" spans="1:7" ht="13.5" customHeight="1">
      <c r="A42" s="1909" t="s">
        <v>840</v>
      </c>
      <c r="B42" s="1910" t="s">
        <v>877</v>
      </c>
      <c r="C42" s="1681">
        <f ca="1">ROUND(IF('数据-取费表'!B23&lt;=1,C33*F22*'数据-取费表'!B22/2,C33*(POWER((1+F22),'数据-取费表'!B22/2)-1)),0)</f>
        <v>187717</v>
      </c>
      <c r="D42" s="1681"/>
      <c r="E42" s="1681"/>
      <c r="F42" s="1935"/>
      <c r="G42" s="2978" t="s">
        <v>908</v>
      </c>
    </row>
    <row r="43" spans="1:7" ht="13.5" customHeight="1">
      <c r="A43" s="1909" t="s">
        <v>842</v>
      </c>
      <c r="B43" s="1910" t="s">
        <v>879</v>
      </c>
      <c r="C43" s="1681">
        <f ca="1">ROUND(IF('数据-取费表'!B23&lt;=1,C39*F22*'数据-取费表'!B22/2,C39*(POWER((1+F22),'数据-取费表'!B22/2)-1)),0)</f>
        <v>1877</v>
      </c>
      <c r="D43" s="1681"/>
      <c r="E43" s="1681"/>
      <c r="F43" s="1935"/>
      <c r="G43" s="2979"/>
    </row>
    <row r="44" spans="1:7" ht="13.5" customHeight="1">
      <c r="A44" s="1909" t="s">
        <v>844</v>
      </c>
      <c r="B44" s="1910" t="s">
        <v>881</v>
      </c>
      <c r="C44" s="1681">
        <f ca="1">ROUND(IF('数据-取费表'!B23&lt;=1,C40*F22*'数据-取费表'!B22/2,C40*(POWER((1+F22),'数据-取费表'!B22/2)-1)),4)</f>
        <v>5.0000000000000001E-4</v>
      </c>
      <c r="D44" s="1681"/>
      <c r="E44" s="1681"/>
      <c r="F44" s="1935"/>
      <c r="G44" s="2980"/>
    </row>
    <row r="45" spans="1:7" s="1890" customFormat="1" ht="13.5" customHeight="1">
      <c r="A45" s="1904" t="s">
        <v>875</v>
      </c>
      <c r="B45" s="1940" t="s">
        <v>886</v>
      </c>
      <c r="C45" s="1906">
        <f>C46</f>
        <v>598718</v>
      </c>
      <c r="D45" s="1931">
        <f>C47</f>
        <v>1.5E-3</v>
      </c>
      <c r="E45" s="1932" t="s">
        <v>906</v>
      </c>
      <c r="F45" s="1927"/>
      <c r="G45" s="1941" t="s">
        <v>909</v>
      </c>
    </row>
    <row r="46" spans="1:7" s="1890" customFormat="1" ht="13.5" customHeight="1">
      <c r="A46" s="1909" t="s">
        <v>840</v>
      </c>
      <c r="B46" s="1942" t="s">
        <v>910</v>
      </c>
      <c r="C46" s="1915">
        <f>ROUND((C33+C39)*F27,0)</f>
        <v>598718</v>
      </c>
      <c r="D46" s="1953"/>
      <c r="E46" s="1932"/>
      <c r="F46" s="1927"/>
      <c r="G46" s="1941"/>
    </row>
    <row r="47" spans="1:7" s="1890" customFormat="1" ht="13.5" customHeight="1">
      <c r="A47" s="1909" t="s">
        <v>842</v>
      </c>
      <c r="B47" s="1942" t="s">
        <v>911</v>
      </c>
      <c r="C47" s="1681">
        <f>ROUND(C40*F27,4)</f>
        <v>1.5E-3</v>
      </c>
      <c r="D47" s="1953"/>
      <c r="E47" s="1932"/>
      <c r="F47" s="1927"/>
      <c r="G47" s="1941"/>
    </row>
    <row r="48" spans="1:7" s="1890" customFormat="1" ht="13.5" customHeight="1">
      <c r="A48" s="1939" t="s">
        <v>885</v>
      </c>
      <c r="B48" s="1905" t="s">
        <v>891</v>
      </c>
      <c r="C48" s="1952">
        <f>ROUND(F30/(1+'数据-取费表'!F30),4)</f>
        <v>5.33E-2</v>
      </c>
      <c r="D48" s="1932" t="s">
        <v>906</v>
      </c>
      <c r="E48" s="1928"/>
      <c r="F48" s="1929"/>
      <c r="G48" s="1930" t="s">
        <v>912</v>
      </c>
    </row>
    <row r="49" spans="1:7" ht="16.5" customHeight="1">
      <c r="A49" s="1939" t="s">
        <v>890</v>
      </c>
      <c r="B49" s="1905" t="s">
        <v>913</v>
      </c>
      <c r="C49" s="1928">
        <f ca="1">ROUND((C33+C39+C41+C45)/(1-C40-D41-D45-C48),0)</f>
        <v>5113686</v>
      </c>
      <c r="D49" s="1928"/>
      <c r="E49" s="1928"/>
      <c r="F49" s="1954"/>
      <c r="G49" s="1930" t="s">
        <v>914</v>
      </c>
    </row>
    <row r="50" spans="1:7" s="1892" customFormat="1" ht="24">
      <c r="A50" s="1939" t="s">
        <v>915</v>
      </c>
      <c r="B50" s="1905" t="s">
        <v>916</v>
      </c>
      <c r="C50" s="1928"/>
      <c r="D50" s="1928"/>
      <c r="E50" s="1928"/>
      <c r="F50" s="1954">
        <f>IF('数据-取费表'!B25=0,'数据-取费表'!E20,1)</f>
        <v>0.84</v>
      </c>
      <c r="G50" s="1941" t="s">
        <v>917</v>
      </c>
    </row>
    <row r="51" spans="1:7" ht="16.5" customHeight="1">
      <c r="A51" s="1939" t="s">
        <v>918</v>
      </c>
      <c r="B51" s="1905" t="s">
        <v>919</v>
      </c>
      <c r="C51" s="1928">
        <f ca="1">ROUND(C49*F50,0)</f>
        <v>4295496</v>
      </c>
      <c r="D51" s="1928"/>
      <c r="E51" s="1928"/>
      <c r="F51" s="1954"/>
      <c r="G51" s="1930" t="s">
        <v>920</v>
      </c>
    </row>
    <row r="52" spans="1:7" s="1889" customFormat="1" ht="15.75">
      <c r="A52" s="1955" t="s">
        <v>921</v>
      </c>
      <c r="B52" s="1956"/>
      <c r="C52" s="1957">
        <f ca="1">C31+C51</f>
        <v>5959827</v>
      </c>
      <c r="D52" s="1956"/>
      <c r="E52" s="1956"/>
      <c r="F52" s="1956"/>
      <c r="G52" s="1958"/>
    </row>
    <row r="55" spans="1:7" ht="15">
      <c r="B55" s="1723" t="s">
        <v>922</v>
      </c>
      <c r="C55" s="1339"/>
    </row>
    <row r="56" spans="1:7">
      <c r="B56" s="1727" t="s">
        <v>923</v>
      </c>
      <c r="C56" s="1725">
        <f ca="1">ROUND(C51/C52,3)</f>
        <v>0.72099999999999997</v>
      </c>
    </row>
    <row r="57" spans="1:7">
      <c r="B57" s="1727" t="s">
        <v>924</v>
      </c>
      <c r="C57" s="1728">
        <f ca="1">1-C56</f>
        <v>0.27900000000000003</v>
      </c>
    </row>
  </sheetData>
  <sheetProtection password="C66D" sheet="1" objects="1" scenarios="1" formatCells="0" formatColumns="0" formatRows="0"/>
  <mergeCells count="1">
    <mergeCell ref="G42:G44"/>
  </mergeCells>
  <phoneticPr fontId="205"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00" customWidth="1"/>
    <col min="2" max="2" width="25.75" style="1801" customWidth="1"/>
    <col min="3" max="3" width="10.375" style="1802" customWidth="1"/>
    <col min="4" max="4" width="9.875" style="1801" customWidth="1"/>
    <col min="5" max="5" width="9.5" style="1800" customWidth="1"/>
    <col min="6" max="6" width="10.125" style="1801" customWidth="1"/>
    <col min="7" max="7" width="9.5" style="1801" customWidth="1"/>
    <col min="8" max="8" width="10" style="1801" customWidth="1"/>
    <col min="9" max="11" width="9.5" style="1801" customWidth="1"/>
    <col min="12" max="12" width="9" style="1801" customWidth="1"/>
    <col min="13" max="13" width="10.5" style="1801" customWidth="1"/>
    <col min="14" max="254" width="9" style="1801" customWidth="1"/>
    <col min="255" max="16384" width="6.625" style="1801"/>
  </cols>
  <sheetData>
    <row r="1" spans="1:33" s="1789" customFormat="1" ht="20.25">
      <c r="A1" s="396" t="s">
        <v>925</v>
      </c>
      <c r="B1" s="1803"/>
      <c r="C1" s="1804" t="s">
        <v>926</v>
      </c>
      <c r="D1" s="1805"/>
      <c r="E1" s="1806"/>
      <c r="F1" s="1806"/>
      <c r="G1" s="1806"/>
      <c r="H1" s="1806"/>
      <c r="I1" s="1806"/>
      <c r="J1" s="1806"/>
      <c r="K1" s="1806"/>
    </row>
    <row r="2" spans="1:33" s="1789" customFormat="1" ht="18" customHeight="1">
      <c r="A2" s="400" t="s">
        <v>832</v>
      </c>
      <c r="B2" s="401">
        <f ca="1">IF(C2="元",C32,ROUND(C32/10000,0))</f>
        <v>259</v>
      </c>
      <c r="C2" s="1807" t="str">
        <f>'数据-取费表'!B3</f>
        <v>万元</v>
      </c>
      <c r="D2" s="1806"/>
      <c r="E2" s="1806"/>
      <c r="F2" s="1806"/>
      <c r="G2" s="1806"/>
      <c r="H2" s="1806"/>
      <c r="I2" s="1806"/>
      <c r="J2" s="1806"/>
      <c r="K2" s="1806"/>
    </row>
    <row r="3" spans="1:33" s="1789" customFormat="1" ht="18" customHeight="1">
      <c r="A3" s="407" t="s">
        <v>833</v>
      </c>
      <c r="B3" s="401">
        <f ca="1">ROUND(C32/IF(C1="仅计算典型户型",'数据-取费表'!E5,'数据-取费表'!B5),0)</f>
        <v>24126</v>
      </c>
      <c r="C3" s="1807" t="s">
        <v>927</v>
      </c>
      <c r="D3" s="1806"/>
      <c r="E3" s="1806"/>
      <c r="F3" s="1806"/>
      <c r="G3" s="1806"/>
      <c r="H3" s="1806"/>
      <c r="I3" s="1806"/>
      <c r="J3" s="1806"/>
      <c r="K3" s="1806"/>
    </row>
    <row r="4" spans="1:33" s="1790" customFormat="1" ht="16.5" customHeight="1">
      <c r="A4" s="1808" t="s">
        <v>928</v>
      </c>
      <c r="B4" s="1809"/>
      <c r="C4" s="1810">
        <f>SUM(C8:K8)</f>
        <v>3752700</v>
      </c>
      <c r="D4" s="1809"/>
      <c r="E4" s="1809"/>
      <c r="F4" s="1809"/>
      <c r="G4" s="1809"/>
      <c r="H4" s="1809"/>
      <c r="I4" s="1809"/>
      <c r="J4" s="1809"/>
      <c r="K4" s="1874"/>
      <c r="L4" s="1875"/>
      <c r="M4" s="1875"/>
      <c r="N4" s="1875"/>
      <c r="O4" s="1875"/>
      <c r="P4" s="1875"/>
      <c r="Q4" s="1875"/>
      <c r="R4" s="1875"/>
      <c r="S4" s="1875"/>
      <c r="T4" s="1875"/>
      <c r="U4" s="1875"/>
      <c r="V4" s="1875"/>
      <c r="W4" s="1875"/>
      <c r="X4" s="1875"/>
      <c r="Y4" s="1875"/>
      <c r="Z4" s="1875"/>
      <c r="AA4" s="1875"/>
      <c r="AB4" s="1875"/>
      <c r="AC4" s="1875"/>
      <c r="AD4" s="1875"/>
      <c r="AE4" s="1875"/>
      <c r="AF4" s="1875"/>
      <c r="AG4" s="1875"/>
    </row>
    <row r="5" spans="1:33" s="1791" customFormat="1" ht="15.75">
      <c r="A5" s="1811" t="s">
        <v>929</v>
      </c>
      <c r="B5" s="1812" t="s">
        <v>930</v>
      </c>
      <c r="C5" s="1813"/>
      <c r="D5" s="1813"/>
      <c r="E5" s="1813"/>
      <c r="F5" s="1813"/>
      <c r="G5" s="1813"/>
      <c r="H5" s="1813"/>
      <c r="I5" s="1813"/>
      <c r="J5" s="1813"/>
      <c r="K5" s="1876"/>
      <c r="L5" s="1877"/>
      <c r="M5" s="1877"/>
      <c r="N5" s="1877"/>
      <c r="O5" s="1877"/>
      <c r="P5" s="1877"/>
      <c r="Q5" s="1877"/>
      <c r="R5" s="1877"/>
      <c r="S5" s="1877"/>
      <c r="T5" s="1877"/>
      <c r="U5" s="1877"/>
      <c r="V5" s="1877"/>
      <c r="W5" s="1877"/>
      <c r="X5" s="1877"/>
      <c r="Y5" s="1877"/>
      <c r="Z5" s="1877"/>
      <c r="AA5" s="1877"/>
      <c r="AB5" s="1877"/>
      <c r="AC5" s="1877"/>
      <c r="AD5" s="1877"/>
      <c r="AE5" s="1877"/>
      <c r="AF5" s="1877"/>
      <c r="AG5" s="1877"/>
    </row>
    <row r="6" spans="1:33" s="1792" customFormat="1" ht="13.5" customHeight="1">
      <c r="A6" s="1814" t="s">
        <v>931</v>
      </c>
      <c r="B6" s="1815" t="s">
        <v>932</v>
      </c>
      <c r="C6" s="1816">
        <v>35000</v>
      </c>
      <c r="D6" s="1817"/>
      <c r="E6" s="1817"/>
      <c r="F6" s="1817"/>
      <c r="G6" s="1817"/>
      <c r="H6" s="1817"/>
      <c r="I6" s="1817"/>
      <c r="J6" s="1817"/>
      <c r="K6" s="1878"/>
      <c r="L6" s="1879"/>
      <c r="M6" s="1879"/>
      <c r="N6" s="1879"/>
      <c r="O6" s="1879"/>
      <c r="P6" s="1879"/>
      <c r="Q6" s="1879"/>
      <c r="R6" s="1879"/>
      <c r="S6" s="1879"/>
      <c r="T6" s="1879"/>
      <c r="U6" s="1879"/>
      <c r="V6" s="1879"/>
      <c r="W6" s="1879"/>
      <c r="X6" s="1879"/>
      <c r="Y6" s="1879"/>
      <c r="Z6" s="1879"/>
      <c r="AA6" s="1879"/>
      <c r="AB6" s="1879"/>
      <c r="AC6" s="1879"/>
      <c r="AD6" s="1879"/>
      <c r="AE6" s="1879"/>
      <c r="AF6" s="1879"/>
      <c r="AG6" s="1879"/>
    </row>
    <row r="7" spans="1:33" s="1792" customFormat="1" ht="13.5" customHeight="1">
      <c r="A7" s="1814" t="s">
        <v>933</v>
      </c>
      <c r="B7" s="1815" t="s">
        <v>363</v>
      </c>
      <c r="C7" s="1818">
        <f>IF(C1="仅计算典型户型",'数据-取费表'!E5,'数据-取费表'!B5)</f>
        <v>107.22</v>
      </c>
      <c r="D7" s="1818"/>
      <c r="E7" s="1818"/>
      <c r="F7" s="1818"/>
      <c r="G7" s="1818"/>
      <c r="H7" s="1818"/>
      <c r="I7" s="1818"/>
      <c r="J7" s="1818"/>
      <c r="K7" s="1880"/>
      <c r="L7" s="1879"/>
      <c r="M7" s="1879"/>
      <c r="N7" s="1879"/>
      <c r="O7" s="1879"/>
      <c r="P7" s="1879"/>
      <c r="Q7" s="1879"/>
      <c r="R7" s="1879"/>
      <c r="S7" s="1879"/>
      <c r="T7" s="1879"/>
      <c r="U7" s="1879"/>
      <c r="V7" s="1879"/>
      <c r="W7" s="1879"/>
      <c r="X7" s="1879"/>
      <c r="Y7" s="1879"/>
      <c r="Z7" s="1879"/>
      <c r="AA7" s="1879"/>
      <c r="AB7" s="1879"/>
      <c r="AC7" s="1879"/>
      <c r="AD7" s="1879"/>
      <c r="AE7" s="1879"/>
      <c r="AF7" s="1879"/>
      <c r="AG7" s="1879"/>
    </row>
    <row r="8" spans="1:33" s="1792" customFormat="1" ht="13.5" customHeight="1">
      <c r="A8" s="1819" t="s">
        <v>934</v>
      </c>
      <c r="B8" s="1815" t="s">
        <v>935</v>
      </c>
      <c r="C8" s="1820">
        <f>C6*C7</f>
        <v>3752700</v>
      </c>
      <c r="D8" s="1821"/>
      <c r="E8" s="1821"/>
      <c r="F8" s="1817"/>
      <c r="G8" s="1817"/>
      <c r="H8" s="1817"/>
      <c r="I8" s="1817"/>
      <c r="J8" s="1817"/>
      <c r="K8" s="1878"/>
      <c r="L8" s="1879"/>
      <c r="M8" s="1879"/>
      <c r="N8" s="1879"/>
      <c r="O8" s="1879"/>
      <c r="P8" s="1879"/>
      <c r="Q8" s="1879"/>
      <c r="R8" s="1879"/>
      <c r="S8" s="1879"/>
      <c r="T8" s="1879"/>
      <c r="U8" s="1879"/>
      <c r="V8" s="1879"/>
      <c r="W8" s="1879"/>
      <c r="X8" s="1879"/>
      <c r="Y8" s="1879"/>
      <c r="Z8" s="1879"/>
      <c r="AA8" s="1879"/>
      <c r="AB8" s="1879"/>
      <c r="AC8" s="1879"/>
      <c r="AD8" s="1879"/>
      <c r="AE8" s="1879"/>
      <c r="AF8" s="1879"/>
      <c r="AG8" s="1879"/>
    </row>
    <row r="9" spans="1:33" s="1790" customFormat="1" ht="16.5" customHeight="1">
      <c r="A9" s="1822" t="s">
        <v>936</v>
      </c>
      <c r="B9" s="1813"/>
      <c r="C9" s="1813"/>
      <c r="D9" s="1813"/>
      <c r="E9" s="1813"/>
      <c r="F9" s="1813"/>
      <c r="G9" s="1813"/>
      <c r="H9" s="1813"/>
      <c r="I9" s="1813"/>
      <c r="J9" s="1813"/>
      <c r="K9" s="1876"/>
      <c r="L9" s="1875"/>
      <c r="M9" s="1875"/>
      <c r="N9" s="1875"/>
      <c r="O9" s="1875"/>
      <c r="P9" s="1875"/>
      <c r="Q9" s="1875"/>
      <c r="R9" s="1875"/>
      <c r="S9" s="1875"/>
      <c r="T9" s="1875"/>
      <c r="U9" s="1875"/>
      <c r="V9" s="1875"/>
      <c r="W9" s="1875"/>
      <c r="X9" s="1875"/>
      <c r="Y9" s="1875"/>
      <c r="Z9" s="1875"/>
      <c r="AA9" s="1875"/>
      <c r="AB9" s="1875"/>
      <c r="AC9" s="1875"/>
      <c r="AD9" s="1875"/>
      <c r="AE9" s="1875"/>
      <c r="AF9" s="1875"/>
      <c r="AG9" s="1875"/>
    </row>
    <row r="10" spans="1:33" s="1793" customFormat="1" ht="13.5" customHeight="1">
      <c r="A10" s="1811" t="s">
        <v>929</v>
      </c>
      <c r="B10" s="1823" t="s">
        <v>930</v>
      </c>
      <c r="C10" s="1824" t="s">
        <v>937</v>
      </c>
      <c r="D10" s="1825" t="s">
        <v>938</v>
      </c>
      <c r="E10" s="1825" t="s">
        <v>939</v>
      </c>
      <c r="F10" s="1825" t="s">
        <v>940</v>
      </c>
      <c r="G10" s="1823"/>
      <c r="H10" s="1826"/>
      <c r="I10" s="1826"/>
      <c r="J10" s="1826"/>
      <c r="K10" s="1881"/>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row>
    <row r="11" spans="1:33" s="1794" customFormat="1" ht="13.5" customHeight="1">
      <c r="A11" s="1827" t="s">
        <v>941</v>
      </c>
      <c r="B11" s="1828" t="s">
        <v>942</v>
      </c>
      <c r="C11" s="1829">
        <f>IF(C1="仅计算典型户型",'数据-取费表'!F18,'数据-取费表'!E18)</f>
        <v>375270</v>
      </c>
      <c r="D11" s="1830"/>
      <c r="E11" s="1360"/>
      <c r="F11" s="1831">
        <f>1-'数据-取费表'!E20</f>
        <v>0.16</v>
      </c>
      <c r="G11" s="1823"/>
      <c r="H11" s="1826"/>
      <c r="I11" s="1826"/>
      <c r="J11" s="1826"/>
      <c r="K11" s="1881"/>
      <c r="L11" s="1882"/>
      <c r="M11" s="1882"/>
      <c r="N11" s="1882"/>
      <c r="O11" s="1882"/>
      <c r="P11" s="1882"/>
      <c r="Q11" s="1882"/>
      <c r="R11" s="1882"/>
      <c r="S11" s="1882"/>
      <c r="T11" s="1882"/>
      <c r="U11" s="1882"/>
      <c r="V11" s="1882"/>
      <c r="W11" s="1882"/>
      <c r="X11" s="1882"/>
      <c r="Y11" s="1882"/>
      <c r="Z11" s="1882"/>
      <c r="AA11" s="1882"/>
      <c r="AB11" s="1882"/>
      <c r="AC11" s="1882"/>
      <c r="AD11" s="1882"/>
      <c r="AE11" s="1882"/>
      <c r="AF11" s="1882"/>
      <c r="AG11" s="1882"/>
    </row>
    <row r="12" spans="1:33" s="1794" customFormat="1" ht="13.5" customHeight="1">
      <c r="A12" s="1827" t="s">
        <v>943</v>
      </c>
      <c r="B12" s="1828" t="s">
        <v>944</v>
      </c>
      <c r="C12" s="1405">
        <f>ROUND(C11*F12,0)</f>
        <v>11258</v>
      </c>
      <c r="D12" s="1830"/>
      <c r="E12" s="1360"/>
      <c r="F12" s="1832">
        <f>'数据-取费表'!E21</f>
        <v>0.03</v>
      </c>
      <c r="G12" s="1823" t="s">
        <v>945</v>
      </c>
      <c r="H12" s="1826"/>
      <c r="I12" s="1826"/>
      <c r="J12" s="1826"/>
      <c r="K12" s="1881"/>
      <c r="L12" s="1882"/>
      <c r="M12" s="1882"/>
      <c r="N12" s="1882"/>
      <c r="O12" s="1882"/>
      <c r="P12" s="1882"/>
      <c r="Q12" s="1882"/>
      <c r="R12" s="1882"/>
      <c r="S12" s="1882"/>
      <c r="T12" s="1882"/>
      <c r="U12" s="1882"/>
      <c r="V12" s="1882"/>
      <c r="W12" s="1882"/>
      <c r="X12" s="1882"/>
      <c r="Y12" s="1882"/>
      <c r="Z12" s="1882"/>
      <c r="AA12" s="1882"/>
      <c r="AB12" s="1882"/>
      <c r="AC12" s="1882"/>
      <c r="AD12" s="1882"/>
      <c r="AE12" s="1882"/>
      <c r="AF12" s="1882"/>
      <c r="AG12" s="1882"/>
    </row>
    <row r="13" spans="1:33" s="1794" customFormat="1" ht="13.5" customHeight="1">
      <c r="A13" s="1827" t="s">
        <v>946</v>
      </c>
      <c r="B13" s="1828" t="s">
        <v>947</v>
      </c>
      <c r="C13" s="1405">
        <f>ROUND(IF('数据-取费表'!B10="住宅",C11*F13,0),0)</f>
        <v>0</v>
      </c>
      <c r="D13" s="1830"/>
      <c r="E13" s="1360"/>
      <c r="F13" s="1832">
        <f>'数据-取费表'!E22</f>
        <v>0</v>
      </c>
      <c r="G13" s="1823" t="s">
        <v>948</v>
      </c>
      <c r="H13" s="1826"/>
      <c r="I13" s="1826"/>
      <c r="J13" s="1826"/>
      <c r="K13" s="1881"/>
      <c r="L13" s="1882"/>
      <c r="M13" s="1882"/>
      <c r="N13" s="1882"/>
      <c r="O13" s="1882"/>
      <c r="P13" s="1882"/>
      <c r="Q13" s="1882"/>
      <c r="R13" s="1882"/>
      <c r="S13" s="1882"/>
      <c r="T13" s="1882"/>
      <c r="U13" s="1882"/>
      <c r="V13" s="1882"/>
      <c r="W13" s="1882"/>
      <c r="X13" s="1882"/>
      <c r="Y13" s="1882"/>
      <c r="Z13" s="1882"/>
      <c r="AA13" s="1882"/>
      <c r="AB13" s="1882"/>
      <c r="AC13" s="1882"/>
      <c r="AD13" s="1882"/>
      <c r="AE13" s="1882"/>
      <c r="AF13" s="1882"/>
      <c r="AG13" s="1882"/>
    </row>
    <row r="14" spans="1:33" s="1795" customFormat="1" ht="13.5" customHeight="1">
      <c r="A14" s="1827" t="s">
        <v>949</v>
      </c>
      <c r="B14" s="1828" t="s">
        <v>950</v>
      </c>
      <c r="C14" s="1405">
        <f>ROUND(D14*E14*F11,0)</f>
        <v>3431</v>
      </c>
      <c r="D14" s="1830">
        <f>IF(C1="仅计算典型户型",'数据-取费表'!E5,'数据-取费表'!B5)</f>
        <v>107.22</v>
      </c>
      <c r="E14" s="1405">
        <f>'数据-取费表'!E23</f>
        <v>200</v>
      </c>
      <c r="F14" s="1832"/>
      <c r="G14" s="1823" t="s">
        <v>951</v>
      </c>
      <c r="H14" s="1826"/>
      <c r="I14" s="1826"/>
      <c r="J14" s="1826"/>
      <c r="K14" s="1881"/>
      <c r="L14" s="1882"/>
      <c r="M14" s="1882"/>
      <c r="N14" s="1882"/>
      <c r="O14" s="1882"/>
      <c r="P14" s="1882"/>
      <c r="Q14" s="1882"/>
      <c r="R14" s="1882"/>
      <c r="S14" s="1882"/>
      <c r="T14" s="1882"/>
      <c r="U14" s="1882"/>
      <c r="V14" s="1882"/>
      <c r="W14" s="1882"/>
      <c r="X14" s="1882"/>
      <c r="Y14" s="1882"/>
      <c r="Z14" s="1882"/>
      <c r="AA14" s="1882"/>
      <c r="AB14" s="1882"/>
      <c r="AC14" s="1882"/>
      <c r="AD14" s="1882"/>
      <c r="AE14" s="1882"/>
      <c r="AF14" s="1882"/>
      <c r="AG14" s="1882"/>
    </row>
    <row r="15" spans="1:33" s="1795" customFormat="1" ht="13.5" customHeight="1">
      <c r="A15" s="1827" t="s">
        <v>952</v>
      </c>
      <c r="B15" s="1828" t="s">
        <v>953</v>
      </c>
      <c r="C15" s="1833">
        <f>ROUND(C11*F15,0)</f>
        <v>5629</v>
      </c>
      <c r="D15" s="1834"/>
      <c r="E15" s="1833"/>
      <c r="F15" s="1835">
        <f>'数据-取费表'!E24</f>
        <v>1.4999999999999999E-2</v>
      </c>
      <c r="G15" s="1815" t="s">
        <v>954</v>
      </c>
      <c r="H15" s="1836"/>
      <c r="I15" s="1836"/>
      <c r="J15" s="1836"/>
      <c r="K15" s="1883"/>
      <c r="L15" s="1882"/>
      <c r="M15" s="1882"/>
      <c r="N15" s="1882"/>
      <c r="O15" s="1882"/>
      <c r="P15" s="1882"/>
      <c r="Q15" s="1882"/>
      <c r="R15" s="1882"/>
      <c r="S15" s="1882"/>
      <c r="T15" s="1882"/>
      <c r="U15" s="1882"/>
      <c r="V15" s="1882"/>
      <c r="W15" s="1882"/>
      <c r="X15" s="1882"/>
      <c r="Y15" s="1882"/>
      <c r="Z15" s="1882"/>
      <c r="AA15" s="1882"/>
      <c r="AB15" s="1882"/>
      <c r="AC15" s="1882"/>
      <c r="AD15" s="1882"/>
      <c r="AE15" s="1882"/>
      <c r="AF15" s="1882"/>
      <c r="AG15" s="1882"/>
    </row>
    <row r="16" spans="1:33" s="1795" customFormat="1" ht="13.5" customHeight="1">
      <c r="A16" s="1827" t="s">
        <v>955</v>
      </c>
      <c r="B16" s="1828" t="s">
        <v>956</v>
      </c>
      <c r="C16" s="1829">
        <f>SUM(C11:C15)</f>
        <v>395588</v>
      </c>
      <c r="D16" s="1830"/>
      <c r="E16" s="1405"/>
      <c r="F16" s="1832"/>
      <c r="G16" s="1823"/>
      <c r="H16" s="1826"/>
      <c r="I16" s="1826"/>
      <c r="J16" s="1826"/>
      <c r="K16" s="1881"/>
      <c r="L16" s="1882"/>
      <c r="M16" s="1882"/>
      <c r="N16" s="1882"/>
      <c r="O16" s="1882"/>
      <c r="P16" s="1882"/>
      <c r="Q16" s="1882"/>
      <c r="R16" s="1882"/>
      <c r="S16" s="1882"/>
      <c r="T16" s="1882"/>
      <c r="U16" s="1882"/>
      <c r="V16" s="1882"/>
      <c r="W16" s="1882"/>
      <c r="X16" s="1882"/>
      <c r="Y16" s="1882"/>
      <c r="Z16" s="1882"/>
      <c r="AA16" s="1882"/>
      <c r="AB16" s="1882"/>
      <c r="AC16" s="1882"/>
      <c r="AD16" s="1882"/>
      <c r="AE16" s="1882"/>
      <c r="AF16" s="1882"/>
      <c r="AG16" s="1882"/>
    </row>
    <row r="17" spans="1:33" s="1795" customFormat="1" ht="13.5" customHeight="1">
      <c r="A17" s="1827" t="s">
        <v>957</v>
      </c>
      <c r="B17" s="1828" t="s">
        <v>958</v>
      </c>
      <c r="C17" s="1405">
        <f>ROUND(D17*E17,0)</f>
        <v>0</v>
      </c>
      <c r="D17" s="1830">
        <f>IF(C1="仅计算典型户型",'数据-取费表'!E5,'数据-取费表'!B5)</f>
        <v>107.22</v>
      </c>
      <c r="E17" s="1405">
        <f>'数据-取费表'!E16</f>
        <v>0</v>
      </c>
      <c r="F17" s="1834"/>
      <c r="G17" s="1815" t="s">
        <v>959</v>
      </c>
      <c r="H17" s="1836"/>
      <c r="I17" s="1836"/>
      <c r="J17" s="1836"/>
      <c r="K17" s="1883"/>
      <c r="L17" s="1882"/>
      <c r="M17" s="1882"/>
      <c r="N17" s="1882"/>
      <c r="O17" s="1882"/>
      <c r="P17" s="1882"/>
      <c r="Q17" s="1882"/>
      <c r="R17" s="1882"/>
      <c r="S17" s="1882"/>
      <c r="T17" s="1882"/>
      <c r="U17" s="1882"/>
      <c r="V17" s="1882"/>
      <c r="W17" s="1882"/>
      <c r="X17" s="1882"/>
      <c r="Y17" s="1882"/>
      <c r="Z17" s="1882"/>
      <c r="AA17" s="1882"/>
      <c r="AB17" s="1882"/>
      <c r="AC17" s="1882"/>
      <c r="AD17" s="1882"/>
      <c r="AE17" s="1882"/>
      <c r="AF17" s="1882"/>
      <c r="AG17" s="1882"/>
    </row>
    <row r="18" spans="1:33" s="1794" customFormat="1" ht="13.5" customHeight="1">
      <c r="A18" s="1827" t="s">
        <v>960</v>
      </c>
      <c r="B18" s="1828" t="s">
        <v>961</v>
      </c>
      <c r="C18" s="1405">
        <f>C19+C20-'数据-取费表'!E13</f>
        <v>21444</v>
      </c>
      <c r="D18" s="1830"/>
      <c r="E18" s="1405"/>
      <c r="F18" s="1832"/>
      <c r="G18" s="1815" t="s">
        <v>962</v>
      </c>
      <c r="H18" s="1836"/>
      <c r="I18" s="1836"/>
      <c r="J18" s="1836"/>
      <c r="K18" s="1883"/>
      <c r="L18" s="1882"/>
      <c r="M18" s="1882"/>
      <c r="N18" s="1882"/>
      <c r="O18" s="1882"/>
      <c r="P18" s="1882"/>
      <c r="Q18" s="1882"/>
      <c r="R18" s="1882"/>
      <c r="S18" s="1882"/>
      <c r="T18" s="1882"/>
      <c r="U18" s="1882"/>
      <c r="V18" s="1882"/>
      <c r="W18" s="1882"/>
      <c r="X18" s="1882"/>
      <c r="Y18" s="1882"/>
      <c r="Z18" s="1882"/>
      <c r="AA18" s="1882"/>
      <c r="AB18" s="1882"/>
      <c r="AC18" s="1882"/>
      <c r="AD18" s="1882"/>
      <c r="AE18" s="1882"/>
      <c r="AF18" s="1882"/>
      <c r="AG18" s="1882"/>
    </row>
    <row r="19" spans="1:33" s="1794" customFormat="1" ht="13.5" customHeight="1">
      <c r="A19" s="1827" t="s">
        <v>941</v>
      </c>
      <c r="B19" s="1828" t="s">
        <v>963</v>
      </c>
      <c r="C19" s="1405">
        <f>ROUND(D19*E19,0)</f>
        <v>0</v>
      </c>
      <c r="D19" s="1830">
        <f>IF('数据-取费表'!B10="住宅",IF(C1="仅计算典型户型",'数据-取费表'!E5,'数据-取费表'!B5),0)</f>
        <v>0</v>
      </c>
      <c r="E19" s="1405">
        <f>'数据-取费表'!E11</f>
        <v>0</v>
      </c>
      <c r="F19" s="1832"/>
      <c r="G19" s="1837"/>
      <c r="H19" s="1838"/>
      <c r="I19" s="1838"/>
      <c r="J19" s="1838"/>
      <c r="K19" s="1884"/>
      <c r="L19" s="1882"/>
      <c r="M19" s="1882"/>
      <c r="N19" s="1882"/>
      <c r="O19" s="1882"/>
      <c r="P19" s="1882"/>
      <c r="Q19" s="1882"/>
      <c r="R19" s="1882"/>
      <c r="S19" s="1882"/>
      <c r="T19" s="1882"/>
      <c r="U19" s="1882"/>
      <c r="V19" s="1882"/>
      <c r="W19" s="1882"/>
      <c r="X19" s="1882"/>
      <c r="Y19" s="1882"/>
      <c r="Z19" s="1882"/>
      <c r="AA19" s="1882"/>
      <c r="AB19" s="1882"/>
      <c r="AC19" s="1882"/>
      <c r="AD19" s="1882"/>
      <c r="AE19" s="1882"/>
      <c r="AF19" s="1882"/>
      <c r="AG19" s="1882"/>
    </row>
    <row r="20" spans="1:33" s="1794" customFormat="1" ht="13.5" customHeight="1">
      <c r="A20" s="1827" t="s">
        <v>943</v>
      </c>
      <c r="B20" s="1828" t="s">
        <v>964</v>
      </c>
      <c r="C20" s="1405">
        <f>ROUND(D20*E20,0)</f>
        <v>21444</v>
      </c>
      <c r="D20" s="1830">
        <f>IF('数据-取费表'!B10&lt;&gt;"住宅",IF(C1="仅计算典型户型",'数据-取费表'!E5,'数据-取费表'!B5),0)</f>
        <v>107.22</v>
      </c>
      <c r="E20" s="1405">
        <f>'数据-取费表'!E12</f>
        <v>200</v>
      </c>
      <c r="F20" s="1832"/>
      <c r="G20" s="1837"/>
      <c r="H20" s="1838"/>
      <c r="I20" s="1838"/>
      <c r="J20" s="1838"/>
      <c r="K20" s="1884"/>
      <c r="L20" s="1882"/>
      <c r="M20" s="1882"/>
      <c r="N20" s="1882"/>
      <c r="O20" s="1882"/>
      <c r="P20" s="1882"/>
      <c r="Q20" s="1882"/>
      <c r="R20" s="1882"/>
      <c r="S20" s="1882"/>
      <c r="T20" s="1882"/>
      <c r="U20" s="1882"/>
      <c r="V20" s="1882"/>
      <c r="W20" s="1882"/>
      <c r="X20" s="1882"/>
      <c r="Y20" s="1882"/>
      <c r="Z20" s="1882"/>
      <c r="AA20" s="1882"/>
      <c r="AB20" s="1882"/>
      <c r="AC20" s="1882"/>
      <c r="AD20" s="1882"/>
      <c r="AE20" s="1882"/>
      <c r="AF20" s="1882"/>
      <c r="AG20" s="1882"/>
    </row>
    <row r="21" spans="1:33" s="1794" customFormat="1" ht="13.5" customHeight="1">
      <c r="A21" s="1814" t="s">
        <v>931</v>
      </c>
      <c r="B21" s="1839" t="s">
        <v>965</v>
      </c>
      <c r="C21" s="1840">
        <f>C16+C17+C18</f>
        <v>417032</v>
      </c>
      <c r="D21" s="1841"/>
      <c r="E21" s="1842"/>
      <c r="F21" s="1842"/>
      <c r="G21" s="1815" t="s">
        <v>966</v>
      </c>
      <c r="H21" s="1836"/>
      <c r="I21" s="1836"/>
      <c r="J21" s="1836"/>
      <c r="K21" s="1883"/>
      <c r="L21" s="1882"/>
      <c r="M21" s="1882"/>
      <c r="N21" s="1882"/>
      <c r="O21" s="1882"/>
      <c r="P21" s="1882"/>
      <c r="Q21" s="1882"/>
      <c r="R21" s="1882"/>
      <c r="S21" s="1882"/>
      <c r="T21" s="1882"/>
      <c r="U21" s="1882"/>
      <c r="V21" s="1882"/>
      <c r="W21" s="1882"/>
      <c r="X21" s="1882"/>
      <c r="Y21" s="1882"/>
      <c r="Z21" s="1882"/>
      <c r="AA21" s="1882"/>
      <c r="AB21" s="1882"/>
      <c r="AC21" s="1882"/>
      <c r="AD21" s="1882"/>
      <c r="AE21" s="1882"/>
      <c r="AF21" s="1882"/>
      <c r="AG21" s="1882"/>
    </row>
    <row r="22" spans="1:33" s="1794" customFormat="1" ht="13.5" customHeight="1">
      <c r="A22" s="1814" t="s">
        <v>933</v>
      </c>
      <c r="B22" s="1839" t="s">
        <v>967</v>
      </c>
      <c r="C22" s="1840">
        <f>ROUND(C21*F22,0)</f>
        <v>4170</v>
      </c>
      <c r="D22" s="1842"/>
      <c r="E22" s="1842"/>
      <c r="F22" s="1843">
        <f>'数据-取费表'!E25</f>
        <v>0.01</v>
      </c>
      <c r="G22" s="1823" t="s">
        <v>968</v>
      </c>
      <c r="H22" s="1826"/>
      <c r="I22" s="1826"/>
      <c r="J22" s="1826"/>
      <c r="K22" s="1881"/>
      <c r="L22" s="1796"/>
      <c r="M22" s="1796"/>
      <c r="N22" s="1796"/>
    </row>
    <row r="23" spans="1:33" s="1794" customFormat="1" ht="13.5" customHeight="1">
      <c r="A23" s="1814" t="s">
        <v>934</v>
      </c>
      <c r="B23" s="1839" t="s">
        <v>969</v>
      </c>
      <c r="C23" s="1840">
        <f>ROUND(C4*F23*F11,0)</f>
        <v>6004</v>
      </c>
      <c r="D23" s="1842"/>
      <c r="E23" s="1842"/>
      <c r="F23" s="1843">
        <f>'数据-取费表'!E26</f>
        <v>0.01</v>
      </c>
      <c r="G23" s="1823" t="s">
        <v>970</v>
      </c>
      <c r="H23" s="1826"/>
      <c r="I23" s="1826"/>
      <c r="J23" s="1826"/>
      <c r="K23" s="1881"/>
    </row>
    <row r="24" spans="1:33" s="1794" customFormat="1" ht="13.5" customHeight="1">
      <c r="A24" s="1814" t="s">
        <v>971</v>
      </c>
      <c r="B24" s="1839" t="s">
        <v>972</v>
      </c>
      <c r="C24" s="1844">
        <f>ROUND(F24/(1+'数据-取费表'!F30),4)</f>
        <v>2.9000000000000001E-2</v>
      </c>
      <c r="D24" s="1845" t="s">
        <v>973</v>
      </c>
      <c r="E24" s="1845"/>
      <c r="F24" s="1843">
        <f>'数据-取费表'!E36+'数据-取费表'!E37</f>
        <v>3.0499999999999999E-2</v>
      </c>
      <c r="G24" s="1823" t="s">
        <v>974</v>
      </c>
      <c r="H24" s="1846"/>
      <c r="I24" s="1846"/>
      <c r="J24" s="1846"/>
      <c r="K24" s="1885"/>
    </row>
    <row r="25" spans="1:33" s="1796" customFormat="1" ht="13.5" customHeight="1">
      <c r="A25" s="1814" t="s">
        <v>975</v>
      </c>
      <c r="B25" s="1841" t="s">
        <v>976</v>
      </c>
      <c r="C25" s="1847">
        <f ca="1">C27</f>
        <v>0</v>
      </c>
      <c r="D25" s="1844">
        <f ca="1">C26</f>
        <v>0</v>
      </c>
      <c r="E25" s="1848" t="s">
        <v>973</v>
      </c>
      <c r="F25" s="1849">
        <f ca="1">'数据-取费表'!E27</f>
        <v>4.7500000000000001E-2</v>
      </c>
      <c r="G25" s="1815" t="s">
        <v>977</v>
      </c>
      <c r="H25" s="1846"/>
      <c r="I25" s="1846"/>
      <c r="J25" s="1846"/>
      <c r="K25" s="1885"/>
    </row>
    <row r="26" spans="1:33" s="1797" customFormat="1" ht="13.5" customHeight="1">
      <c r="A26" s="1827" t="s">
        <v>955</v>
      </c>
      <c r="B26" s="1850" t="s">
        <v>978</v>
      </c>
      <c r="C26" s="1851">
        <f ca="1">ROUND(IF('数据-取费表'!B23&lt;=1,(1+C24)*F25*'数据-取费表'!B25,(1+C24)*(POWER((1+F25),'数据-取费表'!B25)-1)),4)</f>
        <v>0</v>
      </c>
      <c r="D26" s="1852"/>
      <c r="E26" s="1853"/>
      <c r="F26" s="1854"/>
      <c r="G26" s="1815"/>
      <c r="H26" s="1836"/>
      <c r="I26" s="1836"/>
      <c r="J26" s="1836"/>
      <c r="K26" s="1883"/>
    </row>
    <row r="27" spans="1:33" s="1797" customFormat="1" ht="13.5" customHeight="1">
      <c r="A27" s="1827" t="s">
        <v>957</v>
      </c>
      <c r="B27" s="1850" t="s">
        <v>979</v>
      </c>
      <c r="C27" s="1855">
        <f ca="1">ROUND(IF('数据-取费表'!B23&lt;=1,(C21+C22+C23)*F25*'数据-取费表'!B25/2,(C21+C22+C23)*(POWER((1+F25),'数据-取费表'!B25/2)-1)),0)</f>
        <v>0</v>
      </c>
      <c r="D27" s="1852"/>
      <c r="E27" s="1853"/>
      <c r="F27" s="1854"/>
      <c r="G27" s="1815" t="s">
        <v>980</v>
      </c>
      <c r="H27" s="1836"/>
      <c r="I27" s="1836"/>
      <c r="J27" s="1836"/>
      <c r="K27" s="1883"/>
    </row>
    <row r="28" spans="1:33" s="1798" customFormat="1" ht="13.5" customHeight="1">
      <c r="A28" s="1814" t="s">
        <v>981</v>
      </c>
      <c r="B28" s="1856" t="s">
        <v>982</v>
      </c>
      <c r="C28" s="1857">
        <f>C30</f>
        <v>64081</v>
      </c>
      <c r="D28" s="1844">
        <f>C29</f>
        <v>0.15440000000000001</v>
      </c>
      <c r="E28" s="1848" t="s">
        <v>973</v>
      </c>
      <c r="F28" s="922">
        <f>'数据-取费表'!E28</f>
        <v>0.15</v>
      </c>
      <c r="G28" s="1858"/>
      <c r="H28" s="1846"/>
      <c r="I28" s="1846"/>
      <c r="J28" s="1846"/>
      <c r="K28" s="1885"/>
    </row>
    <row r="29" spans="1:33" s="1799" customFormat="1" ht="13.5" customHeight="1">
      <c r="A29" s="1827" t="s">
        <v>955</v>
      </c>
      <c r="B29" s="1859" t="s">
        <v>983</v>
      </c>
      <c r="C29" s="1852">
        <f>ROUND((1+C24)*F28,4)</f>
        <v>0.15440000000000001</v>
      </c>
      <c r="D29" s="1852"/>
      <c r="E29" s="1853"/>
      <c r="F29" s="1860"/>
      <c r="G29" s="1815" t="s">
        <v>984</v>
      </c>
      <c r="H29" s="1836"/>
      <c r="I29" s="1836"/>
      <c r="J29" s="1836"/>
      <c r="K29" s="1883"/>
    </row>
    <row r="30" spans="1:33" s="1799" customFormat="1" ht="13.5" customHeight="1">
      <c r="A30" s="1827" t="s">
        <v>957</v>
      </c>
      <c r="B30" s="1859" t="s">
        <v>985</v>
      </c>
      <c r="C30" s="1861">
        <f>ROUND((C21+C22+C23)*F28,0)</f>
        <v>64081</v>
      </c>
      <c r="D30" s="1852"/>
      <c r="E30" s="1862"/>
      <c r="F30" s="1860"/>
      <c r="G30" s="1815"/>
      <c r="H30" s="1836"/>
      <c r="I30" s="1836"/>
      <c r="J30" s="1836"/>
      <c r="K30" s="1883"/>
    </row>
    <row r="31" spans="1:33" s="1796" customFormat="1" ht="13.5" customHeight="1">
      <c r="A31" s="1863" t="s">
        <v>986</v>
      </c>
      <c r="B31" s="1839" t="s">
        <v>987</v>
      </c>
      <c r="C31" s="1864">
        <f>ROUND(C4*F31/(1+'数据-取费表'!F30),0)</f>
        <v>200144</v>
      </c>
      <c r="D31" s="1865"/>
      <c r="E31" s="1866"/>
      <c r="F31" s="1867">
        <f>'数据-取费表'!E29</f>
        <v>5.6000000000000001E-2</v>
      </c>
      <c r="G31" s="1868" t="s">
        <v>988</v>
      </c>
      <c r="H31" s="1869"/>
      <c r="I31" s="1869"/>
      <c r="J31" s="1869"/>
      <c r="K31" s="1886"/>
    </row>
    <row r="32" spans="1:33" s="1793" customFormat="1" ht="13.5" customHeight="1">
      <c r="A32" s="1870" t="s">
        <v>989</v>
      </c>
      <c r="B32" s="1871"/>
      <c r="C32" s="1872">
        <f ca="1">ROUND((C4-C21-C22-C23-C25-C28-C31)/(1+C24+D25+D28),0)</f>
        <v>2586842</v>
      </c>
      <c r="D32" s="1871"/>
      <c r="E32" s="1871"/>
      <c r="F32" s="1871"/>
      <c r="G32" s="1873" t="s">
        <v>990</v>
      </c>
      <c r="H32" s="1871"/>
      <c r="I32" s="1871"/>
      <c r="J32" s="1871"/>
      <c r="K32" s="1887"/>
    </row>
    <row r="34" ht="12.75" customHeight="1"/>
  </sheetData>
  <sheetProtection password="C66D" sheet="1" objects="1" scenarios="1" formatCells="0" formatColumns="0" formatRows="0"/>
  <phoneticPr fontId="20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5"/>
  <sheetViews>
    <sheetView topLeftCell="A22" zoomScale="90" zoomScaleNormal="90" workbookViewId="0">
      <selection activeCell="C32" sqref="C32"/>
    </sheetView>
  </sheetViews>
  <sheetFormatPr defaultColWidth="9" defaultRowHeight="15"/>
  <cols>
    <col min="1" max="1" width="9" style="1538" customWidth="1"/>
    <col min="2" max="2" width="20.625" style="1273" customWidth="1"/>
    <col min="3" max="3" width="11.875" style="1273" customWidth="1"/>
    <col min="4" max="4" width="40.5" style="1538" customWidth="1"/>
    <col min="5" max="5" width="15.75" style="1538" customWidth="1"/>
    <col min="6" max="6" width="10.625" style="1538" customWidth="1"/>
    <col min="7" max="7" width="4.875" style="1538" customWidth="1"/>
    <col min="8" max="8" width="8.5" style="1538" customWidth="1"/>
    <col min="9" max="9" width="21.25" style="1538" customWidth="1"/>
    <col min="10" max="10" width="12.25" style="1538" customWidth="1"/>
    <col min="11" max="11" width="40.125" style="1539" customWidth="1"/>
    <col min="12" max="12" width="18.375" style="1538" customWidth="1"/>
    <col min="13" max="13" width="13" style="1538" customWidth="1"/>
    <col min="14" max="14" width="13.125" style="1537" customWidth="1"/>
    <col min="15" max="15" width="5.25" style="1537" customWidth="1"/>
    <col min="16" max="16" width="24.875" style="1537" customWidth="1"/>
    <col min="17" max="17" width="13.75" style="1540" customWidth="1"/>
    <col min="18" max="18" width="26.125" style="1537" customWidth="1"/>
    <col min="19" max="19" width="1.5" style="1537" customWidth="1"/>
    <col min="20" max="37" width="9" style="1537"/>
    <col min="38" max="16384" width="9" style="1538"/>
  </cols>
  <sheetData>
    <row r="1" spans="1:37" s="1535" customFormat="1" ht="21">
      <c r="A1" s="1541" t="s">
        <v>991</v>
      </c>
      <c r="B1" s="1542"/>
      <c r="C1" s="1543"/>
      <c r="D1" s="1544" t="s">
        <v>992</v>
      </c>
      <c r="E1" s="1545" t="s">
        <v>121</v>
      </c>
      <c r="F1" s="1546"/>
      <c r="G1" s="1547" t="e">
        <f>MATCH(C1,'数据-取费表'!A18:A18,0)+5</f>
        <v>#N/A</v>
      </c>
      <c r="H1" s="1548"/>
      <c r="I1" s="1685"/>
      <c r="J1" s="1685"/>
      <c r="K1" s="1686"/>
      <c r="L1" s="1685"/>
      <c r="M1" s="1685"/>
      <c r="N1" s="1687"/>
      <c r="O1" s="1687"/>
      <c r="P1" s="1687"/>
      <c r="Q1" s="1776"/>
      <c r="R1" s="1687"/>
      <c r="S1" s="1687"/>
      <c r="T1" s="1687"/>
      <c r="U1" s="1687"/>
      <c r="V1" s="1687"/>
      <c r="W1" s="1687"/>
      <c r="X1" s="1687"/>
      <c r="Y1" s="1687"/>
      <c r="Z1" s="1687"/>
      <c r="AA1" s="1687"/>
      <c r="AB1" s="1687"/>
      <c r="AC1" s="1687"/>
      <c r="AD1" s="1687"/>
      <c r="AE1" s="1687"/>
      <c r="AF1" s="1687"/>
      <c r="AG1" s="1687"/>
      <c r="AH1" s="1687"/>
      <c r="AI1" s="1687"/>
      <c r="AJ1" s="1687"/>
      <c r="AK1" s="1687"/>
    </row>
    <row r="2" spans="1:37" ht="18" customHeight="1">
      <c r="A2" s="400" t="s">
        <v>832</v>
      </c>
      <c r="B2" s="1549">
        <f ca="1">IF(C2="元",IF('数据-取费表'!B28="租赁期内按合同租金",C40+L47+J29,C40+L47),ROUND(IF('数据-取费表'!B28="租赁期内按合同租金",(C40+L47+J29)/10000,(C40+L47)/10000),0))</f>
        <v>443</v>
      </c>
      <c r="C2" s="1550" t="str">
        <f>'数据-取费表'!B3</f>
        <v>万元</v>
      </c>
      <c r="D2" s="1159"/>
      <c r="E2" s="1551"/>
      <c r="F2" s="1551"/>
      <c r="G2" s="1552"/>
      <c r="H2" s="1553"/>
      <c r="I2" s="1688"/>
      <c r="J2" s="1688"/>
      <c r="K2" s="1689"/>
      <c r="L2" s="1688"/>
      <c r="M2" s="1688"/>
    </row>
    <row r="3" spans="1:37" ht="18" customHeight="1">
      <c r="A3" s="1554" t="s">
        <v>833</v>
      </c>
      <c r="B3" s="1555">
        <f ca="1">ROUND(IF('数据-取费表'!B28="租赁期内按合同租金",(C40+L47+J29)/F43,(C40+L47)/F43),0)</f>
        <v>41355</v>
      </c>
      <c r="C3" s="1550" t="s">
        <v>993</v>
      </c>
      <c r="D3" s="1159"/>
      <c r="E3" s="1551"/>
      <c r="F3" s="1551"/>
      <c r="G3" s="1552"/>
      <c r="H3" s="1556" t="s">
        <v>994</v>
      </c>
      <c r="I3" s="1688"/>
      <c r="J3" s="1688"/>
      <c r="K3" s="1689"/>
      <c r="L3" s="1688"/>
      <c r="M3" s="1688"/>
    </row>
    <row r="4" spans="1:37" ht="18" customHeight="1">
      <c r="A4" s="1557" t="s">
        <v>995</v>
      </c>
      <c r="B4" s="1558" t="s">
        <v>996</v>
      </c>
      <c r="C4" s="1558" t="s">
        <v>997</v>
      </c>
      <c r="D4" s="1558" t="s">
        <v>998</v>
      </c>
      <c r="E4" s="1559" t="s">
        <v>999</v>
      </c>
      <c r="F4" s="1560"/>
      <c r="G4" s="1561"/>
      <c r="H4" s="1557" t="s">
        <v>995</v>
      </c>
      <c r="I4" s="1558" t="s">
        <v>996</v>
      </c>
      <c r="J4" s="1558" t="s">
        <v>997</v>
      </c>
      <c r="K4" s="1558" t="s">
        <v>998</v>
      </c>
      <c r="L4" s="1559" t="s">
        <v>999</v>
      </c>
      <c r="M4" s="1560"/>
    </row>
    <row r="5" spans="1:37" ht="18" customHeight="1">
      <c r="A5" s="1562">
        <v>1</v>
      </c>
      <c r="B5" s="1563" t="s">
        <v>1000</v>
      </c>
      <c r="C5" s="1564">
        <f ca="1">C6+C10+C12</f>
        <v>297800</v>
      </c>
      <c r="D5" s="1565" t="s">
        <v>1001</v>
      </c>
      <c r="E5" s="1159"/>
      <c r="F5" s="1566"/>
      <c r="G5" s="1561"/>
      <c r="H5" s="1562">
        <v>1</v>
      </c>
      <c r="I5" s="1563" t="s">
        <v>1000</v>
      </c>
      <c r="J5" s="1564">
        <f ca="1">J6+J10+J12</f>
        <v>0</v>
      </c>
      <c r="K5" s="1565" t="s">
        <v>1001</v>
      </c>
      <c r="L5" s="1159"/>
      <c r="M5" s="1566"/>
    </row>
    <row r="6" spans="1:37" ht="18" customHeight="1">
      <c r="A6" s="1567" t="s">
        <v>931</v>
      </c>
      <c r="B6" s="1568" t="s">
        <v>1002</v>
      </c>
      <c r="C6" s="1564">
        <f>ROUND(F6*F8*F7*(1-F9),0)</f>
        <v>297428</v>
      </c>
      <c r="D6" s="1569" t="s">
        <v>1003</v>
      </c>
      <c r="E6" s="1570" t="s">
        <v>1004</v>
      </c>
      <c r="F6" s="1571">
        <f>'数据-取费表'!B29</f>
        <v>8</v>
      </c>
      <c r="G6" s="1561"/>
      <c r="H6" s="1567" t="s">
        <v>931</v>
      </c>
      <c r="I6" s="1568" t="s">
        <v>1002</v>
      </c>
      <c r="J6" s="1564">
        <f>ROUND(M6*M8*M7*(1-M9),0)</f>
        <v>0</v>
      </c>
      <c r="K6" s="1569" t="s">
        <v>1003</v>
      </c>
      <c r="L6" s="1570" t="s">
        <v>1004</v>
      </c>
      <c r="M6" s="1571">
        <f>'数据-取费表'!B36</f>
        <v>0</v>
      </c>
    </row>
    <row r="7" spans="1:37" ht="18" customHeight="1">
      <c r="A7" s="1572"/>
      <c r="B7" s="1573"/>
      <c r="C7" s="1574"/>
      <c r="D7" s="1575"/>
      <c r="E7" s="1570" t="s">
        <v>1005</v>
      </c>
      <c r="F7" s="1571">
        <f>IF('数据-取费表'!B41="",IF(D1="仅计算典型户型",'数据-取费表'!E5,'数据-取费表'!B5),'数据-取费表'!B41)</f>
        <v>107.22</v>
      </c>
      <c r="G7" s="1561"/>
      <c r="H7" s="1576"/>
      <c r="I7" s="1573"/>
      <c r="J7" s="1574"/>
      <c r="K7" s="1575"/>
      <c r="L7" s="1570" t="s">
        <v>1005</v>
      </c>
      <c r="M7" s="1571">
        <f>IF('数据-取费表'!B41="",IF(D1="仅计算典型户型",'数据-取费表'!E5,'数据-取费表'!B5),'数据-取费表'!B41)</f>
        <v>107.22</v>
      </c>
    </row>
    <row r="8" spans="1:37" ht="18" customHeight="1">
      <c r="A8" s="1572"/>
      <c r="B8" s="1573"/>
      <c r="C8" s="1574"/>
      <c r="D8" s="1575"/>
      <c r="E8" s="1570" t="s">
        <v>1006</v>
      </c>
      <c r="F8" s="1571">
        <f>'数据-取费表'!B42</f>
        <v>365</v>
      </c>
      <c r="G8" s="1561"/>
      <c r="H8" s="1576"/>
      <c r="I8" s="1573"/>
      <c r="J8" s="1574"/>
      <c r="K8" s="1575"/>
      <c r="L8" s="1570" t="s">
        <v>1007</v>
      </c>
      <c r="M8" s="1571">
        <f>'数据-取费表'!B42</f>
        <v>365</v>
      </c>
    </row>
    <row r="9" spans="1:37" ht="18" customHeight="1">
      <c r="A9" s="1572"/>
      <c r="B9" s="1573"/>
      <c r="C9" s="1574"/>
      <c r="D9" s="1577"/>
      <c r="E9" s="1570" t="s">
        <v>1008</v>
      </c>
      <c r="F9" s="1578">
        <f>'数据-取费表'!B32</f>
        <v>0.05</v>
      </c>
      <c r="G9" s="1561"/>
      <c r="H9" s="1576"/>
      <c r="I9" s="1573"/>
      <c r="J9" s="1690"/>
      <c r="K9" s="1691"/>
      <c r="L9" s="1582" t="s">
        <v>1008</v>
      </c>
      <c r="M9" s="1578">
        <f>'数据-取费表'!B38</f>
        <v>0</v>
      </c>
    </row>
    <row r="10" spans="1:37" ht="18" customHeight="1">
      <c r="A10" s="1567" t="s">
        <v>933</v>
      </c>
      <c r="B10" s="1579" t="s">
        <v>1009</v>
      </c>
      <c r="C10" s="1580">
        <f ca="1">ROUND(IF(F10="押一",C6/12*F11,IF(F10="押二",C6/12*2*F11,IF(F10="押三",C6/12*3*F11,C11*F11))),0)</f>
        <v>372</v>
      </c>
      <c r="D10" s="1581" t="s">
        <v>1010</v>
      </c>
      <c r="E10" s="1582" t="s">
        <v>1011</v>
      </c>
      <c r="F10" s="1583" t="s">
        <v>1012</v>
      </c>
      <c r="G10" s="1561"/>
      <c r="H10" s="1567" t="s">
        <v>933</v>
      </c>
      <c r="I10" s="1579" t="s">
        <v>1009</v>
      </c>
      <c r="J10" s="1580">
        <f ca="1">ROUND(IF(M10="押一",J6/12*M11,IF(M10="押二",J6/12*2*M11,IF(M10="押三",J6/12*3*M11,J11*M11))),0)</f>
        <v>0</v>
      </c>
      <c r="K10" s="1569" t="s">
        <v>1010</v>
      </c>
      <c r="L10" s="1582" t="s">
        <v>1011</v>
      </c>
      <c r="M10" s="1583"/>
    </row>
    <row r="11" spans="1:37" s="1536" customFormat="1" ht="18" customHeight="1">
      <c r="A11" s="1584"/>
      <c r="B11" s="1585" t="s">
        <v>1013</v>
      </c>
      <c r="C11" s="1586"/>
      <c r="D11" s="1575"/>
      <c r="E11" s="1582" t="s">
        <v>1014</v>
      </c>
      <c r="F11" s="1587">
        <f ca="1">'数据-取费表'!B30</f>
        <v>1.4999999999999999E-2</v>
      </c>
      <c r="G11" s="1588"/>
      <c r="H11" s="1589"/>
      <c r="I11" s="1585" t="s">
        <v>1015</v>
      </c>
      <c r="J11" s="1586"/>
      <c r="K11" s="1575"/>
      <c r="L11" s="1582" t="s">
        <v>1014</v>
      </c>
      <c r="M11" s="1587">
        <f ca="1">'数据-取费表'!B30</f>
        <v>1.4999999999999999E-2</v>
      </c>
      <c r="N11" s="1692"/>
      <c r="O11" s="1692"/>
      <c r="P11" s="1692"/>
      <c r="Q11" s="1777"/>
      <c r="R11" s="1692"/>
      <c r="S11" s="1692"/>
      <c r="T11" s="1692"/>
      <c r="U11" s="1692"/>
      <c r="V11" s="1692"/>
      <c r="W11" s="1692"/>
      <c r="X11" s="1692"/>
      <c r="Y11" s="1692"/>
      <c r="Z11" s="1692"/>
      <c r="AA11" s="1692"/>
      <c r="AB11" s="1692"/>
      <c r="AC11" s="1692"/>
      <c r="AD11" s="1692"/>
      <c r="AE11" s="1692"/>
      <c r="AF11" s="1692"/>
      <c r="AG11" s="1692"/>
      <c r="AH11" s="1692"/>
      <c r="AI11" s="1692"/>
      <c r="AJ11" s="1692"/>
      <c r="AK11" s="1692"/>
    </row>
    <row r="12" spans="1:37" ht="18" customHeight="1">
      <c r="A12" s="1590" t="s">
        <v>934</v>
      </c>
      <c r="B12" s="1591" t="s">
        <v>1016</v>
      </c>
      <c r="C12" s="1592"/>
      <c r="D12" s="1593"/>
      <c r="E12" s="1594"/>
      <c r="F12" s="1595"/>
      <c r="G12" s="1561"/>
      <c r="H12" s="1590" t="s">
        <v>934</v>
      </c>
      <c r="I12" s="1591" t="s">
        <v>1016</v>
      </c>
      <c r="J12" s="1592"/>
      <c r="K12" s="1673"/>
      <c r="L12" s="1594"/>
      <c r="M12" s="1693"/>
    </row>
    <row r="13" spans="1:37" s="1536" customFormat="1" ht="18" customHeight="1">
      <c r="A13" s="1596">
        <v>2</v>
      </c>
      <c r="B13" s="1597" t="s">
        <v>1017</v>
      </c>
      <c r="C13" s="1598">
        <f ca="1">ROUND(C29*F13,0)</f>
        <v>449558</v>
      </c>
      <c r="D13" s="1599" t="s">
        <v>1018</v>
      </c>
      <c r="E13" s="1599" t="s">
        <v>1019</v>
      </c>
      <c r="F13" s="1600">
        <f>'数据-取费表'!E20</f>
        <v>0.84</v>
      </c>
      <c r="G13" s="1588"/>
      <c r="H13" s="1596">
        <v>2</v>
      </c>
      <c r="I13" s="1597" t="s">
        <v>1017</v>
      </c>
      <c r="J13" s="1690">
        <f ca="1">ROUND(J14*J15,0)</f>
        <v>0</v>
      </c>
      <c r="K13" s="1620" t="s">
        <v>1018</v>
      </c>
      <c r="L13" s="1694"/>
      <c r="M13" s="1695"/>
      <c r="N13" s="1692"/>
      <c r="O13" s="1692"/>
      <c r="P13" s="1692"/>
      <c r="Q13" s="1777"/>
      <c r="R13" s="1692"/>
      <c r="S13" s="1692"/>
      <c r="T13" s="1692"/>
      <c r="U13" s="1692"/>
      <c r="V13" s="1692"/>
      <c r="W13" s="1692"/>
      <c r="X13" s="1692"/>
      <c r="Y13" s="1692"/>
      <c r="Z13" s="1692"/>
      <c r="AA13" s="1692"/>
      <c r="AB13" s="1692"/>
      <c r="AC13" s="1692"/>
      <c r="AD13" s="1692"/>
      <c r="AE13" s="1692"/>
      <c r="AF13" s="1692"/>
      <c r="AG13" s="1692"/>
      <c r="AH13" s="1692"/>
      <c r="AI13" s="1692"/>
      <c r="AJ13" s="1692"/>
      <c r="AK13" s="1692"/>
    </row>
    <row r="14" spans="1:37" s="1536" customFormat="1" ht="18" customHeight="1">
      <c r="A14" s="1601" t="s">
        <v>955</v>
      </c>
      <c r="B14" s="1570" t="s">
        <v>1020</v>
      </c>
      <c r="C14" s="1602">
        <f>IF(D1="仅计算典型户型",'数据-取费表'!F18,'数据-取费表'!E18)</f>
        <v>375270</v>
      </c>
      <c r="D14" s="1603" t="s">
        <v>1021</v>
      </c>
      <c r="E14" s="1604"/>
      <c r="F14" s="1605"/>
      <c r="G14" s="1588"/>
      <c r="H14" s="1601" t="s">
        <v>931</v>
      </c>
      <c r="I14" s="1570" t="s">
        <v>1022</v>
      </c>
      <c r="J14" s="1405">
        <f ca="1">C29</f>
        <v>535188</v>
      </c>
      <c r="K14" s="1684"/>
      <c r="L14" s="1696"/>
      <c r="M14" s="1697"/>
      <c r="N14" s="1692"/>
      <c r="O14" s="1692"/>
      <c r="P14" s="1692"/>
      <c r="Q14" s="1777"/>
      <c r="R14" s="1692"/>
      <c r="S14" s="1692"/>
      <c r="T14" s="1692"/>
      <c r="U14" s="1692"/>
      <c r="V14" s="1692"/>
      <c r="W14" s="1692"/>
      <c r="X14" s="1692"/>
      <c r="Y14" s="1692"/>
      <c r="Z14" s="1692"/>
      <c r="AA14" s="1692"/>
      <c r="AB14" s="1692"/>
      <c r="AC14" s="1692"/>
      <c r="AD14" s="1692"/>
      <c r="AE14" s="1692"/>
      <c r="AF14" s="1692"/>
      <c r="AG14" s="1692"/>
      <c r="AH14" s="1692"/>
      <c r="AI14" s="1692"/>
      <c r="AJ14" s="1692"/>
      <c r="AK14" s="1692"/>
    </row>
    <row r="15" spans="1:37" ht="18" customHeight="1">
      <c r="A15" s="1601" t="s">
        <v>957</v>
      </c>
      <c r="B15" s="1570" t="s">
        <v>944</v>
      </c>
      <c r="C15" s="1405">
        <f>ROUND(C14*F15,0)</f>
        <v>11258</v>
      </c>
      <c r="D15" s="1606" t="s">
        <v>1023</v>
      </c>
      <c r="E15" s="1606" t="s">
        <v>1024</v>
      </c>
      <c r="F15" s="1607">
        <f>'数据-取费表'!E21</f>
        <v>0.03</v>
      </c>
      <c r="G15" s="1561"/>
      <c r="H15" s="1608" t="s">
        <v>933</v>
      </c>
      <c r="I15" s="1594" t="s">
        <v>1019</v>
      </c>
      <c r="J15" s="1698">
        <f>'数据-取费表'!B39</f>
        <v>0</v>
      </c>
      <c r="K15" s="1699"/>
      <c r="L15" s="1700"/>
      <c r="M15" s="1701"/>
    </row>
    <row r="16" spans="1:37" s="1536" customFormat="1" ht="18" customHeight="1">
      <c r="A16" s="1601" t="s">
        <v>960</v>
      </c>
      <c r="B16" s="1570" t="s">
        <v>947</v>
      </c>
      <c r="C16" s="1405">
        <f>ROUND(C14*F16,0)</f>
        <v>0</v>
      </c>
      <c r="D16" s="1570" t="s">
        <v>1023</v>
      </c>
      <c r="E16" s="1570" t="s">
        <v>1024</v>
      </c>
      <c r="F16" s="1609">
        <f>IF('数据-取费表'!B10="住宅",'数据-取费表'!E22,0)</f>
        <v>0</v>
      </c>
      <c r="G16" s="1588"/>
      <c r="H16" s="1596" t="s">
        <v>735</v>
      </c>
      <c r="I16" s="1597" t="s">
        <v>1025</v>
      </c>
      <c r="J16" s="1598">
        <f ca="1">ROUND(J17+J22+J23+J24,0)</f>
        <v>12788</v>
      </c>
      <c r="K16" s="1620" t="s">
        <v>1026</v>
      </c>
      <c r="L16" s="1621"/>
      <c r="M16" s="1622"/>
      <c r="N16" s="1692"/>
      <c r="O16" s="1692"/>
      <c r="P16" s="1692"/>
      <c r="Q16" s="1777"/>
      <c r="R16" s="1692"/>
      <c r="S16" s="1692"/>
      <c r="T16" s="1692"/>
      <c r="U16" s="1692"/>
      <c r="V16" s="1692"/>
      <c r="W16" s="1692"/>
      <c r="X16" s="1692"/>
      <c r="Y16" s="1692"/>
      <c r="Z16" s="1692"/>
      <c r="AA16" s="1692"/>
      <c r="AB16" s="1692"/>
      <c r="AC16" s="1692"/>
      <c r="AD16" s="1692"/>
      <c r="AE16" s="1692"/>
      <c r="AF16" s="1692"/>
      <c r="AG16" s="1692"/>
      <c r="AH16" s="1692"/>
      <c r="AI16" s="1692"/>
      <c r="AJ16" s="1692"/>
      <c r="AK16" s="1692"/>
    </row>
    <row r="17" spans="1:37" s="1536" customFormat="1" ht="18" customHeight="1">
      <c r="A17" s="1601" t="s">
        <v>1027</v>
      </c>
      <c r="B17" s="1570" t="s">
        <v>1028</v>
      </c>
      <c r="C17" s="1405">
        <f>ROUND(F17*IF(D1="仅计算典型户型",'数据-取费表'!E5,'数据-取费表'!B5),0)</f>
        <v>21444</v>
      </c>
      <c r="D17" s="1570" t="s">
        <v>1029</v>
      </c>
      <c r="E17" s="1570" t="s">
        <v>1030</v>
      </c>
      <c r="F17" s="1610">
        <f>'数据-取费表'!E23</f>
        <v>200</v>
      </c>
      <c r="G17" s="1588"/>
      <c r="H17" s="1601" t="s">
        <v>931</v>
      </c>
      <c r="I17" s="1570" t="s">
        <v>1031</v>
      </c>
      <c r="J17" s="1405">
        <f ca="1">ROUND(IF(项目基本情况!B7="自然人",J5*M17,J18+J19+J20),0)</f>
        <v>4760</v>
      </c>
      <c r="K17" s="1603" t="s">
        <v>1032</v>
      </c>
      <c r="L17" s="1624" t="s">
        <v>1033</v>
      </c>
      <c r="M17" s="1625" t="str">
        <f>IF(项目基本情况!B7="企业","",IF('数据-取费表'!B10="住宅",5%,IF(M6*M7*M8/12/(1+'数据-取费表'!F30)&gt;20000,12%,7%)))</f>
        <v/>
      </c>
      <c r="N17" s="1692"/>
      <c r="O17" s="1692"/>
      <c r="P17" s="1692"/>
      <c r="Q17" s="1777"/>
      <c r="R17" s="1692"/>
      <c r="S17" s="1692"/>
      <c r="T17" s="1692"/>
      <c r="U17" s="1692"/>
      <c r="V17" s="1692"/>
      <c r="W17" s="1692"/>
      <c r="X17" s="1692"/>
      <c r="Y17" s="1692"/>
      <c r="Z17" s="1692"/>
      <c r="AA17" s="1692"/>
      <c r="AB17" s="1692"/>
      <c r="AC17" s="1692"/>
      <c r="AD17" s="1692"/>
      <c r="AE17" s="1692"/>
      <c r="AF17" s="1692"/>
      <c r="AG17" s="1692"/>
      <c r="AH17" s="1692"/>
      <c r="AI17" s="1692"/>
      <c r="AJ17" s="1692"/>
      <c r="AK17" s="1692"/>
    </row>
    <row r="18" spans="1:37" ht="18" customHeight="1">
      <c r="A18" s="1601" t="s">
        <v>1034</v>
      </c>
      <c r="B18" s="1570" t="s">
        <v>953</v>
      </c>
      <c r="C18" s="1405">
        <f>ROUND(C14*F18,0)</f>
        <v>5629</v>
      </c>
      <c r="D18" s="1570" t="s">
        <v>1023</v>
      </c>
      <c r="E18" s="1570" t="s">
        <v>1024</v>
      </c>
      <c r="F18" s="1609">
        <f>'数据-取费表'!E24</f>
        <v>1.4999999999999999E-2</v>
      </c>
      <c r="G18" s="1561"/>
      <c r="H18" s="1601" t="s">
        <v>955</v>
      </c>
      <c r="I18" s="1570" t="s">
        <v>1035</v>
      </c>
      <c r="J18" s="1405">
        <f ca="1">IF(项目基本情况!B7="自然人","——",ROUND(J5*M18/(1+'数据-取费表'!F30),0))</f>
        <v>0</v>
      </c>
      <c r="K18" s="1624" t="s">
        <v>1036</v>
      </c>
      <c r="L18" s="1570" t="s">
        <v>1024</v>
      </c>
      <c r="M18" s="1609">
        <f>'数据-取费表'!E29</f>
        <v>5.6000000000000001E-2</v>
      </c>
    </row>
    <row r="19" spans="1:37" s="1536" customFormat="1" ht="18" customHeight="1">
      <c r="A19" s="1601" t="s">
        <v>931</v>
      </c>
      <c r="B19" s="1570" t="s">
        <v>1037</v>
      </c>
      <c r="C19" s="1405">
        <f>SUM(C14:C18)</f>
        <v>413601</v>
      </c>
      <c r="D19" s="1611" t="s">
        <v>1038</v>
      </c>
      <c r="E19" s="1407"/>
      <c r="F19" s="1610"/>
      <c r="G19" s="1588"/>
      <c r="H19" s="1601" t="s">
        <v>957</v>
      </c>
      <c r="I19" s="1570" t="s">
        <v>1039</v>
      </c>
      <c r="J19" s="1405">
        <f ca="1">IF(项目基本情况!B7="自然人","——",IF(K19="按租金收入计税",ROUND(J5*M19,0),ROUND(C29*M19*0.7,0)))</f>
        <v>4496</v>
      </c>
      <c r="K19" s="1627" t="s">
        <v>1040</v>
      </c>
      <c r="L19" s="1570" t="s">
        <v>1024</v>
      </c>
      <c r="M19" s="1609">
        <f>IF(K19="按租金收入计税",'数据-取费表'!E39,'数据-取费表'!E38)</f>
        <v>1.2E-2</v>
      </c>
      <c r="N19" s="1692"/>
      <c r="O19" s="1692"/>
      <c r="P19" s="1692"/>
      <c r="Q19" s="1777"/>
      <c r="R19" s="1692"/>
      <c r="S19" s="1692"/>
      <c r="T19" s="1692"/>
      <c r="U19" s="1692"/>
      <c r="V19" s="1692"/>
      <c r="W19" s="1692"/>
      <c r="X19" s="1692"/>
      <c r="Y19" s="1692"/>
      <c r="Z19" s="1692"/>
      <c r="AA19" s="1692"/>
      <c r="AB19" s="1692"/>
      <c r="AC19" s="1692"/>
      <c r="AD19" s="1692"/>
      <c r="AE19" s="1692"/>
      <c r="AF19" s="1692"/>
      <c r="AG19" s="1692"/>
      <c r="AH19" s="1692"/>
      <c r="AI19" s="1692"/>
      <c r="AJ19" s="1692"/>
      <c r="AK19" s="1692"/>
    </row>
    <row r="20" spans="1:37" s="1536" customFormat="1" ht="18" customHeight="1">
      <c r="A20" s="1601" t="s">
        <v>933</v>
      </c>
      <c r="B20" s="1570" t="s">
        <v>1041</v>
      </c>
      <c r="C20" s="1405">
        <f>ROUND(C19*F20,0)</f>
        <v>4136</v>
      </c>
      <c r="D20" s="1612" t="s">
        <v>1042</v>
      </c>
      <c r="E20" s="1570" t="s">
        <v>1024</v>
      </c>
      <c r="F20" s="1609">
        <f>'数据-取费表'!E25</f>
        <v>0.01</v>
      </c>
      <c r="G20" s="1588"/>
      <c r="H20" s="1601" t="s">
        <v>960</v>
      </c>
      <c r="I20" s="1569" t="s">
        <v>1043</v>
      </c>
      <c r="J20" s="1629">
        <f>IF(项目基本情况!B7="自然人","——",ROUND(M20*M21,0))</f>
        <v>264</v>
      </c>
      <c r="K20" s="1630" t="s">
        <v>1044</v>
      </c>
      <c r="L20" s="1570" t="s">
        <v>1045</v>
      </c>
      <c r="M20" s="1614">
        <f>'数据-取费表'!E40</f>
        <v>24</v>
      </c>
      <c r="N20" s="1692"/>
      <c r="O20" s="1692"/>
      <c r="P20" s="1692"/>
      <c r="Q20" s="1777"/>
      <c r="R20" s="1692"/>
      <c r="S20" s="1692"/>
      <c r="T20" s="1692"/>
      <c r="U20" s="1692"/>
      <c r="V20" s="1692"/>
      <c r="W20" s="1692"/>
      <c r="X20" s="1692"/>
      <c r="Y20" s="1692"/>
      <c r="Z20" s="1692"/>
      <c r="AA20" s="1692"/>
      <c r="AB20" s="1692"/>
      <c r="AC20" s="1692"/>
      <c r="AD20" s="1692"/>
      <c r="AE20" s="1692"/>
      <c r="AF20" s="1692"/>
      <c r="AG20" s="1692"/>
      <c r="AH20" s="1692"/>
      <c r="AI20" s="1692"/>
      <c r="AJ20" s="1692"/>
      <c r="AK20" s="1692"/>
    </row>
    <row r="21" spans="1:37" ht="18" customHeight="1">
      <c r="A21" s="1601" t="s">
        <v>934</v>
      </c>
      <c r="B21" s="1570" t="s">
        <v>1046</v>
      </c>
      <c r="C21" s="1476">
        <f>F21</f>
        <v>0.01</v>
      </c>
      <c r="D21" s="1612" t="s">
        <v>1047</v>
      </c>
      <c r="E21" s="1570" t="s">
        <v>1048</v>
      </c>
      <c r="F21" s="1609">
        <f>'数据-取费表'!E26</f>
        <v>0.01</v>
      </c>
      <c r="G21" s="1561"/>
      <c r="H21" s="1584"/>
      <c r="I21" s="1577"/>
      <c r="J21" s="1477"/>
      <c r="K21" s="1632"/>
      <c r="L21" s="1570" t="s">
        <v>1049</v>
      </c>
      <c r="M21" s="1571">
        <f>IF(D1="仅计算典型户型",'数据-取费表'!E6,'数据-取费表'!B6)</f>
        <v>11.01</v>
      </c>
    </row>
    <row r="22" spans="1:37" ht="18" customHeight="1">
      <c r="A22" s="1601" t="s">
        <v>971</v>
      </c>
      <c r="B22" s="1570" t="s">
        <v>1050</v>
      </c>
      <c r="C22" s="1405"/>
      <c r="D22" s="1611" t="str">
        <f>IF(F23&lt;=1,"单利计息。","复利计息。")&amp;"建造成本、管理费用、销售费用产生的利息。"</f>
        <v>复利计息。建造成本、管理费用、销售费用产生的利息。</v>
      </c>
      <c r="E22" s="1407"/>
      <c r="F22" s="1610"/>
      <c r="G22" s="1561"/>
      <c r="H22" s="1601" t="s">
        <v>933</v>
      </c>
      <c r="I22" s="1570" t="s">
        <v>1051</v>
      </c>
      <c r="J22" s="1405">
        <f ca="1">ROUND(J14*M22,0)</f>
        <v>8028</v>
      </c>
      <c r="K22" s="1624" t="s">
        <v>1052</v>
      </c>
      <c r="L22" s="1570" t="s">
        <v>1024</v>
      </c>
      <c r="M22" s="1634">
        <f>'数据-取费表'!B44</f>
        <v>1.4999999999999999E-2</v>
      </c>
    </row>
    <row r="23" spans="1:37" ht="18" customHeight="1">
      <c r="A23" s="1601" t="s">
        <v>955</v>
      </c>
      <c r="B23" s="1570" t="s">
        <v>1053</v>
      </c>
      <c r="C23" s="1405">
        <f ca="1">IF('数据-取费表'!B23&lt;=1,ROUND(C19*F24*F23/2,0)+ROUND(C20*F24*F23/2,0),ROUND(C19*(POWER((1+F24),F23/2)-1),0)+ROUND(C20*(POWER((1+F24),F23/2)-1),0))</f>
        <v>19842</v>
      </c>
      <c r="D23" s="1613" t="str">
        <f>IF(F23&lt;=1,"(建造成本+管理费用)×利率×(建设周期÷2)","(建造成本+管理费用)×((1+利率)^(建设周期÷2)-1)")</f>
        <v>(建造成本+管理费用)×((1+利率)^(建设周期÷2)-1)</v>
      </c>
      <c r="E23" s="1570" t="s">
        <v>1054</v>
      </c>
      <c r="F23" s="1614">
        <f>'数据-取费表'!B21</f>
        <v>2</v>
      </c>
      <c r="G23" s="1561"/>
      <c r="H23" s="1601" t="s">
        <v>934</v>
      </c>
      <c r="I23" s="1570" t="s">
        <v>1055</v>
      </c>
      <c r="J23" s="1405">
        <f ca="1">ROUND(J13*M23,0)</f>
        <v>0</v>
      </c>
      <c r="K23" s="1624" t="s">
        <v>1056</v>
      </c>
      <c r="L23" s="1570" t="s">
        <v>1024</v>
      </c>
      <c r="M23" s="1635">
        <f>'数据-取费表'!B45</f>
        <v>1.5E-3</v>
      </c>
    </row>
    <row r="24" spans="1:37" s="1536" customFormat="1" ht="18" customHeight="1">
      <c r="A24" s="1601" t="s">
        <v>957</v>
      </c>
      <c r="B24" s="1570" t="s">
        <v>1057</v>
      </c>
      <c r="C24" s="1405">
        <f ca="1">ROUND(IF('数据-取费表'!B23&lt;=1,F21*F24*F23/2,F21*(POWER((1+F24),F23/2)-1)),4)</f>
        <v>5.0000000000000001E-4</v>
      </c>
      <c r="D24" s="1613" t="str">
        <f>IF(F23&lt;=1,"销售费用×利率×(建设周期÷2)","销售费用×((1+利率)^(建设周期÷2)-1)")</f>
        <v>销售费用×((1+利率)^(建设周期÷2)-1)</v>
      </c>
      <c r="E24" s="1570" t="s">
        <v>1058</v>
      </c>
      <c r="F24" s="1615">
        <f ca="1">'数据-取费表'!E27</f>
        <v>4.7500000000000001E-2</v>
      </c>
      <c r="G24" s="1588"/>
      <c r="H24" s="1608" t="s">
        <v>971</v>
      </c>
      <c r="I24" s="1594" t="s">
        <v>1041</v>
      </c>
      <c r="J24" s="1616">
        <f ca="1">ROUND(J5*M24,0)</f>
        <v>0</v>
      </c>
      <c r="K24" s="1617" t="s">
        <v>1059</v>
      </c>
      <c r="L24" s="1594" t="s">
        <v>1024</v>
      </c>
      <c r="M24" s="1595">
        <f>'数据-取费表'!B46</f>
        <v>0.01</v>
      </c>
      <c r="N24" s="1692"/>
      <c r="O24" s="1692"/>
      <c r="P24" s="1692"/>
      <c r="Q24" s="1777"/>
      <c r="R24" s="1692"/>
      <c r="S24" s="1692"/>
      <c r="T24" s="1692"/>
      <c r="U24" s="1692"/>
      <c r="V24" s="1692"/>
      <c r="W24" s="1692"/>
      <c r="X24" s="1692"/>
      <c r="Y24" s="1692"/>
      <c r="Z24" s="1692"/>
      <c r="AA24" s="1692"/>
      <c r="AB24" s="1692"/>
      <c r="AC24" s="1692"/>
      <c r="AD24" s="1692"/>
      <c r="AE24" s="1692"/>
      <c r="AF24" s="1692"/>
      <c r="AG24" s="1692"/>
      <c r="AH24" s="1692"/>
      <c r="AI24" s="1692"/>
      <c r="AJ24" s="1692"/>
      <c r="AK24" s="1692"/>
    </row>
    <row r="25" spans="1:37" s="1536" customFormat="1" ht="18" customHeight="1">
      <c r="A25" s="1601" t="s">
        <v>975</v>
      </c>
      <c r="B25" s="1570" t="s">
        <v>1060</v>
      </c>
      <c r="C25" s="1405"/>
      <c r="D25" s="1611" t="s">
        <v>1061</v>
      </c>
      <c r="E25" s="1407"/>
      <c r="F25" s="1610"/>
      <c r="G25" s="1588"/>
      <c r="H25" s="1596" t="s">
        <v>738</v>
      </c>
      <c r="I25" s="1636" t="s">
        <v>1062</v>
      </c>
      <c r="J25" s="1598">
        <f ca="1">J5-J16</f>
        <v>-12788</v>
      </c>
      <c r="K25" s="1637" t="s">
        <v>1063</v>
      </c>
      <c r="L25" s="1638"/>
      <c r="M25" s="1639"/>
      <c r="N25" s="1692"/>
      <c r="O25" s="1692"/>
      <c r="P25" s="1692"/>
      <c r="Q25" s="1777"/>
      <c r="R25" s="1692"/>
      <c r="S25" s="1692"/>
      <c r="T25" s="1692"/>
      <c r="U25" s="1692"/>
      <c r="V25" s="1692"/>
      <c r="W25" s="1692"/>
      <c r="X25" s="1692"/>
      <c r="Y25" s="1692"/>
      <c r="Z25" s="1692"/>
      <c r="AA25" s="1692"/>
      <c r="AB25" s="1692"/>
      <c r="AC25" s="1692"/>
      <c r="AD25" s="1692"/>
      <c r="AE25" s="1692"/>
      <c r="AF25" s="1692"/>
      <c r="AG25" s="1692"/>
      <c r="AH25" s="1692"/>
      <c r="AI25" s="1692"/>
      <c r="AJ25" s="1692"/>
      <c r="AK25" s="1692"/>
    </row>
    <row r="26" spans="1:37" ht="18" customHeight="1">
      <c r="A26" s="1601" t="s">
        <v>955</v>
      </c>
      <c r="B26" s="1570" t="s">
        <v>1064</v>
      </c>
      <c r="C26" s="1405">
        <f>ROUND((C19+C20)*F26,0)</f>
        <v>62661</v>
      </c>
      <c r="D26" s="1612" t="s">
        <v>1065</v>
      </c>
      <c r="E26" s="1582" t="s">
        <v>1066</v>
      </c>
      <c r="F26" s="1578">
        <f>'数据-取费表'!E28</f>
        <v>0.15</v>
      </c>
      <c r="G26" s="1537"/>
      <c r="H26" s="1562" t="s">
        <v>765</v>
      </c>
      <c r="I26" s="1563" t="s">
        <v>1067</v>
      </c>
      <c r="J26" s="1564">
        <f ca="1">IF(J5&lt;&gt;0,ROUND(J25*(1-((1+M28)/(1+M26))^M27)/(M26-M28),0),0)</f>
        <v>0</v>
      </c>
      <c r="K26" s="1630" t="s">
        <v>1068</v>
      </c>
      <c r="L26" s="1570" t="s">
        <v>1069</v>
      </c>
      <c r="M26" s="1578">
        <f>'数据-取费表'!B16</f>
        <v>0.05</v>
      </c>
    </row>
    <row r="27" spans="1:37" ht="18" customHeight="1">
      <c r="A27" s="1601" t="s">
        <v>957</v>
      </c>
      <c r="B27" s="1570" t="s">
        <v>1070</v>
      </c>
      <c r="C27" s="1405">
        <f>ROUND(F21*F26,4)</f>
        <v>1.5E-3</v>
      </c>
      <c r="D27" s="1612" t="s">
        <v>1071</v>
      </c>
      <c r="E27" s="1606"/>
      <c r="F27" s="1607"/>
      <c r="G27" s="1537"/>
      <c r="H27" s="1576"/>
      <c r="I27" s="1573"/>
      <c r="J27" s="1574"/>
      <c r="K27" s="1641" t="s">
        <v>1072</v>
      </c>
      <c r="L27" s="1570" t="s">
        <v>1073</v>
      </c>
      <c r="M27" s="1643" t="str">
        <f>'数据-取费表'!B40</f>
        <v>——</v>
      </c>
    </row>
    <row r="28" spans="1:37" ht="18" customHeight="1">
      <c r="A28" s="1601" t="s">
        <v>981</v>
      </c>
      <c r="B28" s="1570" t="s">
        <v>1074</v>
      </c>
      <c r="C28" s="1405">
        <f>ROUND(F28/(1+'数据-取费表'!F30),4)</f>
        <v>5.33E-2</v>
      </c>
      <c r="D28" s="1612" t="s">
        <v>1075</v>
      </c>
      <c r="E28" s="1570" t="s">
        <v>1024</v>
      </c>
      <c r="F28" s="1609">
        <f>'数据-取费表'!E29</f>
        <v>5.6000000000000001E-2</v>
      </c>
      <c r="G28" s="1537"/>
      <c r="H28" s="1589"/>
      <c r="I28" s="1645"/>
      <c r="J28" s="1598"/>
      <c r="K28" s="1632"/>
      <c r="L28" s="1570" t="s">
        <v>1076</v>
      </c>
      <c r="M28" s="1578">
        <f>'数据-取费表'!B37</f>
        <v>0</v>
      </c>
    </row>
    <row r="29" spans="1:37" ht="18" customHeight="1">
      <c r="A29" s="1608" t="s">
        <v>986</v>
      </c>
      <c r="B29" s="1594" t="s">
        <v>1077</v>
      </c>
      <c r="C29" s="1616">
        <f ca="1">ROUND((C19+C20+C23+C26)/(1-F21-C24-C27-C28),0)</f>
        <v>535188</v>
      </c>
      <c r="D29" s="1617"/>
      <c r="E29" s="1594"/>
      <c r="F29" s="1618"/>
      <c r="G29" s="1537"/>
      <c r="H29" s="1619" t="s">
        <v>1078</v>
      </c>
      <c r="I29" s="1646" t="s">
        <v>1079</v>
      </c>
      <c r="J29" s="1647">
        <f ca="1">ROUND(J26/(1+F40)^F41,0)</f>
        <v>0</v>
      </c>
      <c r="K29" s="1648" t="s">
        <v>1080</v>
      </c>
      <c r="L29" s="1649"/>
      <c r="M29" s="1650">
        <f>IF(D1="仅计算典型户型",'数据-取费表'!E5,'数据-取费表'!B5)</f>
        <v>107.22</v>
      </c>
    </row>
    <row r="30" spans="1:37" ht="18" customHeight="1">
      <c r="A30" s="1596" t="s">
        <v>735</v>
      </c>
      <c r="B30" s="1597" t="s">
        <v>1025</v>
      </c>
      <c r="C30" s="1598">
        <f ca="1">ROUND(C31+C36+C37+C38,0)</f>
        <v>63563</v>
      </c>
      <c r="D30" s="1620" t="s">
        <v>1026</v>
      </c>
      <c r="E30" s="1621"/>
      <c r="F30" s="1622"/>
      <c r="G30" s="1537"/>
      <c r="H30" s="1623"/>
      <c r="I30" s="1702"/>
      <c r="J30" s="1703"/>
      <c r="K30" s="1704"/>
      <c r="L30" s="1705"/>
      <c r="M30" s="1706"/>
    </row>
    <row r="31" spans="1:37" ht="18" customHeight="1">
      <c r="A31" s="1601" t="s">
        <v>931</v>
      </c>
      <c r="B31" s="1570" t="s">
        <v>1031</v>
      </c>
      <c r="C31" s="1405">
        <f ca="1">ROUND(IF(项目基本情况!B7="自然人",C5*F31,C32+C33+C34),0)</f>
        <v>51883</v>
      </c>
      <c r="D31" s="1603" t="s">
        <v>1032</v>
      </c>
      <c r="E31" s="1624" t="s">
        <v>1033</v>
      </c>
      <c r="F31" s="1625" t="str">
        <f>IF(项目基本情况!B7="企业","",IF('数据-取费表'!B10="住宅",5%,IF(F6*F7*F8/12/(1+'数据-取费表'!F30)&gt;20000,12%,7%)))</f>
        <v/>
      </c>
      <c r="G31" s="1537"/>
      <c r="H31" s="1623"/>
      <c r="I31" s="1702"/>
      <c r="J31" s="1703"/>
      <c r="K31" s="1704"/>
      <c r="L31" s="1705"/>
      <c r="M31" s="1706"/>
    </row>
    <row r="32" spans="1:37" ht="18" customHeight="1">
      <c r="A32" s="1601" t="s">
        <v>955</v>
      </c>
      <c r="B32" s="1570" t="s">
        <v>1035</v>
      </c>
      <c r="C32" s="1405">
        <f ca="1">IF(项目基本情况!B7="自然人","——",ROUND(C5*F32/(1+'数据-取费表'!F30),0))</f>
        <v>15883</v>
      </c>
      <c r="D32" s="1624" t="s">
        <v>1036</v>
      </c>
      <c r="E32" s="1570" t="s">
        <v>1024</v>
      </c>
      <c r="F32" s="1615">
        <f>'数据-取费表'!E29</f>
        <v>5.6000000000000001E-2</v>
      </c>
      <c r="G32" s="1537"/>
      <c r="H32" s="1626"/>
      <c r="I32" s="1707"/>
      <c r="J32" s="1708"/>
      <c r="K32" s="1709"/>
      <c r="L32" s="1710"/>
      <c r="M32" s="1711"/>
    </row>
    <row r="33" spans="1:18" ht="18" customHeight="1">
      <c r="A33" s="1601" t="s">
        <v>957</v>
      </c>
      <c r="B33" s="1570" t="s">
        <v>1039</v>
      </c>
      <c r="C33" s="1405">
        <f ca="1">IF(项目基本情况!B7="自然人","——",IF(D33="按租金收入计税",ROUND(C5*F33,0),IF(D33="按房产原值计税",ROUND(C29*F33*0.7,0),'数据-取费表'!B43)))</f>
        <v>35736</v>
      </c>
      <c r="D33" s="1627" t="s">
        <v>1081</v>
      </c>
      <c r="E33" s="1570" t="s">
        <v>1024</v>
      </c>
      <c r="F33" s="1609">
        <f>IF(D33="按票据","——",IF(D33="按租金收入计税",'数据-取费表'!E39,'数据-取费表'!E38))</f>
        <v>0.12</v>
      </c>
      <c r="G33" s="1537"/>
      <c r="H33" s="1628"/>
      <c r="I33" s="1712" t="s">
        <v>1082</v>
      </c>
      <c r="J33" s="1713"/>
      <c r="K33" s="1714"/>
      <c r="L33" s="1628"/>
      <c r="M33" s="1628"/>
    </row>
    <row r="34" spans="1:18" ht="18" customHeight="1">
      <c r="A34" s="1567" t="s">
        <v>960</v>
      </c>
      <c r="B34" s="1569" t="s">
        <v>1043</v>
      </c>
      <c r="C34" s="1629">
        <f>IF(项目基本情况!B7="自然人","——",ROUND(F34*F35,0))</f>
        <v>264</v>
      </c>
      <c r="D34" s="1630" t="s">
        <v>1044</v>
      </c>
      <c r="E34" s="1570" t="s">
        <v>1045</v>
      </c>
      <c r="F34" s="1614">
        <f>'数据-取费表'!E40</f>
        <v>24</v>
      </c>
      <c r="G34" s="1537"/>
      <c r="H34" s="1623"/>
      <c r="I34" s="1715" t="s">
        <v>1083</v>
      </c>
      <c r="J34" s="1716">
        <f ca="1">ROUND(C13*J35,0)</f>
        <v>38212</v>
      </c>
      <c r="K34" s="1717"/>
      <c r="L34" s="1718"/>
      <c r="M34" s="1718"/>
    </row>
    <row r="35" spans="1:18" ht="24.6" customHeight="1">
      <c r="A35" s="1631"/>
      <c r="B35" s="1577"/>
      <c r="C35" s="1477"/>
      <c r="D35" s="1632"/>
      <c r="E35" s="1570" t="s">
        <v>1049</v>
      </c>
      <c r="F35" s="1571">
        <f>IF(D1="仅计算典型户型",'数据-取费表'!E6,'数据-取费表'!B6)</f>
        <v>11.01</v>
      </c>
      <c r="G35" s="1537"/>
      <c r="H35" s="1623"/>
      <c r="I35" s="534" t="s">
        <v>1084</v>
      </c>
      <c r="J35" s="1719">
        <f>'数据-取费表'!B17</f>
        <v>8.5000000000000006E-2</v>
      </c>
      <c r="K35" s="1714"/>
      <c r="L35" s="1628"/>
      <c r="M35" s="1628"/>
    </row>
    <row r="36" spans="1:18" ht="18" customHeight="1">
      <c r="A36" s="1633" t="s">
        <v>933</v>
      </c>
      <c r="B36" s="1570" t="s">
        <v>1051</v>
      </c>
      <c r="C36" s="1405">
        <f ca="1">ROUND(C29*F36,0)</f>
        <v>8028</v>
      </c>
      <c r="D36" s="1624" t="s">
        <v>1085</v>
      </c>
      <c r="E36" s="1570" t="s">
        <v>1024</v>
      </c>
      <c r="F36" s="1634">
        <f>'数据-取费表'!B44</f>
        <v>1.4999999999999999E-2</v>
      </c>
      <c r="G36" s="1537"/>
      <c r="H36" s="1628"/>
      <c r="I36" s="1720" t="s">
        <v>1086</v>
      </c>
      <c r="J36" s="1721"/>
      <c r="K36" s="1722"/>
      <c r="L36" s="1628"/>
      <c r="M36" s="1628"/>
    </row>
    <row r="37" spans="1:18" ht="18" customHeight="1">
      <c r="A37" s="1601" t="s">
        <v>934</v>
      </c>
      <c r="B37" s="1570" t="s">
        <v>1055</v>
      </c>
      <c r="C37" s="1405">
        <f ca="1">ROUND(C13*F37,0)</f>
        <v>674</v>
      </c>
      <c r="D37" s="1624" t="s">
        <v>1056</v>
      </c>
      <c r="E37" s="1570" t="s">
        <v>1024</v>
      </c>
      <c r="F37" s="1635">
        <f>'数据-取费表'!B45</f>
        <v>1.5E-3</v>
      </c>
      <c r="G37" s="1537"/>
      <c r="H37" s="1628"/>
      <c r="I37" s="1723" t="s">
        <v>1087</v>
      </c>
      <c r="J37" s="1724"/>
      <c r="K37" s="1722"/>
      <c r="L37" s="1628"/>
      <c r="M37" s="1628"/>
    </row>
    <row r="38" spans="1:18" ht="18" customHeight="1">
      <c r="A38" s="1608" t="s">
        <v>971</v>
      </c>
      <c r="B38" s="1594" t="s">
        <v>1041</v>
      </c>
      <c r="C38" s="1616">
        <f ca="1">ROUND(C5*F38,0)</f>
        <v>2978</v>
      </c>
      <c r="D38" s="1617" t="s">
        <v>1059</v>
      </c>
      <c r="E38" s="1594" t="s">
        <v>1024</v>
      </c>
      <c r="F38" s="1595">
        <f>'数据-取费表'!B46</f>
        <v>0.01</v>
      </c>
      <c r="G38" s="1537"/>
      <c r="H38" s="1628"/>
      <c r="I38" s="1715" t="s">
        <v>1088</v>
      </c>
      <c r="J38" s="1725">
        <f ca="1">ROUND(J34/C39,3)</f>
        <v>0.16300000000000001</v>
      </c>
      <c r="K38" s="1726"/>
      <c r="L38" s="1628"/>
      <c r="M38" s="1628"/>
    </row>
    <row r="39" spans="1:18" ht="18" customHeight="1">
      <c r="A39" s="1596" t="s">
        <v>738</v>
      </c>
      <c r="B39" s="1636" t="s">
        <v>1062</v>
      </c>
      <c r="C39" s="1598">
        <f ca="1">C5-C30</f>
        <v>234237</v>
      </c>
      <c r="D39" s="1637" t="s">
        <v>1063</v>
      </c>
      <c r="E39" s="1638"/>
      <c r="F39" s="1639"/>
      <c r="G39" s="1537"/>
      <c r="H39" s="1628"/>
      <c r="I39" s="1715" t="s">
        <v>1089</v>
      </c>
      <c r="J39" s="1725">
        <f ca="1">1-J38</f>
        <v>0.83699999999999997</v>
      </c>
      <c r="K39" s="1726"/>
      <c r="L39" s="1628"/>
      <c r="M39" s="1628"/>
    </row>
    <row r="40" spans="1:18" s="1537" customFormat="1" ht="18" customHeight="1">
      <c r="A40" s="1562" t="s">
        <v>765</v>
      </c>
      <c r="B40" s="1563" t="s">
        <v>1090</v>
      </c>
      <c r="C40" s="1564">
        <f ca="1">ROUND(C39*(1-((1+F42)/(1+F40))^F41)/(F40-F42),0)</f>
        <v>4434133</v>
      </c>
      <c r="D40" s="1630" t="s">
        <v>1068</v>
      </c>
      <c r="E40" s="1570" t="s">
        <v>1069</v>
      </c>
      <c r="F40" s="1578">
        <f>'数据-取费表'!B16</f>
        <v>0.05</v>
      </c>
      <c r="H40" s="1640"/>
      <c r="I40" s="1723" t="s">
        <v>1091</v>
      </c>
      <c r="J40" s="1339"/>
      <c r="K40" s="1726"/>
      <c r="L40" s="1640"/>
      <c r="M40" s="1640"/>
      <c r="Q40" s="1540"/>
    </row>
    <row r="41" spans="1:18" s="1537" customFormat="1" ht="18" customHeight="1">
      <c r="A41" s="1576"/>
      <c r="B41" s="1573"/>
      <c r="C41" s="1574"/>
      <c r="D41" s="1641" t="s">
        <v>1072</v>
      </c>
      <c r="E41" s="1642" t="s">
        <v>1092</v>
      </c>
      <c r="F41" s="1643">
        <f>IF('数据-取费表'!B28="租赁期内按合同租金",'数据-取费表'!B34,IF(E41="收益年期(n)",'数据-取费表'!B33,'数据-取费表'!B13))</f>
        <v>24.74</v>
      </c>
      <c r="H41" s="1644"/>
      <c r="I41" s="1727" t="s">
        <v>923</v>
      </c>
      <c r="J41" s="1725">
        <f ca="1">ROUND(C13/C40,3)</f>
        <v>0.10100000000000001</v>
      </c>
      <c r="K41" s="1722"/>
      <c r="L41" s="1644"/>
      <c r="M41" s="1644"/>
      <c r="Q41" s="1540"/>
    </row>
    <row r="42" spans="1:18" s="1537" customFormat="1" ht="18" customHeight="1">
      <c r="A42" s="1589"/>
      <c r="B42" s="1645"/>
      <c r="C42" s="1598"/>
      <c r="D42" s="1632"/>
      <c r="E42" s="1570" t="s">
        <v>1076</v>
      </c>
      <c r="F42" s="1578">
        <f>'数据-取费表'!B31</f>
        <v>0.03</v>
      </c>
      <c r="H42" s="1644"/>
      <c r="I42" s="1727" t="s">
        <v>924</v>
      </c>
      <c r="J42" s="1728">
        <f ca="1">1-J41</f>
        <v>0.89900000000000002</v>
      </c>
      <c r="K42" s="1722"/>
      <c r="L42" s="1644"/>
      <c r="M42" s="1644"/>
      <c r="Q42" s="1540"/>
    </row>
    <row r="43" spans="1:18" s="1537" customFormat="1" ht="18" customHeight="1">
      <c r="A43" s="1619" t="s">
        <v>1078</v>
      </c>
      <c r="B43" s="1646" t="s">
        <v>1093</v>
      </c>
      <c r="C43" s="1647">
        <f ca="1">ROUND(C40/F43,0)</f>
        <v>41355</v>
      </c>
      <c r="D43" s="1648" t="s">
        <v>1094</v>
      </c>
      <c r="E43" s="1649" t="s">
        <v>1095</v>
      </c>
      <c r="F43" s="1650">
        <f>IF(D1="仅计算典型户型",'数据-取费表'!E5,'数据-取费表'!B5)</f>
        <v>107.22</v>
      </c>
      <c r="G43" s="1651"/>
      <c r="H43" s="1644"/>
      <c r="I43" s="1644"/>
      <c r="J43" s="1644"/>
      <c r="K43" s="1722"/>
      <c r="L43" s="1644"/>
      <c r="M43" s="1644"/>
      <c r="O43" s="1729" t="s">
        <v>1096</v>
      </c>
      <c r="P43" s="1730"/>
      <c r="Q43" s="1301"/>
      <c r="R43" s="1730"/>
    </row>
    <row r="44" spans="1:18" s="1537" customFormat="1" ht="18" customHeight="1">
      <c r="A44" s="1652"/>
      <c r="B44" s="1652"/>
      <c r="C44" s="1653"/>
      <c r="D44" s="1652"/>
      <c r="E44" s="1652"/>
      <c r="F44" s="1652"/>
      <c r="G44" s="1651"/>
      <c r="K44" s="1731"/>
      <c r="O44" s="1732" t="s">
        <v>1097</v>
      </c>
      <c r="P44" s="1733" t="s">
        <v>1098</v>
      </c>
      <c r="Q44" s="1778" t="s">
        <v>1099</v>
      </c>
      <c r="R44" s="1779" t="s">
        <v>1100</v>
      </c>
    </row>
    <row r="45" spans="1:18" s="1537" customFormat="1" ht="18" customHeight="1">
      <c r="A45" s="1652"/>
      <c r="B45" s="1652"/>
      <c r="C45" s="1653"/>
      <c r="D45" s="1652"/>
      <c r="E45" s="1652"/>
      <c r="F45" s="1652"/>
      <c r="G45" s="1654"/>
      <c r="K45" s="1731"/>
      <c r="O45" s="1734" t="s">
        <v>941</v>
      </c>
      <c r="P45" s="1735" t="s">
        <v>1101</v>
      </c>
      <c r="Q45" s="1780">
        <f ca="1">C40+J29</f>
        <v>4434133</v>
      </c>
      <c r="R45" s="1781" t="s">
        <v>1102</v>
      </c>
    </row>
    <row r="46" spans="1:18" s="1537" customFormat="1" ht="18" customHeight="1">
      <c r="A46" s="1652"/>
      <c r="D46" s="1652"/>
      <c r="E46" s="1652"/>
      <c r="F46" s="1652"/>
      <c r="K46" s="1731"/>
      <c r="O46" s="1734" t="s">
        <v>943</v>
      </c>
      <c r="P46" s="1735" t="s">
        <v>1103</v>
      </c>
      <c r="Q46" s="1780" t="str">
        <f>J61</f>
        <v>0</v>
      </c>
      <c r="R46" s="1781" t="s">
        <v>1104</v>
      </c>
    </row>
    <row r="47" spans="1:18" s="1537" customFormat="1" ht="21">
      <c r="A47" s="1655" t="s">
        <v>1105</v>
      </c>
      <c r="C47" s="1656">
        <f ca="1">IF(C2="元",C69-C40,ROUND((C69-C40)/10000,0))</f>
        <v>-519</v>
      </c>
      <c r="D47" s="1657" t="str">
        <f>C2</f>
        <v>万元</v>
      </c>
      <c r="E47" s="1652"/>
      <c r="F47" s="1652"/>
      <c r="I47" s="1736" t="s">
        <v>1106</v>
      </c>
      <c r="J47" s="1737"/>
      <c r="K47" s="1738"/>
      <c r="L47" s="1739" t="str">
        <f>IF(M48="住宅",0,IF(L49&gt;J52,L61,J61))</f>
        <v>0</v>
      </c>
      <c r="O47" s="1740" t="s">
        <v>1107</v>
      </c>
      <c r="P47" s="1735" t="s">
        <v>1108</v>
      </c>
      <c r="Q47" s="1780">
        <f ca="1">C29</f>
        <v>535188</v>
      </c>
      <c r="R47" s="1781" t="s">
        <v>1102</v>
      </c>
    </row>
    <row r="48" spans="1:18" s="1537" customFormat="1">
      <c r="A48" s="1557" t="s">
        <v>995</v>
      </c>
      <c r="B48" s="1558" t="s">
        <v>996</v>
      </c>
      <c r="C48" s="1558" t="s">
        <v>997</v>
      </c>
      <c r="D48" s="1558" t="s">
        <v>998</v>
      </c>
      <c r="E48" s="1658" t="s">
        <v>999</v>
      </c>
      <c r="F48" s="1659"/>
      <c r="I48" s="1741" t="s">
        <v>1109</v>
      </c>
      <c r="J48" s="1742" t="s">
        <v>1110</v>
      </c>
      <c r="K48" s="1743" t="s">
        <v>1111</v>
      </c>
      <c r="L48" s="1744">
        <f>'数据-取费表'!B11</f>
        <v>50</v>
      </c>
      <c r="M48" s="1301" t="str">
        <f>IF('数据-取费表'!B10="住宅","住宅","非住宅")</f>
        <v>非住宅</v>
      </c>
      <c r="O48" s="1740" t="s">
        <v>1112</v>
      </c>
      <c r="P48" s="1735" t="s">
        <v>1113</v>
      </c>
      <c r="Q48" s="1782" t="e">
        <f>J59</f>
        <v>#VALUE!</v>
      </c>
      <c r="R48" s="1781"/>
    </row>
    <row r="49" spans="1:18" s="1537" customFormat="1">
      <c r="A49" s="1660" t="s">
        <v>1114</v>
      </c>
      <c r="B49" s="1563" t="s">
        <v>1000</v>
      </c>
      <c r="C49" s="1661">
        <f ca="1">C50+C54+C56</f>
        <v>0</v>
      </c>
      <c r="D49" s="1662"/>
      <c r="E49" s="1663"/>
      <c r="F49" s="1610"/>
      <c r="I49" s="1745" t="s">
        <v>1115</v>
      </c>
      <c r="J49" s="1746" t="s">
        <v>1116</v>
      </c>
      <c r="K49" s="1747" t="s">
        <v>1117</v>
      </c>
      <c r="L49" s="1340">
        <f>'数据-取费表'!B13</f>
        <v>24.74</v>
      </c>
      <c r="O49" s="1740" t="s">
        <v>1118</v>
      </c>
      <c r="P49" s="1735" t="s">
        <v>1119</v>
      </c>
      <c r="Q49" s="1782">
        <f>J53</f>
        <v>0.09</v>
      </c>
      <c r="R49" s="1781"/>
    </row>
    <row r="50" spans="1:18" s="1537" customFormat="1">
      <c r="A50" s="1664" t="s">
        <v>931</v>
      </c>
      <c r="B50" s="1568" t="s">
        <v>1120</v>
      </c>
      <c r="C50" s="1564">
        <f>ROUND(F50*F52*F51*(1-F53),0)</f>
        <v>0</v>
      </c>
      <c r="D50" s="1665" t="s">
        <v>1121</v>
      </c>
      <c r="E50" s="1666" t="s">
        <v>1122</v>
      </c>
      <c r="F50" s="1667"/>
      <c r="I50" s="1745" t="s">
        <v>1123</v>
      </c>
      <c r="J50" s="1340">
        <f>'数据-取费表'!B26</f>
        <v>1994</v>
      </c>
      <c r="K50" s="1748" t="s">
        <v>1124</v>
      </c>
      <c r="L50" s="1749"/>
      <c r="O50" s="1740" t="s">
        <v>1125</v>
      </c>
      <c r="P50" s="1735" t="s">
        <v>1126</v>
      </c>
      <c r="Q50" s="1780">
        <f>J54</f>
        <v>24.74</v>
      </c>
      <c r="R50" s="1781" t="s">
        <v>1127</v>
      </c>
    </row>
    <row r="51" spans="1:18" s="1537" customFormat="1">
      <c r="A51" s="1576"/>
      <c r="B51" s="1573"/>
      <c r="C51" s="1574"/>
      <c r="D51" s="1575"/>
      <c r="E51" s="1606" t="s">
        <v>1005</v>
      </c>
      <c r="F51" s="1668">
        <f>F7</f>
        <v>107.22</v>
      </c>
      <c r="I51" s="1745" t="s">
        <v>1128</v>
      </c>
      <c r="J51" s="1750">
        <f>SUMPRODUCT((I64:I66=J48)*(J63:L63=J49)*(J64:L66))</f>
        <v>60</v>
      </c>
      <c r="K51" s="1748" t="s">
        <v>1129</v>
      </c>
      <c r="L51" s="1749"/>
      <c r="O51" s="1734" t="s">
        <v>946</v>
      </c>
      <c r="P51" s="1735" t="str">
        <f>IF(C2="元","收益价值(元)","收益价值(万元)")</f>
        <v>收益价值(万元)</v>
      </c>
      <c r="Q51" s="1780">
        <f ca="1">ROUND(IF(C2="元",Q45+Q46,(Q45+Q46)/10000),0)</f>
        <v>443</v>
      </c>
      <c r="R51" s="1781" t="s">
        <v>1130</v>
      </c>
    </row>
    <row r="52" spans="1:18" s="1537" customFormat="1" ht="15.75">
      <c r="A52" s="1576"/>
      <c r="B52" s="1573"/>
      <c r="C52" s="1574"/>
      <c r="D52" s="1575"/>
      <c r="E52" s="1570" t="s">
        <v>1007</v>
      </c>
      <c r="F52" s="1571">
        <f>F8</f>
        <v>365</v>
      </c>
      <c r="I52" s="1751" t="s">
        <v>1131</v>
      </c>
      <c r="J52" s="1752">
        <f>IF(J50="",J51,J50+J51-YEAR('数据-取费表'!B2))</f>
        <v>35</v>
      </c>
      <c r="K52" s="1753" t="s">
        <v>1132</v>
      </c>
      <c r="L52" s="1754">
        <f ca="1">ROUND(-PV('数据-取费表'!B15,L49,(C40-C13*J35)),0)</f>
        <v>64809509</v>
      </c>
      <c r="O52" s="1729" t="s">
        <v>1133</v>
      </c>
      <c r="P52" s="1730"/>
      <c r="Q52" s="1301"/>
      <c r="R52" s="1730"/>
    </row>
    <row r="53" spans="1:18" s="1537" customFormat="1">
      <c r="A53" s="1589"/>
      <c r="B53" s="1645"/>
      <c r="C53" s="1598"/>
      <c r="D53" s="1577"/>
      <c r="E53" s="1570" t="s">
        <v>1008</v>
      </c>
      <c r="F53" s="1669"/>
      <c r="I53" s="1755" t="s">
        <v>1134</v>
      </c>
      <c r="J53" s="1756">
        <v>0.09</v>
      </c>
      <c r="K53" s="1755" t="s">
        <v>1135</v>
      </c>
      <c r="L53" s="1756"/>
      <c r="O53" s="1732" t="s">
        <v>1097</v>
      </c>
      <c r="P53" s="1733" t="s">
        <v>1098</v>
      </c>
      <c r="Q53" s="1778" t="s">
        <v>1099</v>
      </c>
      <c r="R53" s="1779" t="s">
        <v>1100</v>
      </c>
    </row>
    <row r="54" spans="1:18" s="1537" customFormat="1" ht="29.25" customHeight="1">
      <c r="A54" s="1567" t="s">
        <v>933</v>
      </c>
      <c r="B54" s="1579" t="s">
        <v>1009</v>
      </c>
      <c r="C54" s="1580">
        <f ca="1">ROUND(IF(F54="押一",C50/12*F11,IF(F54="押二",C50/12*2*F11,IF(F54="押三",C50/12*3*F11,C55*F11))),0)</f>
        <v>0</v>
      </c>
      <c r="D54" s="1581" t="s">
        <v>1010</v>
      </c>
      <c r="E54" s="1582" t="s">
        <v>1011</v>
      </c>
      <c r="F54" s="1583"/>
      <c r="I54" s="1757" t="s">
        <v>1136</v>
      </c>
      <c r="J54" s="1758">
        <f>IF(M48="住宅",IF(E1="——",MAX(J52,L49),IF(E1="在建（套用方法）",MAX(J52,L49-'数据-取费表'!B25),MAX(J52,L49-'数据-取费表'!B21))),IF(E1="——",MIN(J52,L49),IF(E1="在建（套用方法）",MIN(J52,L49-'数据-取费表'!B25),IF(E1="土地（套用方法）",MIN(J52,L49-'数据-取费表'!B21)))))</f>
        <v>24.74</v>
      </c>
      <c r="K54" s="2981" t="s">
        <v>1137</v>
      </c>
      <c r="L54" s="2982"/>
      <c r="O54" s="1734" t="s">
        <v>941</v>
      </c>
      <c r="P54" s="1735" t="s">
        <v>1101</v>
      </c>
      <c r="Q54" s="1780">
        <f ca="1">C40+J29</f>
        <v>4434133</v>
      </c>
      <c r="R54" s="1781" t="s">
        <v>1102</v>
      </c>
    </row>
    <row r="55" spans="1:18" s="1537" customFormat="1" ht="19.5">
      <c r="A55" s="1567"/>
      <c r="B55" s="1670" t="s">
        <v>1015</v>
      </c>
      <c r="C55" s="1586"/>
      <c r="D55" s="1665"/>
      <c r="E55" s="1671"/>
      <c r="F55" s="1672"/>
      <c r="I55" s="164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759"/>
      <c r="K55" s="1759"/>
      <c r="L55" s="1759"/>
      <c r="O55" s="1734" t="s">
        <v>943</v>
      </c>
      <c r="P55" s="1735" t="s">
        <v>1138</v>
      </c>
      <c r="Q55" s="1780">
        <f>L61</f>
        <v>0</v>
      </c>
      <c r="R55" s="1781" t="s">
        <v>1139</v>
      </c>
    </row>
    <row r="56" spans="1:18" s="1537" customFormat="1" ht="19.5">
      <c r="A56" s="1590" t="s">
        <v>934</v>
      </c>
      <c r="B56" s="1591" t="s">
        <v>1016</v>
      </c>
      <c r="C56" s="1592"/>
      <c r="D56" s="1673"/>
      <c r="E56" s="1674"/>
      <c r="F56" s="1675"/>
      <c r="I56" s="1760" t="s">
        <v>1140</v>
      </c>
      <c r="J56" s="1761" t="e">
        <f>ROUND(IF(J48="钢混",J58/J51,1-(1-2%)*(J51-J58)/J51),3)</f>
        <v>#VALUE!</v>
      </c>
      <c r="K56" s="1762" t="s">
        <v>1141</v>
      </c>
      <c r="L56" s="1763"/>
      <c r="O56" s="1740" t="s">
        <v>1107</v>
      </c>
      <c r="P56" s="1735" t="s">
        <v>1142</v>
      </c>
      <c r="Q56" s="1780">
        <f>IF(L56="比较法",L50,IF(L56="基准地价",L51,0))</f>
        <v>0</v>
      </c>
      <c r="R56" s="1781" t="s">
        <v>1102</v>
      </c>
    </row>
    <row r="57" spans="1:18" s="1537" customFormat="1" ht="42.75">
      <c r="A57" s="1596">
        <v>2</v>
      </c>
      <c r="B57" s="1597" t="s">
        <v>1017</v>
      </c>
      <c r="C57" s="1676">
        <f ca="1">C13</f>
        <v>449558</v>
      </c>
      <c r="D57" s="1677"/>
      <c r="E57" s="1678"/>
      <c r="F57" s="1679"/>
      <c r="I57" s="1764" t="s">
        <v>1143</v>
      </c>
      <c r="J57" s="1765" t="s">
        <v>373</v>
      </c>
      <c r="K57" s="1745" t="s">
        <v>1144</v>
      </c>
      <c r="L57" s="1340" t="str">
        <f>IF(L49&lt;J52,"——",L49-J52)</f>
        <v>——</v>
      </c>
      <c r="O57" s="1740" t="s">
        <v>1112</v>
      </c>
      <c r="P57" s="1735" t="s">
        <v>1145</v>
      </c>
      <c r="Q57" s="1782">
        <f>L53</f>
        <v>0</v>
      </c>
      <c r="R57" s="1781"/>
    </row>
    <row r="58" spans="1:18" s="1537" customFormat="1" ht="28.5">
      <c r="A58" s="1680"/>
      <c r="B58" s="1570" t="s">
        <v>1077</v>
      </c>
      <c r="C58" s="1681">
        <f ca="1">C29</f>
        <v>535188</v>
      </c>
      <c r="D58" s="1677"/>
      <c r="E58" s="1678"/>
      <c r="F58" s="1679"/>
      <c r="I58" s="1766" t="s">
        <v>1146</v>
      </c>
      <c r="J58" s="1767" t="str">
        <f>IF(OR(M48="住宅",J52&lt;L49,J57="是"),"——",J52-L49)</f>
        <v>——</v>
      </c>
      <c r="K58" s="1745" t="s">
        <v>1147</v>
      </c>
      <c r="L58" s="1340" t="str">
        <f>IF(L49&lt;J52,"——",IF(L56="比较法",L50,IF(L56="基准地价",L51,L52)))</f>
        <v>——</v>
      </c>
      <c r="O58" s="1740" t="s">
        <v>1118</v>
      </c>
      <c r="P58" s="1735" t="s">
        <v>1148</v>
      </c>
      <c r="Q58" s="1780" t="e">
        <f>L59</f>
        <v>#DIV/0!</v>
      </c>
      <c r="R58" s="1781" t="s">
        <v>1149</v>
      </c>
    </row>
    <row r="59" spans="1:18" s="1537" customFormat="1" ht="28.5">
      <c r="A59" s="1682" t="s">
        <v>735</v>
      </c>
      <c r="B59" s="1683" t="s">
        <v>1025</v>
      </c>
      <c r="C59" s="1358">
        <f ca="1">ROUND(C60+C65+C66+C67,0)</f>
        <v>53922</v>
      </c>
      <c r="D59" s="1684" t="s">
        <v>1026</v>
      </c>
      <c r="E59" s="1407"/>
      <c r="F59" s="1610"/>
      <c r="I59" s="1766" t="s">
        <v>1150</v>
      </c>
      <c r="J59" s="1768" t="e">
        <f>IF(J56&lt;0.4,0.4,J56)</f>
        <v>#VALUE!</v>
      </c>
      <c r="K59" s="1753" t="s">
        <v>1151</v>
      </c>
      <c r="L59" s="1340" t="e">
        <f>ROUND(POWER(1+L53,L48-L49)*(POWER(1+L53,L49)-1)/(POWER(1+L53,L48)-1),4)</f>
        <v>#DIV/0!</v>
      </c>
      <c r="O59" s="1740" t="s">
        <v>1125</v>
      </c>
      <c r="P59" s="1735" t="str">
        <f>K60</f>
        <v>建筑物剩余耐用年限下的土地年期修正系数Kn</v>
      </c>
      <c r="Q59" s="1780" t="e">
        <f>L60</f>
        <v>#DIV/0!</v>
      </c>
      <c r="R59" s="1781" t="s">
        <v>1152</v>
      </c>
    </row>
    <row r="60" spans="1:18" s="1537" customFormat="1" ht="28.5">
      <c r="A60" s="1601" t="s">
        <v>1153</v>
      </c>
      <c r="B60" s="1570" t="s">
        <v>1031</v>
      </c>
      <c r="C60" s="1405">
        <f ca="1">ROUND(IF(项目基本情况!B7="自然人",C49*F60,C61+C62+C63),0)</f>
        <v>45220</v>
      </c>
      <c r="D60" s="1603" t="s">
        <v>1032</v>
      </c>
      <c r="E60" s="1624" t="s">
        <v>1033</v>
      </c>
      <c r="F60" s="1625" t="str">
        <f>IF(项目基本情况!B7="企业","",IF('数据-取费表'!B10="住宅",5%,IF(F50*F51*F52/12/(1+'数据-取费表'!F30)&gt;20000,12%,7%)))</f>
        <v/>
      </c>
      <c r="I60" s="1766" t="s">
        <v>1154</v>
      </c>
      <c r="J60" s="1767" t="str">
        <f>IF(OR(M48="住宅",J52&lt;L49,J57="是"),"——",ROUND(C29*J59,0))</f>
        <v>——</v>
      </c>
      <c r="K60" s="17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40" t="e">
        <f>ROUND(IF(E1="在建（套用方法）",M60,IF(E1="土地（套用方法）",N60,POWER(1+L53,L48-J52)*(POWER(1+L53,J52)-1)/(POWER(1+L53,L48)-1))),4)</f>
        <v>#DIV/0!</v>
      </c>
      <c r="M60" s="1730" t="e">
        <f>ROUND(POWER(1+L53,L48-(J52+'数据-取费表'!B25))*(POWER(1+L53,(J52+'数据-取费表'!B25))-1)/(POWER(1+L53,L48)-1),4)</f>
        <v>#DIV/0!</v>
      </c>
      <c r="N60" s="1730" t="e">
        <f>ROUND(POWER(1+L53,L48-(J52+'数据-取费表'!B21))*(POWER(1+L53,(J52+'数据-取费表'!B21))-1)/(POWER(1+L53,L48)-1),4)</f>
        <v>#DIV/0!</v>
      </c>
      <c r="O60" s="1734" t="s">
        <v>946</v>
      </c>
      <c r="P60" s="1735" t="str">
        <f>IF(C2="元","收益价值(元)","收益价值(万元)")</f>
        <v>收益价值(万元)</v>
      </c>
      <c r="Q60" s="1780">
        <f ca="1">ROUND(IF(C2="元",Q54+Q55,(Q54+Q55)/10000),0)</f>
        <v>443</v>
      </c>
      <c r="R60" s="1781" t="s">
        <v>1130</v>
      </c>
    </row>
    <row r="61" spans="1:18" s="1537" customFormat="1" ht="15.75">
      <c r="A61" s="1601" t="s">
        <v>1155</v>
      </c>
      <c r="B61" s="1570" t="s">
        <v>1035</v>
      </c>
      <c r="C61" s="1405">
        <f ca="1">IF(项目基本情况!B7="自然人","——",ROUND(C49*F61/(1+'数据-取费表'!F30),0))</f>
        <v>0</v>
      </c>
      <c r="D61" s="1624" t="s">
        <v>1036</v>
      </c>
      <c r="E61" s="1570" t="s">
        <v>1024</v>
      </c>
      <c r="F61" s="1615">
        <f t="shared" ref="F61:F67" si="0">F32</f>
        <v>5.6000000000000001E-2</v>
      </c>
      <c r="I61" s="1769" t="s">
        <v>1156</v>
      </c>
      <c r="J61" s="1770" t="str">
        <f>IF(OR(M48="住宅",J52&lt;L49,J57="是"),"0",ROUND(J60/(1+J53)^J54,0))</f>
        <v>0</v>
      </c>
      <c r="K61" s="1771" t="s">
        <v>1157</v>
      </c>
      <c r="L61" s="1770">
        <f>IF(OR(M48="住宅",L49&lt;J52),0,ROUND(L58*(L59/L60-1),0))</f>
        <v>0</v>
      </c>
      <c r="O61" s="1729" t="s">
        <v>1158</v>
      </c>
      <c r="P61" s="1730"/>
      <c r="Q61" s="1301"/>
      <c r="R61" s="1730"/>
    </row>
    <row r="62" spans="1:18" s="1537" customFormat="1">
      <c r="A62" s="1601" t="s">
        <v>1159</v>
      </c>
      <c r="B62" s="1570" t="s">
        <v>1039</v>
      </c>
      <c r="C62" s="1405">
        <f ca="1">IF(项目基本情况!B7="自然人","——",IF(D62="按租金收入计税",ROUND(C49*F62,0),IF(D62="按房产原值计税",ROUND(C58*F62*0.7,0),'数据-取费表'!B43)))</f>
        <v>44956</v>
      </c>
      <c r="D62" s="1627" t="s">
        <v>1040</v>
      </c>
      <c r="E62" s="1570" t="s">
        <v>1024</v>
      </c>
      <c r="F62" s="1609">
        <f t="shared" si="0"/>
        <v>0.12</v>
      </c>
      <c r="O62" s="1732" t="s">
        <v>1097</v>
      </c>
      <c r="P62" s="1733" t="s">
        <v>1098</v>
      </c>
      <c r="Q62" s="1778" t="s">
        <v>1099</v>
      </c>
      <c r="R62" s="1779" t="s">
        <v>1100</v>
      </c>
    </row>
    <row r="63" spans="1:18" s="1537" customFormat="1">
      <c r="A63" s="1664" t="s">
        <v>1160</v>
      </c>
      <c r="B63" s="1569" t="s">
        <v>1043</v>
      </c>
      <c r="C63" s="1629">
        <f>IF(项目基本情况!B7="自然人","——",ROUND(F63*F64,0))</f>
        <v>264</v>
      </c>
      <c r="D63" s="1630" t="s">
        <v>1044</v>
      </c>
      <c r="E63" s="1570" t="s">
        <v>1045</v>
      </c>
      <c r="F63" s="1614">
        <f t="shared" si="0"/>
        <v>24</v>
      </c>
      <c r="I63" s="1772" t="s">
        <v>1161</v>
      </c>
      <c r="J63" s="1773" t="s">
        <v>1162</v>
      </c>
      <c r="K63" s="1773" t="s">
        <v>1163</v>
      </c>
      <c r="L63" s="1773" t="s">
        <v>1164</v>
      </c>
      <c r="M63" s="1774" t="s">
        <v>1165</v>
      </c>
      <c r="O63" s="1734" t="s">
        <v>941</v>
      </c>
      <c r="P63" s="1735" t="s">
        <v>1101</v>
      </c>
      <c r="Q63" s="1780">
        <f ca="1">C40+J29</f>
        <v>4434133</v>
      </c>
      <c r="R63" s="1781" t="s">
        <v>1102</v>
      </c>
    </row>
    <row r="64" spans="1:18" s="1537" customFormat="1" ht="19.5">
      <c r="A64" s="1584"/>
      <c r="B64" s="1577"/>
      <c r="C64" s="1477"/>
      <c r="D64" s="1632"/>
      <c r="E64" s="1570" t="s">
        <v>1049</v>
      </c>
      <c r="F64" s="1571">
        <f t="shared" si="0"/>
        <v>11.01</v>
      </c>
      <c r="I64" s="1772" t="s">
        <v>1166</v>
      </c>
      <c r="J64" s="1773">
        <v>70</v>
      </c>
      <c r="K64" s="1773">
        <v>50</v>
      </c>
      <c r="L64" s="1773">
        <v>80</v>
      </c>
      <c r="M64" s="1775">
        <v>0.02</v>
      </c>
      <c r="O64" s="1734" t="s">
        <v>943</v>
      </c>
      <c r="P64" s="1735" t="s">
        <v>1138</v>
      </c>
      <c r="Q64" s="1780">
        <f>L61</f>
        <v>0</v>
      </c>
      <c r="R64" s="1781" t="s">
        <v>1139</v>
      </c>
    </row>
    <row r="65" spans="1:18" s="1537" customFormat="1" ht="22.5">
      <c r="A65" s="1601" t="s">
        <v>1167</v>
      </c>
      <c r="B65" s="1570" t="s">
        <v>1051</v>
      </c>
      <c r="C65" s="1405">
        <f ca="1">ROUND(C58*F65,0)</f>
        <v>8028</v>
      </c>
      <c r="D65" s="1624" t="s">
        <v>1085</v>
      </c>
      <c r="E65" s="1570" t="s">
        <v>1024</v>
      </c>
      <c r="F65" s="1634">
        <f t="shared" si="0"/>
        <v>1.4999999999999999E-2</v>
      </c>
      <c r="I65" s="1772" t="s">
        <v>1168</v>
      </c>
      <c r="J65" s="1773">
        <v>50</v>
      </c>
      <c r="K65" s="1773">
        <v>35</v>
      </c>
      <c r="L65" s="1773">
        <v>60</v>
      </c>
      <c r="M65" s="1774">
        <v>0</v>
      </c>
      <c r="O65" s="1740" t="s">
        <v>1107</v>
      </c>
      <c r="P65" s="1735" t="s">
        <v>1142</v>
      </c>
      <c r="Q65" s="1787">
        <f ca="1">L52</f>
        <v>64809509</v>
      </c>
      <c r="R65" s="1788" t="s">
        <v>1169</v>
      </c>
    </row>
    <row r="66" spans="1:18" s="1537" customFormat="1" ht="19.5">
      <c r="A66" s="1601" t="s">
        <v>1170</v>
      </c>
      <c r="B66" s="1570" t="s">
        <v>1055</v>
      </c>
      <c r="C66" s="1405">
        <f ca="1">ROUND(C57*F66,0)</f>
        <v>674</v>
      </c>
      <c r="D66" s="1624" t="s">
        <v>1056</v>
      </c>
      <c r="E66" s="1570" t="s">
        <v>1024</v>
      </c>
      <c r="F66" s="1635">
        <f t="shared" si="0"/>
        <v>1.5E-3</v>
      </c>
      <c r="I66" s="1772" t="s">
        <v>1171</v>
      </c>
      <c r="J66" s="1773">
        <v>40</v>
      </c>
      <c r="K66" s="1773">
        <v>30</v>
      </c>
      <c r="L66" s="1773">
        <v>50</v>
      </c>
      <c r="M66" s="1775">
        <v>0.02</v>
      </c>
      <c r="O66" s="1740" t="s">
        <v>1112</v>
      </c>
      <c r="P66" s="1786" t="s">
        <v>1172</v>
      </c>
      <c r="Q66" s="1780">
        <f ca="1">ROUND(Q67-Q68*Q69,0)</f>
        <v>196025</v>
      </c>
      <c r="R66" s="1781"/>
    </row>
    <row r="67" spans="1:18" s="1537" customFormat="1">
      <c r="A67" s="1601" t="s">
        <v>1173</v>
      </c>
      <c r="B67" s="1570" t="s">
        <v>1041</v>
      </c>
      <c r="C67" s="1405">
        <f ca="1">ROUND(C49*F67,0)</f>
        <v>0</v>
      </c>
      <c r="D67" s="1624" t="s">
        <v>1059</v>
      </c>
      <c r="E67" s="1570" t="s">
        <v>1024</v>
      </c>
      <c r="F67" s="1578">
        <f t="shared" si="0"/>
        <v>0.01</v>
      </c>
      <c r="O67" s="1740" t="s">
        <v>1174</v>
      </c>
      <c r="P67" s="1786" t="s">
        <v>1175</v>
      </c>
      <c r="Q67" s="1780">
        <f ca="1">C39</f>
        <v>234237</v>
      </c>
      <c r="R67" s="1781" t="s">
        <v>1102</v>
      </c>
    </row>
    <row r="68" spans="1:18">
      <c r="A68" s="1682" t="s">
        <v>738</v>
      </c>
      <c r="B68" s="1783" t="s">
        <v>1062</v>
      </c>
      <c r="C68" s="1358">
        <f ca="1">C49-C59</f>
        <v>-53922</v>
      </c>
      <c r="D68" s="1603" t="s">
        <v>1063</v>
      </c>
      <c r="E68" s="1784"/>
      <c r="F68" s="1785"/>
      <c r="H68" s="1537"/>
      <c r="I68" s="1537"/>
      <c r="J68" s="1537"/>
      <c r="K68" s="1537"/>
      <c r="L68" s="1537"/>
      <c r="M68" s="1537"/>
      <c r="O68" s="1740" t="s">
        <v>1176</v>
      </c>
      <c r="P68" s="1786" t="s">
        <v>1177</v>
      </c>
      <c r="Q68" s="1780">
        <f ca="1">C13</f>
        <v>449558</v>
      </c>
      <c r="R68" s="1781" t="s">
        <v>1102</v>
      </c>
    </row>
    <row r="69" spans="1:18">
      <c r="A69" s="1562" t="s">
        <v>765</v>
      </c>
      <c r="B69" s="1563" t="s">
        <v>1090</v>
      </c>
      <c r="C69" s="1564">
        <f ca="1">ROUND(C68*(1-((1+F71)/(1+F69))^F70)/(F69-F71),0)</f>
        <v>-755908</v>
      </c>
      <c r="D69" s="1630" t="s">
        <v>1068</v>
      </c>
      <c r="E69" s="1570" t="s">
        <v>1069</v>
      </c>
      <c r="F69" s="1578">
        <f>F40</f>
        <v>0.05</v>
      </c>
      <c r="H69" s="1537"/>
      <c r="I69" s="1537"/>
      <c r="J69" s="1537"/>
      <c r="K69" s="1537"/>
      <c r="L69" s="1537"/>
      <c r="M69" s="1537"/>
      <c r="O69" s="1740" t="s">
        <v>1178</v>
      </c>
      <c r="P69" s="1786" t="s">
        <v>1179</v>
      </c>
      <c r="Q69" s="1782">
        <f>J35</f>
        <v>8.5000000000000006E-2</v>
      </c>
      <c r="R69" s="1781"/>
    </row>
    <row r="70" spans="1:18">
      <c r="A70" s="1576"/>
      <c r="B70" s="1573"/>
      <c r="C70" s="1574"/>
      <c r="D70" s="1641" t="s">
        <v>1072</v>
      </c>
      <c r="E70" s="1570" t="s">
        <v>1073</v>
      </c>
      <c r="F70" s="1643">
        <f>F41</f>
        <v>24.74</v>
      </c>
      <c r="H70" s="1537"/>
      <c r="I70" s="1537"/>
      <c r="J70" s="1537"/>
      <c r="K70" s="1537"/>
      <c r="L70" s="1537"/>
      <c r="M70" s="1537"/>
      <c r="O70" s="1740" t="s">
        <v>1118</v>
      </c>
      <c r="P70" s="1735" t="s">
        <v>1145</v>
      </c>
      <c r="Q70" s="1782">
        <f>L53</f>
        <v>0</v>
      </c>
      <c r="R70" s="1781"/>
    </row>
    <row r="71" spans="1:18" ht="19.5">
      <c r="A71" s="1589"/>
      <c r="B71" s="1645"/>
      <c r="C71" s="1598"/>
      <c r="D71" s="1632"/>
      <c r="E71" s="1570" t="s">
        <v>1076</v>
      </c>
      <c r="F71" s="1669"/>
      <c r="H71" s="1537"/>
      <c r="M71" s="1537"/>
      <c r="O71" s="1740" t="s">
        <v>1125</v>
      </c>
      <c r="P71" s="1735" t="s">
        <v>1148</v>
      </c>
      <c r="Q71" s="1780" t="e">
        <f>L59</f>
        <v>#DIV/0!</v>
      </c>
      <c r="R71" s="1781" t="s">
        <v>1149</v>
      </c>
    </row>
    <row r="72" spans="1:18">
      <c r="A72" s="1619" t="s">
        <v>1078</v>
      </c>
      <c r="B72" s="1646" t="s">
        <v>1093</v>
      </c>
      <c r="C72" s="1647">
        <f ca="1">ROUND(C69/F72,0)</f>
        <v>-7050</v>
      </c>
      <c r="D72" s="1648" t="s">
        <v>1094</v>
      </c>
      <c r="E72" s="1649" t="s">
        <v>1095</v>
      </c>
      <c r="F72" s="1650">
        <f>F43</f>
        <v>107.22</v>
      </c>
      <c r="O72" s="1740" t="s">
        <v>1180</v>
      </c>
      <c r="P72" s="1735" t="str">
        <f>K60</f>
        <v>建筑物剩余耐用年限下的土地年期修正系数Kn</v>
      </c>
      <c r="Q72" s="1780" t="e">
        <f>L60</f>
        <v>#DIV/0!</v>
      </c>
      <c r="R72" s="1781" t="s">
        <v>1152</v>
      </c>
    </row>
    <row r="73" spans="1:18">
      <c r="A73" s="1537"/>
      <c r="B73" s="1540"/>
      <c r="C73" s="1540"/>
      <c r="D73" s="1537"/>
      <c r="E73" s="1537"/>
      <c r="F73" s="1537"/>
      <c r="O73" s="1734" t="s">
        <v>946</v>
      </c>
      <c r="P73" s="1735" t="str">
        <f>IF(C2="元","收益价值(元)","收益价值(万元)")</f>
        <v>收益价值(万元)</v>
      </c>
      <c r="Q73" s="1780">
        <f ca="1">ROUND(IF(C2="元",Q63+Q64,(Q63+Q64)/10000),0)</f>
        <v>443</v>
      </c>
      <c r="R73" s="1781" t="s">
        <v>1130</v>
      </c>
    </row>
    <row r="74" spans="1:18">
      <c r="A74" s="1537"/>
      <c r="B74" s="1540"/>
      <c r="C74" s="1540"/>
      <c r="D74" s="1537"/>
      <c r="E74" s="1537"/>
      <c r="F74" s="1537"/>
    </row>
    <row r="75" spans="1:18">
      <c r="A75" s="1537"/>
      <c r="B75" s="1540"/>
      <c r="C75" s="1540"/>
      <c r="D75" s="1537"/>
      <c r="E75" s="1537"/>
      <c r="F75" s="1537"/>
    </row>
  </sheetData>
  <sheetProtection password="C66D" sheet="1" objects="1" scenarios="1" formatCells="0" formatColumns="0" formatRows="0"/>
  <mergeCells count="1">
    <mergeCell ref="K54:L54"/>
  </mergeCells>
  <phoneticPr fontId="205"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L56">
      <formula1>"比较法,基准地价,收益还原"</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orientation="portrait"/>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14"/>
      <c r="B1" s="2715"/>
    </row>
    <row r="2" spans="1:7">
      <c r="A2" s="2714"/>
      <c r="B2" s="2715"/>
    </row>
    <row r="3" spans="1:7">
      <c r="A3" s="2714"/>
      <c r="B3" s="2715"/>
    </row>
    <row r="4" spans="1:7">
      <c r="A4" s="2714"/>
      <c r="B4" s="2715"/>
    </row>
    <row r="5" spans="1:7">
      <c r="A5" s="2714"/>
      <c r="B5" s="2715"/>
    </row>
    <row r="6" spans="1:7">
      <c r="A6" s="2714"/>
      <c r="B6" s="2715"/>
    </row>
    <row r="7" spans="1:7">
      <c r="A7" s="2714"/>
      <c r="B7" s="2715"/>
    </row>
    <row r="8" spans="1:7">
      <c r="A8" s="2716" t="s">
        <v>71</v>
      </c>
      <c r="B8" s="2717" t="s">
        <v>72</v>
      </c>
      <c r="C8" s="2718"/>
    </row>
    <row r="9" spans="1:7">
      <c r="A9" s="2714"/>
      <c r="B9" s="2719" t="str">
        <f>项目基本情况!B1</f>
        <v>北京市房地产抵押价值预评估</v>
      </c>
      <c r="C9" s="2720"/>
      <c r="D9" s="2721"/>
      <c r="E9" s="2721"/>
      <c r="F9" s="2721"/>
      <c r="G9" s="2721"/>
    </row>
    <row r="10" spans="1:7">
      <c r="A10" s="2714"/>
      <c r="B10" s="2722"/>
      <c r="C10" s="2720"/>
      <c r="D10" s="2721"/>
      <c r="E10" s="2721"/>
      <c r="F10" s="2721"/>
      <c r="G10" s="2721"/>
    </row>
    <row r="11" spans="1:7">
      <c r="A11" s="2716" t="s">
        <v>71</v>
      </c>
      <c r="B11" s="2717" t="s">
        <v>73</v>
      </c>
      <c r="C11" s="2718"/>
    </row>
    <row r="12" spans="1:7">
      <c r="A12" s="2714"/>
      <c r="B12" s="2723" t="str">
        <f>项目基本情况!B4</f>
        <v>xx</v>
      </c>
      <c r="C12" s="2718"/>
    </row>
    <row r="13" spans="1:7">
      <c r="A13" s="2714"/>
      <c r="B13" s="2717"/>
      <c r="C13" s="2718"/>
    </row>
    <row r="14" spans="1:7">
      <c r="A14" s="2716" t="s">
        <v>71</v>
      </c>
      <c r="B14" s="2717" t="s">
        <v>74</v>
      </c>
      <c r="C14" s="2718"/>
    </row>
    <row r="15" spans="1:7">
      <c r="A15" s="2714"/>
      <c r="B15" s="2723" t="s">
        <v>75</v>
      </c>
      <c r="C15" s="2718"/>
    </row>
    <row r="16" spans="1:7">
      <c r="A16" s="2714"/>
      <c r="B16" s="2717"/>
      <c r="C16" s="2718"/>
    </row>
    <row r="17" spans="1:5">
      <c r="A17" s="2716" t="s">
        <v>71</v>
      </c>
      <c r="B17" s="2717" t="s">
        <v>76</v>
      </c>
      <c r="C17" s="2718"/>
    </row>
    <row r="18" spans="1:5" s="2713" customFormat="1">
      <c r="A18" s="2724"/>
      <c r="B18" s="2723" t="str">
        <f ca="1">CONCATENATE(项目基本情况!B3,"（注册号:",项目基本情况!C3,"）、",项目基本情况!D3,"（注册号:",项目基本情况!E3,")")</f>
        <v>吴薇（注册号:1419970001）、崔锴（注册号:1120100036)</v>
      </c>
      <c r="C18" s="2725"/>
      <c r="E18" s="2725"/>
    </row>
    <row r="19" spans="1:5">
      <c r="A19" s="2714"/>
      <c r="B19" s="2717"/>
      <c r="C19" s="2718"/>
    </row>
    <row r="20" spans="1:5">
      <c r="A20" s="2716" t="s">
        <v>71</v>
      </c>
      <c r="B20" s="2717" t="s">
        <v>77</v>
      </c>
      <c r="C20" s="2718"/>
    </row>
    <row r="21" spans="1:5">
      <c r="A21" s="2714"/>
      <c r="B21" s="2723" t="str">
        <f>"康正预评字"&amp;项目基本情况!G1&amp;"号"</f>
        <v>康正预评字号</v>
      </c>
    </row>
    <row r="22" spans="1:5">
      <c r="A22" s="2714"/>
      <c r="B22" s="2715"/>
    </row>
    <row r="23" spans="1:5">
      <c r="B23" s="2726"/>
    </row>
  </sheetData>
  <sheetProtection sheet="1" objects="1" scenarios="1" formatCells="0" formatRows="0" insertRows="0" deleteRows="0"/>
  <phoneticPr fontId="205"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ColWidth="9" defaultRowHeight="13.5"/>
  <cols>
    <col min="1" max="1" width="10.5" customWidth="1"/>
    <col min="2" max="2" width="12.875" customWidth="1"/>
    <col min="3" max="3" width="8.75" customWidth="1"/>
  </cols>
  <sheetData>
    <row r="1" spans="1:9" ht="14.25">
      <c r="A1" s="2983" t="s">
        <v>1181</v>
      </c>
      <c r="B1" s="2984"/>
      <c r="C1" s="2985"/>
      <c r="D1" s="2986">
        <f>SUM(I10,I15,I20,I21,I23)</f>
        <v>0</v>
      </c>
      <c r="E1" s="2986"/>
      <c r="F1" s="2986"/>
      <c r="G1" s="2986"/>
      <c r="H1" s="2986"/>
      <c r="I1" s="2987"/>
    </row>
    <row r="2" spans="1:9">
      <c r="A2" s="2995" t="s">
        <v>1182</v>
      </c>
      <c r="B2" s="2988" t="s">
        <v>1183</v>
      </c>
      <c r="C2" s="2988"/>
      <c r="D2" s="1505" t="s">
        <v>1184</v>
      </c>
      <c r="E2" s="1505" t="s">
        <v>1185</v>
      </c>
      <c r="F2" s="1505" t="s">
        <v>1186</v>
      </c>
      <c r="G2" s="1505" t="s">
        <v>1187</v>
      </c>
      <c r="H2" s="1505" t="s">
        <v>1188</v>
      </c>
      <c r="I2" s="1529" t="s">
        <v>1189</v>
      </c>
    </row>
    <row r="3" spans="1:9">
      <c r="A3" s="2995"/>
      <c r="B3" s="2988" t="s">
        <v>1190</v>
      </c>
      <c r="C3" s="2988"/>
      <c r="D3" s="1506"/>
      <c r="E3" s="1505"/>
      <c r="F3" s="1507"/>
      <c r="G3" s="1507"/>
      <c r="H3" s="1508"/>
      <c r="I3" s="1530">
        <f>ROUND(D3*E3*F3*G3*H3/10000,0)</f>
        <v>0</v>
      </c>
    </row>
    <row r="4" spans="1:9">
      <c r="A4" s="2995"/>
      <c r="B4" s="2988" t="s">
        <v>1191</v>
      </c>
      <c r="C4" s="2988"/>
      <c r="D4" s="1506"/>
      <c r="E4" s="1505"/>
      <c r="F4" s="1507"/>
      <c r="G4" s="1507"/>
      <c r="H4" s="1508"/>
      <c r="I4" s="1530">
        <f t="shared" ref="I4:I9" si="0">ROUND(D4*E4*F4*G4*H4/10000,0)</f>
        <v>0</v>
      </c>
    </row>
    <row r="5" spans="1:9">
      <c r="A5" s="2995"/>
      <c r="B5" s="2988" t="s">
        <v>1192</v>
      </c>
      <c r="C5" s="2988"/>
      <c r="D5" s="1506"/>
      <c r="E5" s="1505"/>
      <c r="F5" s="1507"/>
      <c r="G5" s="1507"/>
      <c r="H5" s="1508"/>
      <c r="I5" s="1530">
        <f t="shared" si="0"/>
        <v>0</v>
      </c>
    </row>
    <row r="6" spans="1:9">
      <c r="A6" s="2995"/>
      <c r="B6" s="2988" t="s">
        <v>1193</v>
      </c>
      <c r="C6" s="2988"/>
      <c r="D6" s="1506"/>
      <c r="E6" s="1505"/>
      <c r="F6" s="1507"/>
      <c r="G6" s="1507"/>
      <c r="H6" s="1508"/>
      <c r="I6" s="1530">
        <f t="shared" si="0"/>
        <v>0</v>
      </c>
    </row>
    <row r="7" spans="1:9">
      <c r="A7" s="2995"/>
      <c r="B7" s="2988" t="s">
        <v>1194</v>
      </c>
      <c r="C7" s="2988"/>
      <c r="D7" s="1506"/>
      <c r="E7" s="1505"/>
      <c r="F7" s="1507"/>
      <c r="G7" s="1507"/>
      <c r="H7" s="1508"/>
      <c r="I7" s="1530">
        <f t="shared" si="0"/>
        <v>0</v>
      </c>
    </row>
    <row r="8" spans="1:9">
      <c r="A8" s="2995"/>
      <c r="B8" s="2988" t="s">
        <v>1195</v>
      </c>
      <c r="C8" s="2988"/>
      <c r="D8" s="1506"/>
      <c r="E8" s="1505"/>
      <c r="F8" s="1507"/>
      <c r="G8" s="1507"/>
      <c r="H8" s="1508"/>
      <c r="I8" s="1530">
        <f t="shared" si="0"/>
        <v>0</v>
      </c>
    </row>
    <row r="9" spans="1:9">
      <c r="A9" s="2995"/>
      <c r="B9" s="2988" t="s">
        <v>1196</v>
      </c>
      <c r="C9" s="2988"/>
      <c r="D9" s="1506"/>
      <c r="E9" s="1505"/>
      <c r="F9" s="1507"/>
      <c r="G9" s="1507"/>
      <c r="H9" s="1508"/>
      <c r="I9" s="1530">
        <f t="shared" si="0"/>
        <v>0</v>
      </c>
    </row>
    <row r="10" spans="1:9">
      <c r="A10" s="2995"/>
      <c r="B10" s="2989" t="s">
        <v>445</v>
      </c>
      <c r="C10" s="2989"/>
      <c r="D10" s="1509">
        <v>527</v>
      </c>
      <c r="E10" s="1509" t="e">
        <f>ROUND(D1*10000/D10/H9,0)</f>
        <v>#DIV/0!</v>
      </c>
      <c r="F10" s="1510"/>
      <c r="G10" s="1510"/>
      <c r="H10" s="1511"/>
      <c r="I10" s="1531">
        <f>SUM(I3:I9)</f>
        <v>0</v>
      </c>
    </row>
    <row r="11" spans="1:9" ht="14.25">
      <c r="A11" s="2995" t="s">
        <v>1197</v>
      </c>
      <c r="B11" s="2988" t="s">
        <v>1198</v>
      </c>
      <c r="C11" s="2988"/>
      <c r="D11" s="1506" t="s">
        <v>1199</v>
      </c>
      <c r="E11" s="1506" t="s">
        <v>1200</v>
      </c>
      <c r="F11" s="1507" t="s">
        <v>1201</v>
      </c>
      <c r="G11" s="1507" t="s">
        <v>1188</v>
      </c>
      <c r="H11" s="1512" t="s">
        <v>121</v>
      </c>
      <c r="I11" s="1529" t="s">
        <v>1189</v>
      </c>
    </row>
    <row r="12" spans="1:9">
      <c r="A12" s="2995"/>
      <c r="B12" s="2988" t="s">
        <v>1202</v>
      </c>
      <c r="C12" s="2988"/>
      <c r="D12" s="1506"/>
      <c r="E12" s="1506"/>
      <c r="F12" s="1507"/>
      <c r="G12" s="1508"/>
      <c r="H12" s="1513"/>
      <c r="I12" s="1529">
        <f>ROUND(D12*E12*F12*G12/10000,0)</f>
        <v>0</v>
      </c>
    </row>
    <row r="13" spans="1:9">
      <c r="A13" s="2995"/>
      <c r="B13" s="2988" t="s">
        <v>1203</v>
      </c>
      <c r="C13" s="2988"/>
      <c r="D13" s="1506"/>
      <c r="E13" s="1506"/>
      <c r="F13" s="1507"/>
      <c r="G13" s="1508"/>
      <c r="H13" s="1513"/>
      <c r="I13" s="1529">
        <f>ROUND(D13*E13*F13*G13/10000,0)</f>
        <v>0</v>
      </c>
    </row>
    <row r="14" spans="1:9">
      <c r="A14" s="2995"/>
      <c r="B14" s="2988" t="s">
        <v>1204</v>
      </c>
      <c r="C14" s="2988"/>
      <c r="D14" s="1506"/>
      <c r="E14" s="1506"/>
      <c r="F14" s="1507"/>
      <c r="G14" s="1508"/>
      <c r="H14" s="1513"/>
      <c r="I14" s="1529">
        <f>ROUND(D14*E14*F14*G14/10000,0)</f>
        <v>0</v>
      </c>
    </row>
    <row r="15" spans="1:9">
      <c r="A15" s="2995"/>
      <c r="B15" s="2989" t="s">
        <v>445</v>
      </c>
      <c r="C15" s="2989"/>
      <c r="D15" s="1509"/>
      <c r="E15" s="1509">
        <f>SUM(E12:E14)</f>
        <v>0</v>
      </c>
      <c r="F15" s="1510"/>
      <c r="G15" s="1508"/>
      <c r="H15" s="1513"/>
      <c r="I15" s="1532">
        <f>SUM(I12:I14)</f>
        <v>0</v>
      </c>
    </row>
    <row r="16" spans="1:9" ht="24">
      <c r="A16" s="2995" t="s">
        <v>1205</v>
      </c>
      <c r="B16" s="2988" t="s">
        <v>1206</v>
      </c>
      <c r="C16" s="2988"/>
      <c r="D16" s="1506" t="s">
        <v>1184</v>
      </c>
      <c r="E16" s="1514" t="s">
        <v>1207</v>
      </c>
      <c r="F16" s="1507" t="s">
        <v>1208</v>
      </c>
      <c r="G16" s="1508" t="s">
        <v>1188</v>
      </c>
      <c r="H16" s="1512" t="s">
        <v>121</v>
      </c>
      <c r="I16" s="1529" t="s">
        <v>1189</v>
      </c>
    </row>
    <row r="17" spans="1:9" ht="14.25">
      <c r="A17" s="2995"/>
      <c r="B17" s="2988" t="s">
        <v>1209</v>
      </c>
      <c r="C17" s="2988"/>
      <c r="D17" s="1506"/>
      <c r="E17" s="1506"/>
      <c r="F17" s="1507"/>
      <c r="G17" s="1508"/>
      <c r="H17" s="1515"/>
      <c r="I17" s="1533">
        <f>ROUND(D17*E17*F17*G17/10000,0)</f>
        <v>0</v>
      </c>
    </row>
    <row r="18" spans="1:9" ht="14.25">
      <c r="A18" s="2995"/>
      <c r="B18" s="2988" t="s">
        <v>1210</v>
      </c>
      <c r="C18" s="2988"/>
      <c r="D18" s="1506"/>
      <c r="E18" s="1506"/>
      <c r="F18" s="1507"/>
      <c r="G18" s="1508"/>
      <c r="H18" s="1515"/>
      <c r="I18" s="1533">
        <f>ROUND(D18*E18*F18*G18/10000,0)</f>
        <v>0</v>
      </c>
    </row>
    <row r="19" spans="1:9" ht="14.25">
      <c r="A19" s="2995"/>
      <c r="B19" s="2988" t="s">
        <v>1211</v>
      </c>
      <c r="C19" s="2988"/>
      <c r="D19" s="1506"/>
      <c r="E19" s="1506"/>
      <c r="F19" s="1507"/>
      <c r="G19" s="1508"/>
      <c r="H19" s="1515"/>
      <c r="I19" s="1533">
        <f>ROUND(D19*E19*F19*G19/10000,0)</f>
        <v>0</v>
      </c>
    </row>
    <row r="20" spans="1:9">
      <c r="A20" s="2995"/>
      <c r="B20" s="2989" t="s">
        <v>445</v>
      </c>
      <c r="C20" s="2989"/>
      <c r="D20" s="1509">
        <f>SUM(D17:D19)</f>
        <v>0</v>
      </c>
      <c r="E20" s="1509"/>
      <c r="F20" s="1510"/>
      <c r="G20" s="1508"/>
      <c r="H20" s="1513"/>
      <c r="I20" s="1532">
        <f>SUM(I17:I19)</f>
        <v>0</v>
      </c>
    </row>
    <row r="21" spans="1:9">
      <c r="A21" s="2995" t="s">
        <v>1212</v>
      </c>
      <c r="B21" s="3003"/>
      <c r="C21" s="3003"/>
      <c r="D21" s="3003"/>
      <c r="E21" s="3003"/>
      <c r="F21" s="3003"/>
      <c r="G21" s="3003"/>
      <c r="H21" s="1516">
        <v>0.1</v>
      </c>
      <c r="I21" s="1531">
        <f>ROUND(I10*H21,0)</f>
        <v>0</v>
      </c>
    </row>
    <row r="22" spans="1:9" ht="14.25">
      <c r="A22" s="2996" t="s">
        <v>1213</v>
      </c>
      <c r="B22" s="2997"/>
      <c r="C22" s="2998"/>
      <c r="D22" s="1517" t="s">
        <v>441</v>
      </c>
      <c r="E22" s="1517" t="s">
        <v>1214</v>
      </c>
      <c r="F22" s="1518" t="s">
        <v>1188</v>
      </c>
      <c r="G22" s="1518" t="s">
        <v>1215</v>
      </c>
      <c r="H22" s="1512" t="s">
        <v>121</v>
      </c>
      <c r="I22" s="1529" t="s">
        <v>1189</v>
      </c>
    </row>
    <row r="23" spans="1:9">
      <c r="A23" s="2999"/>
      <c r="B23" s="3000"/>
      <c r="C23" s="3001"/>
      <c r="D23" s="1519"/>
      <c r="E23" s="1519"/>
      <c r="F23" s="1519"/>
      <c r="G23" s="1520"/>
      <c r="H23" s="1521"/>
      <c r="I23" s="1534">
        <f>ROUND(E23*D23*F23*(1-G23)/10000,0)</f>
        <v>0</v>
      </c>
    </row>
    <row r="26" spans="1:9">
      <c r="A26" s="1522" t="s">
        <v>1216</v>
      </c>
      <c r="B26" s="1522"/>
      <c r="C26" s="1522"/>
      <c r="D26" s="1522"/>
      <c r="E26" s="2994">
        <f>C27-C30-C31-C32</f>
        <v>0</v>
      </c>
      <c r="F26" s="2994"/>
      <c r="G26" s="2994"/>
      <c r="H26" s="1523" t="s">
        <v>1217</v>
      </c>
    </row>
    <row r="27" spans="1:9">
      <c r="A27" s="1524">
        <v>1</v>
      </c>
      <c r="B27" s="1525" t="s">
        <v>1218</v>
      </c>
      <c r="C27" s="1525">
        <f>C28+C29</f>
        <v>0</v>
      </c>
      <c r="D27" s="1525"/>
      <c r="E27" s="2990"/>
      <c r="F27" s="2990"/>
      <c r="G27" s="2990"/>
    </row>
    <row r="28" spans="1:9">
      <c r="A28" s="1526" t="s">
        <v>1219</v>
      </c>
      <c r="B28" s="1525" t="s">
        <v>1220</v>
      </c>
      <c r="C28" s="1525"/>
      <c r="D28" s="1525"/>
      <c r="E28" s="2990"/>
      <c r="F28" s="2990"/>
      <c r="G28" s="2990"/>
    </row>
    <row r="29" spans="1:9">
      <c r="A29" s="1526" t="s">
        <v>1221</v>
      </c>
      <c r="B29" s="1525" t="s">
        <v>1222</v>
      </c>
      <c r="C29" s="1525"/>
      <c r="D29" s="1525"/>
      <c r="E29" s="1525" t="s">
        <v>1223</v>
      </c>
      <c r="F29" s="1525"/>
      <c r="G29" s="1525"/>
    </row>
    <row r="30" spans="1:9">
      <c r="A30" s="1524">
        <v>2</v>
      </c>
      <c r="B30" s="1525" t="s">
        <v>1224</v>
      </c>
      <c r="C30" s="1525">
        <f>C27*D30</f>
        <v>0</v>
      </c>
      <c r="D30" s="1527">
        <v>0.2</v>
      </c>
      <c r="E30" s="1525" t="s">
        <v>1225</v>
      </c>
      <c r="F30" s="1525"/>
      <c r="G30" s="1525"/>
    </row>
    <row r="31" spans="1:9">
      <c r="A31" s="1524">
        <v>3</v>
      </c>
      <c r="B31" s="1525" t="s">
        <v>1226</v>
      </c>
      <c r="C31" s="1525">
        <f>C25*D31</f>
        <v>0</v>
      </c>
      <c r="D31" s="1527">
        <v>0.15</v>
      </c>
      <c r="E31" s="1525" t="s">
        <v>1227</v>
      </c>
      <c r="F31" s="1525"/>
      <c r="G31" s="1525"/>
    </row>
    <row r="32" spans="1:9">
      <c r="A32" s="1524">
        <v>4</v>
      </c>
      <c r="B32" s="1525" t="s">
        <v>1228</v>
      </c>
      <c r="C32" s="1525">
        <f>C27*D32</f>
        <v>0</v>
      </c>
      <c r="D32" s="1527">
        <v>0.05</v>
      </c>
      <c r="E32" s="3002"/>
      <c r="F32" s="3002"/>
      <c r="G32" s="3002"/>
    </row>
    <row r="33" spans="1:7" hidden="1">
      <c r="A33" s="2991" t="s">
        <v>1229</v>
      </c>
      <c r="B33" s="2992"/>
      <c r="C33" s="2992"/>
      <c r="D33" s="2993"/>
      <c r="E33" s="2994"/>
      <c r="F33" s="2994"/>
      <c r="G33" s="2994"/>
    </row>
    <row r="34" spans="1:7" hidden="1">
      <c r="A34" s="1528">
        <v>1</v>
      </c>
      <c r="B34" s="1525" t="s">
        <v>1230</v>
      </c>
      <c r="C34" s="1525"/>
      <c r="D34" s="1525"/>
      <c r="E34" s="2990"/>
      <c r="F34" s="2990"/>
      <c r="G34" s="2990"/>
    </row>
    <row r="35" spans="1:7" hidden="1">
      <c r="A35" s="1528">
        <v>2</v>
      </c>
      <c r="B35" s="1525" t="s">
        <v>1231</v>
      </c>
      <c r="C35" s="1525"/>
      <c r="D35" s="1525"/>
      <c r="E35" s="2990"/>
      <c r="F35" s="2990"/>
      <c r="G35" s="2990"/>
    </row>
    <row r="36" spans="1:7" hidden="1">
      <c r="A36" s="1528">
        <v>3</v>
      </c>
      <c r="B36" s="1525" t="s">
        <v>1232</v>
      </c>
      <c r="C36" s="1525"/>
      <c r="D36" s="1525"/>
      <c r="E36" s="2990"/>
      <c r="F36" s="2990"/>
      <c r="G36" s="2990"/>
    </row>
    <row r="37" spans="1:7" hidden="1">
      <c r="A37" s="1528">
        <v>4</v>
      </c>
      <c r="B37" s="1525" t="s">
        <v>1233</v>
      </c>
      <c r="C37" s="1525"/>
      <c r="D37" s="1525"/>
      <c r="E37" s="2990"/>
      <c r="F37" s="2990"/>
      <c r="G37" s="2990"/>
    </row>
    <row r="38" spans="1:7" hidden="1">
      <c r="A38" s="2991" t="s">
        <v>1234</v>
      </c>
      <c r="B38" s="2992"/>
      <c r="C38" s="2992"/>
      <c r="D38" s="2993"/>
      <c r="E38" s="2994"/>
      <c r="F38" s="2994"/>
      <c r="G38" s="2994"/>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05"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34" zoomScale="90" zoomScaleNormal="90" workbookViewId="0">
      <selection activeCell="D58" sqref="D58"/>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1235</v>
      </c>
      <c r="B1" s="1138" t="s">
        <v>1236</v>
      </c>
      <c r="C1" s="1233" t="s">
        <v>992</v>
      </c>
      <c r="D1" s="1078"/>
      <c r="E1" s="1079" t="s">
        <v>1237</v>
      </c>
      <c r="F1" s="1080" t="s">
        <v>1238</v>
      </c>
      <c r="G1" s="1078"/>
      <c r="H1" s="1078"/>
      <c r="I1" s="1078"/>
      <c r="J1" s="1078"/>
      <c r="K1" s="1136"/>
      <c r="L1" s="1137"/>
      <c r="M1" s="1138"/>
      <c r="N1" s="1138"/>
      <c r="O1" s="1138"/>
      <c r="P1" s="1138"/>
      <c r="Q1" s="1138"/>
      <c r="R1" s="1138"/>
      <c r="S1" s="1138"/>
      <c r="T1" s="1138"/>
      <c r="U1" s="1138"/>
      <c r="V1" s="1138"/>
      <c r="W1" s="1138"/>
      <c r="X1" s="1138"/>
      <c r="Y1" s="1138"/>
      <c r="Z1" s="1138"/>
      <c r="AA1" s="1138"/>
      <c r="AB1" s="1496"/>
      <c r="AC1" s="1148"/>
    </row>
    <row r="2" spans="1:29" s="702" customFormat="1" ht="28.5" customHeight="1">
      <c r="A2" s="1081" t="s">
        <v>832</v>
      </c>
      <c r="B2" s="1082">
        <f>IF(D2="——",IF(C2="元",ROUND(C50*D3,0),ROUND(C50*D3/10000,0)),IF(C2="元",ROUND(C50*D3,0),ROUND(C50*D3/10000,0))-E2)</f>
        <v>451</v>
      </c>
      <c r="C2" s="1083" t="str">
        <f>'数据-取费表'!B3</f>
        <v>万元</v>
      </c>
      <c r="D2" s="1084" t="s">
        <v>121</v>
      </c>
      <c r="E2" s="1491"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1497"/>
      <c r="AC2" s="912"/>
    </row>
    <row r="3" spans="1:29" s="702" customFormat="1" ht="28.5" customHeight="1">
      <c r="A3" s="407" t="s">
        <v>833</v>
      </c>
      <c r="B3" s="721">
        <f>ROUND(IF(D2="——",C50,IF(C2="万元",B2*10000/D3,B2/D3)),0)</f>
        <v>42092</v>
      </c>
      <c r="C3" s="1088" t="s">
        <v>1239</v>
      </c>
      <c r="D3" s="1089">
        <f>IF(C1="仅计算典型户型",'数据-取费表'!E5,'数据-取费表'!B5)</f>
        <v>107.22</v>
      </c>
      <c r="E3" s="1246"/>
      <c r="F3" s="720"/>
      <c r="G3" s="719"/>
      <c r="H3" s="719"/>
      <c r="I3" s="719"/>
      <c r="J3" s="719"/>
      <c r="K3" s="856"/>
      <c r="L3" s="857"/>
      <c r="M3" s="858"/>
      <c r="N3" s="858"/>
      <c r="O3" s="858"/>
      <c r="P3" s="854"/>
      <c r="Q3" s="854"/>
      <c r="R3" s="854"/>
      <c r="S3" s="854"/>
      <c r="T3" s="854"/>
      <c r="U3" s="854"/>
      <c r="V3" s="854"/>
      <c r="W3" s="854"/>
      <c r="X3" s="855"/>
      <c r="Y3" s="854"/>
      <c r="Z3" s="854"/>
      <c r="AA3" s="854"/>
      <c r="AB3" s="1498"/>
      <c r="AC3" s="912"/>
    </row>
    <row r="4" spans="1:29" ht="15">
      <c r="A4" s="722" t="s">
        <v>1240</v>
      </c>
      <c r="B4" s="723"/>
      <c r="C4" s="3004" t="s">
        <v>1241</v>
      </c>
      <c r="D4" s="3005"/>
      <c r="E4" s="3006" t="s">
        <v>1242</v>
      </c>
      <c r="F4" s="3007"/>
      <c r="G4" s="3004" t="s">
        <v>1243</v>
      </c>
      <c r="H4" s="3005"/>
      <c r="I4" s="3004" t="s">
        <v>1244</v>
      </c>
      <c r="J4" s="3005"/>
      <c r="K4" s="859" t="s">
        <v>1245</v>
      </c>
      <c r="L4" s="860"/>
      <c r="M4" s="861"/>
      <c r="N4" s="861"/>
      <c r="O4" s="861"/>
      <c r="P4" s="3044" t="s">
        <v>1246</v>
      </c>
      <c r="Q4" s="3024"/>
      <c r="R4" s="3038" t="s">
        <v>1242</v>
      </c>
      <c r="S4" s="3039"/>
      <c r="T4" s="3038" t="s">
        <v>1243</v>
      </c>
      <c r="U4" s="3039"/>
      <c r="V4" s="3048" t="s">
        <v>1244</v>
      </c>
      <c r="W4" s="3048"/>
      <c r="X4" s="898"/>
      <c r="Y4" s="3038" t="s">
        <v>1246</v>
      </c>
      <c r="Z4" s="3039"/>
      <c r="AA4" s="3035" t="s">
        <v>1242</v>
      </c>
      <c r="AB4" s="3035" t="s">
        <v>1243</v>
      </c>
      <c r="AC4" s="3035" t="s">
        <v>1244</v>
      </c>
    </row>
    <row r="5" spans="1:29" ht="15">
      <c r="A5" s="724"/>
      <c r="B5" s="725"/>
      <c r="C5" s="3008">
        <v>708</v>
      </c>
      <c r="D5" s="3009"/>
      <c r="E5" s="3010" t="s">
        <v>1247</v>
      </c>
      <c r="F5" s="3011"/>
      <c r="G5" s="3012" t="s">
        <v>1248</v>
      </c>
      <c r="H5" s="3009"/>
      <c r="I5" s="3012" t="s">
        <v>1248</v>
      </c>
      <c r="J5" s="3009"/>
      <c r="K5" s="859"/>
      <c r="L5" s="860"/>
      <c r="M5" s="861"/>
      <c r="N5" s="861"/>
      <c r="O5" s="861"/>
      <c r="P5" s="3045"/>
      <c r="Q5" s="3025"/>
      <c r="R5" s="3040"/>
      <c r="S5" s="3041"/>
      <c r="T5" s="3040"/>
      <c r="U5" s="3041"/>
      <c r="V5" s="3048"/>
      <c r="W5" s="3048"/>
      <c r="X5" s="898"/>
      <c r="Y5" s="3040"/>
      <c r="Z5" s="3041"/>
      <c r="AA5" s="3036"/>
      <c r="AB5" s="3036"/>
      <c r="AC5" s="3036"/>
    </row>
    <row r="6" spans="1:29" ht="15">
      <c r="A6" s="726"/>
      <c r="B6" s="727"/>
      <c r="C6" s="3013" t="s">
        <v>1249</v>
      </c>
      <c r="D6" s="3014"/>
      <c r="E6" s="3015" t="s">
        <v>1250</v>
      </c>
      <c r="F6" s="3016"/>
      <c r="G6" s="3017" t="s">
        <v>1250</v>
      </c>
      <c r="H6" s="3014"/>
      <c r="I6" s="3017" t="s">
        <v>1250</v>
      </c>
      <c r="J6" s="3014"/>
      <c r="K6" s="859" t="s">
        <v>1251</v>
      </c>
      <c r="L6" s="860"/>
      <c r="M6" s="861"/>
      <c r="N6" s="861"/>
      <c r="O6" s="861"/>
      <c r="P6" s="3046"/>
      <c r="Q6" s="3047"/>
      <c r="R6" s="3040"/>
      <c r="S6" s="3041"/>
      <c r="T6" s="3042"/>
      <c r="U6" s="3043"/>
      <c r="V6" s="3048"/>
      <c r="W6" s="3048"/>
      <c r="X6" s="898"/>
      <c r="Y6" s="3042"/>
      <c r="Z6" s="3043"/>
      <c r="AA6" s="3037"/>
      <c r="AB6" s="3037"/>
      <c r="AC6" s="3037"/>
    </row>
    <row r="7" spans="1:29" s="703" customFormat="1" ht="15">
      <c r="A7" s="728" t="s">
        <v>1252</v>
      </c>
      <c r="B7" s="729"/>
      <c r="C7" s="730">
        <f>'数据-取费表'!B2</f>
        <v>43646</v>
      </c>
      <c r="D7" s="731">
        <v>100</v>
      </c>
      <c r="E7" s="732">
        <v>43626</v>
      </c>
      <c r="F7" s="733">
        <f>SUMIF(59:59,YEAR(E7)&amp;"-"&amp;MONTH(E7),60:60)</f>
        <v>100</v>
      </c>
      <c r="G7" s="734">
        <f>C7</f>
        <v>43646</v>
      </c>
      <c r="H7" s="731">
        <f>SUMIF(59:59,YEAR(G7)&amp;"-"&amp;MONTH(G7),60:60)</f>
        <v>100</v>
      </c>
      <c r="I7" s="734">
        <v>43630</v>
      </c>
      <c r="J7" s="731">
        <f>SUMIF(59:59,YEAR(I7)&amp;"-"&amp;MONTH(I7),60:60)</f>
        <v>100</v>
      </c>
      <c r="K7" s="862"/>
      <c r="L7" s="863"/>
      <c r="M7" s="864"/>
      <c r="N7" s="864"/>
      <c r="O7" s="864"/>
      <c r="P7" s="3018" t="s">
        <v>1253</v>
      </c>
      <c r="Q7" s="3018"/>
      <c r="R7" s="900" t="s">
        <v>1254</v>
      </c>
      <c r="S7" s="901">
        <f t="shared" ref="S7:S15" si="0">F7</f>
        <v>100</v>
      </c>
      <c r="T7" s="900" t="s">
        <v>1254</v>
      </c>
      <c r="U7" s="901">
        <f t="shared" ref="U7:U15" si="1">H7</f>
        <v>100</v>
      </c>
      <c r="V7" s="900" t="s">
        <v>1254</v>
      </c>
      <c r="W7" s="901">
        <f t="shared" ref="W7:W15" si="2">J7</f>
        <v>100</v>
      </c>
      <c r="X7" s="902"/>
      <c r="Y7" s="3019" t="s">
        <v>1253</v>
      </c>
      <c r="Z7" s="3020"/>
      <c r="AA7" s="913">
        <f>D7/F7</f>
        <v>1</v>
      </c>
      <c r="AB7" s="913">
        <f>D7/H7</f>
        <v>1</v>
      </c>
      <c r="AC7" s="913">
        <f>D7/J7</f>
        <v>1</v>
      </c>
    </row>
    <row r="8" spans="1:29" s="703" customFormat="1" ht="15">
      <c r="A8" s="728" t="s">
        <v>1255</v>
      </c>
      <c r="B8" s="729"/>
      <c r="C8" s="735" t="s">
        <v>1256</v>
      </c>
      <c r="D8" s="731">
        <v>100</v>
      </c>
      <c r="E8" s="735" t="s">
        <v>1257</v>
      </c>
      <c r="F8" s="733">
        <f>SUMIF(62:62,E8,63:63)-SUMIF(62:62,C8,63:63)+100</f>
        <v>100</v>
      </c>
      <c r="G8" s="735" t="s">
        <v>1257</v>
      </c>
      <c r="H8" s="731">
        <f>SUMIF(62:62,G8,63:63)-SUMIF(62:62,C8,63:63)+100</f>
        <v>100</v>
      </c>
      <c r="I8" s="735" t="s">
        <v>1257</v>
      </c>
      <c r="J8" s="731">
        <f>SUMIF(62:62,I8,63:63)-SUMIF(62:62,C8,63:63)+100</f>
        <v>100</v>
      </c>
      <c r="K8" s="862"/>
      <c r="L8" s="863"/>
      <c r="M8" s="864"/>
      <c r="N8" s="864"/>
      <c r="O8" s="864"/>
      <c r="P8" s="3018" t="s">
        <v>1258</v>
      </c>
      <c r="Q8" s="3020"/>
      <c r="R8" s="900" t="s">
        <v>1254</v>
      </c>
      <c r="S8" s="901">
        <f t="shared" si="0"/>
        <v>100</v>
      </c>
      <c r="T8" s="900" t="s">
        <v>1254</v>
      </c>
      <c r="U8" s="901">
        <f t="shared" si="1"/>
        <v>100</v>
      </c>
      <c r="V8" s="900" t="s">
        <v>1254</v>
      </c>
      <c r="W8" s="901">
        <f t="shared" si="2"/>
        <v>100</v>
      </c>
      <c r="X8" s="902"/>
      <c r="Y8" s="3019" t="s">
        <v>1258</v>
      </c>
      <c r="Z8" s="3020"/>
      <c r="AA8" s="913">
        <f t="shared" ref="AA8:AA47" si="3">D8/F8</f>
        <v>1</v>
      </c>
      <c r="AB8" s="913">
        <f t="shared" ref="AB8:AB47" si="4">D8/H8</f>
        <v>1</v>
      </c>
      <c r="AC8" s="913">
        <f t="shared" ref="AC8:AC47" si="5">D8/J8</f>
        <v>1</v>
      </c>
    </row>
    <row r="9" spans="1:29" s="703" customFormat="1">
      <c r="A9" s="736" t="s">
        <v>1259</v>
      </c>
      <c r="B9" s="737" t="s">
        <v>1260</v>
      </c>
      <c r="C9" s="1492" t="s">
        <v>470</v>
      </c>
      <c r="D9" s="739">
        <v>100</v>
      </c>
      <c r="E9" s="1091" t="s">
        <v>470</v>
      </c>
      <c r="F9" s="739">
        <f>SUMIF(64:64,E9,65:65)-SUMIF(64:64,C9,65:65)+100</f>
        <v>100</v>
      </c>
      <c r="G9" s="1091" t="s">
        <v>470</v>
      </c>
      <c r="H9" s="739">
        <f>SUMIF(64:64,G9,65:65)-SUMIF(64:64,C9,65:65)+100</f>
        <v>100</v>
      </c>
      <c r="I9" s="1091" t="s">
        <v>470</v>
      </c>
      <c r="J9" s="739">
        <f>SUMIF(64:64,I9,65:65)-SUMIF(64:64,C9,65:65)+100</f>
        <v>100</v>
      </c>
      <c r="K9" s="862"/>
      <c r="L9" s="863"/>
      <c r="M9" s="864"/>
      <c r="N9" s="864"/>
      <c r="O9" s="864"/>
      <c r="P9" s="3021" t="s">
        <v>1261</v>
      </c>
      <c r="Q9" s="903" t="str">
        <f t="shared" ref="Q9:Q15" si="6">B9</f>
        <v>用途</v>
      </c>
      <c r="R9" s="900" t="s">
        <v>1254</v>
      </c>
      <c r="S9" s="901">
        <f t="shared" si="0"/>
        <v>100</v>
      </c>
      <c r="T9" s="900" t="s">
        <v>1254</v>
      </c>
      <c r="U9" s="901">
        <f t="shared" si="1"/>
        <v>100</v>
      </c>
      <c r="V9" s="900" t="s">
        <v>1254</v>
      </c>
      <c r="W9" s="901">
        <f t="shared" si="2"/>
        <v>100</v>
      </c>
      <c r="X9" s="902"/>
      <c r="Y9" s="2900" t="s">
        <v>1262</v>
      </c>
      <c r="Z9" s="914" t="str">
        <f t="shared" ref="Z9:Z15" si="7">Q9</f>
        <v>用途</v>
      </c>
      <c r="AA9" s="913">
        <f t="shared" si="3"/>
        <v>1</v>
      </c>
      <c r="AB9" s="913">
        <f t="shared" si="4"/>
        <v>1</v>
      </c>
      <c r="AC9" s="913">
        <f t="shared" si="5"/>
        <v>1</v>
      </c>
    </row>
    <row r="10" spans="1:29" s="704" customFormat="1" ht="27">
      <c r="A10" s="740"/>
      <c r="B10" s="741" t="s">
        <v>1263</v>
      </c>
      <c r="C10" s="1092" t="s">
        <v>1264</v>
      </c>
      <c r="D10" s="743">
        <v>100</v>
      </c>
      <c r="E10" s="1092" t="s">
        <v>1264</v>
      </c>
      <c r="F10" s="743">
        <f>SUMIF(66:66,E10,67:67)-SUMIF(66:66,C10,67:67)+100</f>
        <v>100</v>
      </c>
      <c r="G10" s="1092" t="s">
        <v>1264</v>
      </c>
      <c r="H10" s="743">
        <f>SUMIF(66:66,G10,67:67)-SUMIF(66:66,C10,67:67)+100</f>
        <v>100</v>
      </c>
      <c r="I10" s="1092" t="s">
        <v>1264</v>
      </c>
      <c r="J10" s="743">
        <f>SUMIF(66:66,I10,67:67)-SUMIF(66:66,C10,67:67)+100</f>
        <v>100</v>
      </c>
      <c r="K10" s="879">
        <v>1</v>
      </c>
      <c r="L10" s="867"/>
      <c r="M10" s="868"/>
      <c r="N10" s="868"/>
      <c r="O10" s="868"/>
      <c r="P10" s="3021"/>
      <c r="Q10" s="903" t="str">
        <f t="shared" si="6"/>
        <v>土地使用年限（年）</v>
      </c>
      <c r="R10" s="900" t="s">
        <v>1254</v>
      </c>
      <c r="S10" s="901">
        <f t="shared" si="0"/>
        <v>100</v>
      </c>
      <c r="T10" s="900" t="s">
        <v>1254</v>
      </c>
      <c r="U10" s="901">
        <f t="shared" si="1"/>
        <v>100</v>
      </c>
      <c r="V10" s="900" t="s">
        <v>1254</v>
      </c>
      <c r="W10" s="901">
        <f t="shared" si="2"/>
        <v>100</v>
      </c>
      <c r="X10" s="902"/>
      <c r="Y10" s="2900"/>
      <c r="Z10" s="914" t="str">
        <f t="shared" si="7"/>
        <v>土地使用年限（年）</v>
      </c>
      <c r="AA10" s="913">
        <f t="shared" si="3"/>
        <v>1</v>
      </c>
      <c r="AB10" s="913">
        <f t="shared" si="4"/>
        <v>1</v>
      </c>
      <c r="AC10" s="913">
        <f t="shared" si="5"/>
        <v>1</v>
      </c>
    </row>
    <row r="11" spans="1:29" ht="15">
      <c r="A11" s="744"/>
      <c r="B11" s="741" t="s">
        <v>1265</v>
      </c>
      <c r="C11" s="745"/>
      <c r="D11" s="743">
        <v>100</v>
      </c>
      <c r="E11" s="745"/>
      <c r="F11" s="743">
        <f>LOOKUP(E11,69:69,70:70)-LOOKUP(C11,69:69,70:70)+100</f>
        <v>100</v>
      </c>
      <c r="G11" s="746"/>
      <c r="H11" s="743">
        <f>LOOKUP(G11,69:69,70:70)-LOOKUP(C11,69:69,70:70)+100</f>
        <v>100</v>
      </c>
      <c r="I11" s="745"/>
      <c r="J11" s="743">
        <f>LOOKUP(I11,69:69,70:70)-LOOKUP(C11,69:69,70:70)+100</f>
        <v>100</v>
      </c>
      <c r="K11" s="879">
        <v>1</v>
      </c>
      <c r="L11" s="871"/>
      <c r="M11" s="861"/>
      <c r="N11" s="861"/>
      <c r="O11" s="861"/>
      <c r="P11" s="3021"/>
      <c r="Q11" s="903" t="str">
        <f t="shared" si="6"/>
        <v>容积率</v>
      </c>
      <c r="R11" s="900" t="s">
        <v>1254</v>
      </c>
      <c r="S11" s="901">
        <f t="shared" si="0"/>
        <v>100</v>
      </c>
      <c r="T11" s="900" t="s">
        <v>1254</v>
      </c>
      <c r="U11" s="901">
        <f t="shared" si="1"/>
        <v>100</v>
      </c>
      <c r="V11" s="900" t="s">
        <v>1254</v>
      </c>
      <c r="W11" s="901">
        <f t="shared" si="2"/>
        <v>100</v>
      </c>
      <c r="X11" s="902"/>
      <c r="Y11" s="2900"/>
      <c r="Z11" s="914" t="str">
        <f t="shared" si="7"/>
        <v>容积率</v>
      </c>
      <c r="AA11" s="913">
        <f t="shared" si="3"/>
        <v>1</v>
      </c>
      <c r="AB11" s="913">
        <f t="shared" si="4"/>
        <v>1</v>
      </c>
      <c r="AC11" s="913">
        <f t="shared" si="5"/>
        <v>1</v>
      </c>
    </row>
    <row r="12" spans="1:29" s="703" customFormat="1" ht="15">
      <c r="A12" s="747"/>
      <c r="B12" s="748">
        <v>111</v>
      </c>
      <c r="C12" s="742"/>
      <c r="D12" s="749">
        <v>100</v>
      </c>
      <c r="E12" s="742"/>
      <c r="F12" s="743">
        <f>SUMIF(71:71,E12,72:72)-SUMIF(71:71,C12,72:72)+100</f>
        <v>100</v>
      </c>
      <c r="G12" s="1183"/>
      <c r="H12" s="743">
        <f>SUMIF(71:71,G12,72:72)-SUMIF(71:71,C12,72:72)+100</f>
        <v>100</v>
      </c>
      <c r="I12" s="742"/>
      <c r="J12" s="743">
        <f>SUMIF(71:71,I12,72:72)-SUMIF(71:71,C12,72:72)+100</f>
        <v>100</v>
      </c>
      <c r="K12" s="878"/>
      <c r="L12" s="863"/>
      <c r="M12" s="864"/>
      <c r="N12" s="864"/>
      <c r="O12" s="864"/>
      <c r="P12" s="3021"/>
      <c r="Q12" s="903">
        <f t="shared" si="6"/>
        <v>111</v>
      </c>
      <c r="R12" s="900" t="s">
        <v>1254</v>
      </c>
      <c r="S12" s="901">
        <f t="shared" si="0"/>
        <v>100</v>
      </c>
      <c r="T12" s="900" t="s">
        <v>1254</v>
      </c>
      <c r="U12" s="901">
        <f t="shared" si="1"/>
        <v>100</v>
      </c>
      <c r="V12" s="900" t="s">
        <v>1254</v>
      </c>
      <c r="W12" s="901">
        <f t="shared" si="2"/>
        <v>100</v>
      </c>
      <c r="X12" s="902"/>
      <c r="Y12" s="2900"/>
      <c r="Z12" s="914">
        <f t="shared" si="7"/>
        <v>111</v>
      </c>
      <c r="AA12" s="913">
        <f t="shared" si="3"/>
        <v>1</v>
      </c>
      <c r="AB12" s="913">
        <f t="shared" si="4"/>
        <v>1</v>
      </c>
      <c r="AC12" s="913">
        <f t="shared" si="5"/>
        <v>1</v>
      </c>
    </row>
    <row r="13" spans="1:29" ht="15">
      <c r="A13" s="744"/>
      <c r="B13" s="748">
        <v>111</v>
      </c>
      <c r="C13" s="752"/>
      <c r="D13" s="753">
        <v>100</v>
      </c>
      <c r="E13" s="742"/>
      <c r="F13" s="743">
        <f>SUMIF(73:73,E13,74:74)-SUMIF(73:73,C13,74:74)+100</f>
        <v>100</v>
      </c>
      <c r="G13" s="1183"/>
      <c r="H13" s="753">
        <f>SUMIF(73:73,G13,74:74)-SUMIF(73:73,C13,74:74)+100</f>
        <v>100</v>
      </c>
      <c r="I13" s="742"/>
      <c r="J13" s="753">
        <f>SUMIF(73:73,I13,74:74)-SUMIF(73:73,C13,74:74)+100</f>
        <v>100</v>
      </c>
      <c r="K13" s="878"/>
      <c r="L13" s="873"/>
      <c r="M13" s="861"/>
      <c r="N13" s="861"/>
      <c r="O13" s="861"/>
      <c r="P13" s="3021"/>
      <c r="Q13" s="903">
        <f t="shared" si="6"/>
        <v>111</v>
      </c>
      <c r="R13" s="900" t="s">
        <v>1254</v>
      </c>
      <c r="S13" s="901">
        <f t="shared" si="0"/>
        <v>100</v>
      </c>
      <c r="T13" s="900" t="s">
        <v>1254</v>
      </c>
      <c r="U13" s="901">
        <f t="shared" si="1"/>
        <v>100</v>
      </c>
      <c r="V13" s="900" t="s">
        <v>1254</v>
      </c>
      <c r="W13" s="901">
        <f t="shared" si="2"/>
        <v>100</v>
      </c>
      <c r="X13" s="902"/>
      <c r="Y13" s="2900"/>
      <c r="Z13" s="914">
        <f t="shared" si="7"/>
        <v>111</v>
      </c>
      <c r="AA13" s="913">
        <f t="shared" si="3"/>
        <v>1</v>
      </c>
      <c r="AB13" s="913">
        <f t="shared" si="4"/>
        <v>1</v>
      </c>
      <c r="AC13" s="913">
        <f t="shared" si="5"/>
        <v>1</v>
      </c>
    </row>
    <row r="14" spans="1:29" ht="15">
      <c r="A14" s="754"/>
      <c r="B14" s="755">
        <v>111</v>
      </c>
      <c r="C14" s="756"/>
      <c r="D14" s="757">
        <v>100</v>
      </c>
      <c r="E14" s="1188"/>
      <c r="F14" s="757">
        <f>SUMIF(75:75,E14,76:76)-SUMIF(75:75,C14,76:76)+100</f>
        <v>100</v>
      </c>
      <c r="G14" s="1183"/>
      <c r="H14" s="757">
        <f>SUMIF(75:75,G14,76:76)-SUMIF(75:75,C14,76:76)+100</f>
        <v>100</v>
      </c>
      <c r="I14" s="742"/>
      <c r="J14" s="757">
        <f>SUMIF(75:75,I14,76:76)-SUMIF(75:75,C14,76:76)+100</f>
        <v>100</v>
      </c>
      <c r="K14" s="878"/>
      <c r="L14" s="873"/>
      <c r="M14" s="861"/>
      <c r="N14" s="861"/>
      <c r="O14" s="861"/>
      <c r="P14" s="3021"/>
      <c r="Q14" s="903">
        <f t="shared" si="6"/>
        <v>111</v>
      </c>
      <c r="R14" s="900" t="s">
        <v>1254</v>
      </c>
      <c r="S14" s="901">
        <f t="shared" si="0"/>
        <v>100</v>
      </c>
      <c r="T14" s="900" t="s">
        <v>1254</v>
      </c>
      <c r="U14" s="901">
        <f t="shared" si="1"/>
        <v>100</v>
      </c>
      <c r="V14" s="900" t="s">
        <v>1254</v>
      </c>
      <c r="W14" s="901">
        <f t="shared" si="2"/>
        <v>100</v>
      </c>
      <c r="X14" s="902"/>
      <c r="Y14" s="2900"/>
      <c r="Z14" s="914">
        <f t="shared" si="7"/>
        <v>111</v>
      </c>
      <c r="AA14" s="913">
        <f t="shared" si="3"/>
        <v>1</v>
      </c>
      <c r="AB14" s="913">
        <f t="shared" si="4"/>
        <v>1</v>
      </c>
      <c r="AC14" s="913">
        <f t="shared" si="5"/>
        <v>1</v>
      </c>
    </row>
    <row r="15" spans="1:29" ht="71.25">
      <c r="A15" s="758" t="s">
        <v>1266</v>
      </c>
      <c r="B15" s="759" t="s">
        <v>209</v>
      </c>
      <c r="C15" s="1038" t="str">
        <f>估价对象房地状况!C5</f>
        <v>估价对象位于XX商圈，周边办公楼项目较多，入驻率高，办公集聚程度较好</v>
      </c>
      <c r="D15" s="761">
        <v>100</v>
      </c>
      <c r="E15" s="874"/>
      <c r="F15" s="761">
        <f>SUMIF(77:77,E16,78:78)-SUMIF(77:77,C16,78:78)+100</f>
        <v>100</v>
      </c>
      <c r="G15" s="762"/>
      <c r="H15" s="761">
        <f>SUMIF(77:77,G16,78:78)-SUMIF(77:77,C16,78:78)+100</f>
        <v>100</v>
      </c>
      <c r="I15" s="762"/>
      <c r="J15" s="761">
        <f>SUMIF(77:77,I16,78:78)-SUMIF(77:77,C16,78:78)+100</f>
        <v>100</v>
      </c>
      <c r="K15" s="1140">
        <v>3</v>
      </c>
      <c r="L15" s="873"/>
      <c r="M15" s="861"/>
      <c r="N15" s="861"/>
      <c r="O15" s="861"/>
      <c r="P15" s="3024" t="s">
        <v>1267</v>
      </c>
      <c r="Q15" s="492" t="str">
        <f t="shared" si="6"/>
        <v>办公集聚程度</v>
      </c>
      <c r="R15" s="904" t="s">
        <v>1254</v>
      </c>
      <c r="S15" s="905">
        <f t="shared" si="0"/>
        <v>100</v>
      </c>
      <c r="T15" s="904" t="s">
        <v>1254</v>
      </c>
      <c r="U15" s="905">
        <f t="shared" si="1"/>
        <v>100</v>
      </c>
      <c r="V15" s="904" t="s">
        <v>1254</v>
      </c>
      <c r="W15" s="905">
        <f t="shared" si="2"/>
        <v>100</v>
      </c>
      <c r="X15" s="898"/>
      <c r="Y15" s="3029" t="s">
        <v>1267</v>
      </c>
      <c r="Z15" s="833" t="str">
        <f t="shared" si="7"/>
        <v>办公集聚程度</v>
      </c>
      <c r="AA15" s="915">
        <f t="shared" si="3"/>
        <v>1</v>
      </c>
      <c r="AB15" s="915">
        <f t="shared" si="4"/>
        <v>1</v>
      </c>
      <c r="AC15" s="915">
        <f t="shared" si="5"/>
        <v>1</v>
      </c>
    </row>
    <row r="16" spans="1:29" ht="15">
      <c r="A16" s="744"/>
      <c r="B16" s="763"/>
      <c r="C16" s="766" t="s">
        <v>1268</v>
      </c>
      <c r="D16" s="765"/>
      <c r="E16" s="766" t="s">
        <v>1268</v>
      </c>
      <c r="F16" s="765"/>
      <c r="G16" s="766" t="s">
        <v>1268</v>
      </c>
      <c r="H16" s="767"/>
      <c r="I16" s="766" t="s">
        <v>1268</v>
      </c>
      <c r="J16" s="765"/>
      <c r="K16" s="1141"/>
      <c r="L16" s="873"/>
      <c r="M16" s="861"/>
      <c r="N16" s="861"/>
      <c r="O16" s="861"/>
      <c r="P16" s="3025"/>
      <c r="Q16" s="492"/>
      <c r="R16" s="904"/>
      <c r="S16" s="905"/>
      <c r="T16" s="904"/>
      <c r="U16" s="905"/>
      <c r="V16" s="904"/>
      <c r="W16" s="905"/>
      <c r="X16" s="898"/>
      <c r="Y16" s="3030"/>
      <c r="Z16" s="833"/>
      <c r="AA16" s="915">
        <v>1</v>
      </c>
      <c r="AB16" s="915">
        <v>1</v>
      </c>
      <c r="AC16" s="915">
        <v>1</v>
      </c>
    </row>
    <row r="17" spans="1:29" ht="85.5">
      <c r="A17" s="744"/>
      <c r="B17" s="768" t="s">
        <v>211</v>
      </c>
      <c r="C17" s="1046" t="str">
        <f>估价对象房地状况!C6</f>
        <v>估价对象周边道路状况、公共交通通达情况、停车便捷程度，综合评价交通便捷度较好</v>
      </c>
      <c r="D17" s="767">
        <v>100</v>
      </c>
      <c r="E17" s="875"/>
      <c r="F17" s="767">
        <f>SUMIF(79:79,E18,80:80)-SUMIF(79:79,C18,80:80)+100</f>
        <v>100</v>
      </c>
      <c r="G17" s="770"/>
      <c r="H17" s="771">
        <f>SUMIF(79:79,G18,80:80)-SUMIF(79:79,C18,80:80)+100</f>
        <v>100</v>
      </c>
      <c r="I17" s="770"/>
      <c r="J17" s="771">
        <f>SUMIF(79:79,I18,80:80)-SUMIF(79:79,C18,80:80)+100</f>
        <v>100</v>
      </c>
      <c r="K17" s="1140">
        <v>2</v>
      </c>
      <c r="L17" s="873"/>
      <c r="M17" s="861"/>
      <c r="N17" s="861"/>
      <c r="O17" s="861"/>
      <c r="P17" s="3025"/>
      <c r="Q17" s="492" t="str">
        <f>B17</f>
        <v>交通便捷度</v>
      </c>
      <c r="R17" s="904" t="s">
        <v>1254</v>
      </c>
      <c r="S17" s="905">
        <f>F17</f>
        <v>100</v>
      </c>
      <c r="T17" s="904" t="s">
        <v>1254</v>
      </c>
      <c r="U17" s="905">
        <f>H17</f>
        <v>100</v>
      </c>
      <c r="V17" s="904" t="s">
        <v>1254</v>
      </c>
      <c r="W17" s="905">
        <f>J17</f>
        <v>100</v>
      </c>
      <c r="X17" s="898"/>
      <c r="Y17" s="3030"/>
      <c r="Z17" s="833" t="str">
        <f>Q17</f>
        <v>交通便捷度</v>
      </c>
      <c r="AA17" s="915">
        <f t="shared" si="3"/>
        <v>1</v>
      </c>
      <c r="AB17" s="915">
        <f t="shared" si="4"/>
        <v>1</v>
      </c>
      <c r="AC17" s="915">
        <f t="shared" si="5"/>
        <v>1</v>
      </c>
    </row>
    <row r="18" spans="1:29" ht="15">
      <c r="A18" s="744"/>
      <c r="B18" s="772"/>
      <c r="C18" s="1043" t="s">
        <v>1269</v>
      </c>
      <c r="D18" s="767"/>
      <c r="E18" s="1043" t="s">
        <v>1269</v>
      </c>
      <c r="F18" s="767"/>
      <c r="G18" s="1043" t="s">
        <v>1269</v>
      </c>
      <c r="H18" s="765"/>
      <c r="I18" s="1043" t="s">
        <v>1269</v>
      </c>
      <c r="J18" s="765"/>
      <c r="K18" s="1141"/>
      <c r="L18" s="873"/>
      <c r="M18" s="861"/>
      <c r="N18" s="861"/>
      <c r="O18" s="861"/>
      <c r="P18" s="3025"/>
      <c r="Q18" s="492"/>
      <c r="R18" s="904"/>
      <c r="S18" s="905"/>
      <c r="T18" s="904"/>
      <c r="U18" s="905"/>
      <c r="V18" s="904"/>
      <c r="W18" s="905"/>
      <c r="X18" s="898"/>
      <c r="Y18" s="3030"/>
      <c r="Z18" s="833"/>
      <c r="AA18" s="915">
        <v>1</v>
      </c>
      <c r="AB18" s="915">
        <v>1</v>
      </c>
      <c r="AC18" s="915">
        <v>1</v>
      </c>
    </row>
    <row r="19" spans="1:29" ht="42.75">
      <c r="A19" s="744"/>
      <c r="B19" s="768" t="s">
        <v>213</v>
      </c>
      <c r="C19" s="1046" t="str">
        <f>估价对象房地状况!C7</f>
        <v>估价对象所在区域公共配套设施齐备情况</v>
      </c>
      <c r="D19" s="771">
        <v>100</v>
      </c>
      <c r="E19" s="1062"/>
      <c r="F19" s="771">
        <f>SUMIF(81:81,E20,82:82)-SUMIF(81:81,C20,82:82)+100</f>
        <v>100</v>
      </c>
      <c r="G19" s="1045"/>
      <c r="H19" s="767">
        <f>SUMIF(81:81,G20,82:82)-SUMIF(81:81,C20,82:82)+100</f>
        <v>100</v>
      </c>
      <c r="I19" s="1045"/>
      <c r="J19" s="767">
        <f>SUMIF(81:81,I20,82:82)-SUMIF(81:81,C20,82:82)+100</f>
        <v>100</v>
      </c>
      <c r="K19" s="1140">
        <v>1</v>
      </c>
      <c r="L19" s="873"/>
      <c r="M19" s="861"/>
      <c r="N19" s="861"/>
      <c r="O19" s="861"/>
      <c r="P19" s="3025"/>
      <c r="Q19" s="492" t="str">
        <f>B19</f>
        <v>公共配套设施</v>
      </c>
      <c r="R19" s="904" t="s">
        <v>1254</v>
      </c>
      <c r="S19" s="905">
        <f>F19</f>
        <v>100</v>
      </c>
      <c r="T19" s="904" t="s">
        <v>1254</v>
      </c>
      <c r="U19" s="905">
        <f>H19</f>
        <v>100</v>
      </c>
      <c r="V19" s="904" t="s">
        <v>1254</v>
      </c>
      <c r="W19" s="905">
        <f>J19</f>
        <v>100</v>
      </c>
      <c r="X19" s="898"/>
      <c r="Y19" s="3030"/>
      <c r="Z19" s="833" t="str">
        <f>Q19</f>
        <v>公共配套设施</v>
      </c>
      <c r="AA19" s="915">
        <f t="shared" si="3"/>
        <v>1</v>
      </c>
      <c r="AB19" s="915">
        <f t="shared" si="4"/>
        <v>1</v>
      </c>
      <c r="AC19" s="915">
        <f t="shared" si="5"/>
        <v>1</v>
      </c>
    </row>
    <row r="20" spans="1:29" ht="15">
      <c r="A20" s="744"/>
      <c r="B20" s="772"/>
      <c r="C20" s="766" t="s">
        <v>1269</v>
      </c>
      <c r="D20" s="765"/>
      <c r="E20" s="1043" t="s">
        <v>1269</v>
      </c>
      <c r="F20" s="765"/>
      <c r="G20" s="1043" t="s">
        <v>1269</v>
      </c>
      <c r="H20" s="765"/>
      <c r="I20" s="1043" t="s">
        <v>1269</v>
      </c>
      <c r="J20" s="765"/>
      <c r="K20" s="1141"/>
      <c r="L20" s="873"/>
      <c r="M20" s="861"/>
      <c r="N20" s="861"/>
      <c r="O20" s="861"/>
      <c r="P20" s="3025"/>
      <c r="Q20" s="492"/>
      <c r="R20" s="904"/>
      <c r="S20" s="905"/>
      <c r="T20" s="904"/>
      <c r="U20" s="905"/>
      <c r="V20" s="904"/>
      <c r="W20" s="905"/>
      <c r="X20" s="898"/>
      <c r="Y20" s="3030"/>
      <c r="Z20" s="833"/>
      <c r="AA20" s="915">
        <v>1</v>
      </c>
      <c r="AB20" s="915">
        <v>1</v>
      </c>
      <c r="AC20" s="915">
        <v>1</v>
      </c>
    </row>
    <row r="21" spans="1:29" ht="28.5">
      <c r="A21" s="744"/>
      <c r="B21" s="776" t="s">
        <v>214</v>
      </c>
      <c r="C21" s="1046" t="str">
        <f>估价对象房地状况!C8</f>
        <v>估价对象所在区域基础设施水平</v>
      </c>
      <c r="D21" s="771">
        <v>100</v>
      </c>
      <c r="E21" s="1062"/>
      <c r="F21" s="771">
        <f>SUMIF(83:83,E22,84:84)-SUMIF(83:83,C22,84:84)+100</f>
        <v>100</v>
      </c>
      <c r="G21" s="1045"/>
      <c r="H21" s="767">
        <f>SUMIF(83:83,G22,84:84)-SUMIF(83:83,C22,84:84)+100</f>
        <v>100</v>
      </c>
      <c r="I21" s="1045"/>
      <c r="J21" s="767">
        <f>SUMIF(83:83,I22,84:84)-SUMIF(83:83,C22,84:84)+100</f>
        <v>100</v>
      </c>
      <c r="K21" s="1140">
        <v>1</v>
      </c>
      <c r="L21" s="873"/>
      <c r="M21" s="861"/>
      <c r="N21" s="861"/>
      <c r="O21" s="861"/>
      <c r="P21" s="3025"/>
      <c r="Q21" s="492" t="str">
        <f>B21</f>
        <v>基础设施水平</v>
      </c>
      <c r="R21" s="904" t="s">
        <v>1254</v>
      </c>
      <c r="S21" s="905">
        <f>F21</f>
        <v>100</v>
      </c>
      <c r="T21" s="904" t="s">
        <v>1254</v>
      </c>
      <c r="U21" s="905">
        <f>H21</f>
        <v>100</v>
      </c>
      <c r="V21" s="904" t="s">
        <v>1254</v>
      </c>
      <c r="W21" s="905">
        <f>J21</f>
        <v>100</v>
      </c>
      <c r="X21" s="898"/>
      <c r="Y21" s="3030"/>
      <c r="Z21" s="833" t="str">
        <f>Q21</f>
        <v>基础设施水平</v>
      </c>
      <c r="AA21" s="915">
        <f t="shared" ref="AA21" si="8">D21/F21</f>
        <v>1</v>
      </c>
      <c r="AB21" s="915">
        <f t="shared" ref="AB21" si="9">D21/H21</f>
        <v>1</v>
      </c>
      <c r="AC21" s="915">
        <f t="shared" ref="AC21" si="10">D21/J21</f>
        <v>1</v>
      </c>
    </row>
    <row r="22" spans="1:29" ht="15">
      <c r="A22" s="744"/>
      <c r="B22" s="776"/>
      <c r="C22" s="1043" t="s">
        <v>1270</v>
      </c>
      <c r="D22" s="765"/>
      <c r="E22" s="1043" t="s">
        <v>1270</v>
      </c>
      <c r="F22" s="765"/>
      <c r="G22" s="1043" t="s">
        <v>1270</v>
      </c>
      <c r="H22" s="765"/>
      <c r="I22" s="1043" t="s">
        <v>1270</v>
      </c>
      <c r="J22" s="765"/>
      <c r="K22" s="1142"/>
      <c r="L22" s="873"/>
      <c r="M22" s="861"/>
      <c r="N22" s="861"/>
      <c r="O22" s="861"/>
      <c r="P22" s="3025"/>
      <c r="Q22" s="492"/>
      <c r="R22" s="904"/>
      <c r="S22" s="905"/>
      <c r="T22" s="904"/>
      <c r="U22" s="905"/>
      <c r="V22" s="904"/>
      <c r="W22" s="905"/>
      <c r="X22" s="898"/>
      <c r="Y22" s="3030"/>
      <c r="Z22" s="833"/>
      <c r="AA22" s="915">
        <v>1</v>
      </c>
      <c r="AB22" s="915">
        <v>1</v>
      </c>
      <c r="AC22" s="915">
        <v>1</v>
      </c>
    </row>
    <row r="23" spans="1:29" ht="57">
      <c r="A23" s="744"/>
      <c r="B23" s="768" t="s">
        <v>215</v>
      </c>
      <c r="C23" s="1046" t="str">
        <f>估价对象房地状况!C9</f>
        <v>区域自然环境：；人文环境；综合评价环境状况一般</v>
      </c>
      <c r="D23" s="767">
        <v>100</v>
      </c>
      <c r="E23" s="875"/>
      <c r="F23" s="767">
        <f>SUMIF(85:85,E24,86:86)-SUMIF(85:85,C24,86:86)+100</f>
        <v>100</v>
      </c>
      <c r="G23" s="770"/>
      <c r="H23" s="767">
        <f>SUMIF(85:85,G24,86:86)-SUMIF(85:85,C24,86:86)+100</f>
        <v>100</v>
      </c>
      <c r="I23" s="770"/>
      <c r="J23" s="767">
        <f>SUMIF(85:85,I24,86:86)-SUMIF(85:85,C24,86:86)+100</f>
        <v>100</v>
      </c>
      <c r="K23" s="1140">
        <v>1</v>
      </c>
      <c r="L23" s="873"/>
      <c r="M23" s="861"/>
      <c r="N23" s="861"/>
      <c r="O23" s="861"/>
      <c r="P23" s="3025"/>
      <c r="Q23" s="492" t="str">
        <f>B23</f>
        <v>环境质量</v>
      </c>
      <c r="R23" s="904" t="s">
        <v>1254</v>
      </c>
      <c r="S23" s="905">
        <f>F23</f>
        <v>100</v>
      </c>
      <c r="T23" s="904" t="s">
        <v>1254</v>
      </c>
      <c r="U23" s="905">
        <f>H23</f>
        <v>100</v>
      </c>
      <c r="V23" s="904" t="s">
        <v>1254</v>
      </c>
      <c r="W23" s="905">
        <f>J23</f>
        <v>100</v>
      </c>
      <c r="X23" s="898"/>
      <c r="Y23" s="3030"/>
      <c r="Z23" s="833" t="str">
        <f>Q23</f>
        <v>环境质量</v>
      </c>
      <c r="AA23" s="915">
        <f t="shared" si="3"/>
        <v>1</v>
      </c>
      <c r="AB23" s="915">
        <f t="shared" si="4"/>
        <v>1</v>
      </c>
      <c r="AC23" s="915">
        <f t="shared" si="5"/>
        <v>1</v>
      </c>
    </row>
    <row r="24" spans="1:29" ht="15">
      <c r="A24" s="744"/>
      <c r="B24" s="776"/>
      <c r="C24" s="766" t="s">
        <v>1268</v>
      </c>
      <c r="D24" s="765"/>
      <c r="E24" s="766" t="s">
        <v>1268</v>
      </c>
      <c r="F24" s="765"/>
      <c r="G24" s="766" t="s">
        <v>1268</v>
      </c>
      <c r="H24" s="765"/>
      <c r="I24" s="766" t="s">
        <v>1268</v>
      </c>
      <c r="J24" s="765"/>
      <c r="K24" s="1141"/>
      <c r="L24" s="873"/>
      <c r="M24" s="861"/>
      <c r="N24" s="861"/>
      <c r="O24" s="861"/>
      <c r="P24" s="3025"/>
      <c r="Q24" s="492"/>
      <c r="R24" s="904"/>
      <c r="S24" s="905"/>
      <c r="T24" s="904"/>
      <c r="U24" s="905"/>
      <c r="V24" s="904"/>
      <c r="W24" s="905"/>
      <c r="X24" s="898"/>
      <c r="Y24" s="3030"/>
      <c r="Z24" s="833"/>
      <c r="AA24" s="915">
        <v>1</v>
      </c>
      <c r="AB24" s="915">
        <v>1</v>
      </c>
      <c r="AC24" s="915">
        <v>1</v>
      </c>
    </row>
    <row r="25" spans="1:29" ht="27">
      <c r="A25" s="724"/>
      <c r="B25" s="768" t="s">
        <v>572</v>
      </c>
      <c r="C25" s="1493"/>
      <c r="D25" s="753">
        <v>100</v>
      </c>
      <c r="E25" s="752"/>
      <c r="F25" s="753">
        <f>SUMIF(87:87,E26,88:88)-SUMIF(87:87,C26,88:88)+100</f>
        <v>100</v>
      </c>
      <c r="G25" s="1493"/>
      <c r="H25" s="753">
        <f>SUMIF(87:87,G26,88:88)-SUMIF(87:87,C26,88:88)+100</f>
        <v>100</v>
      </c>
      <c r="I25" s="752"/>
      <c r="J25" s="753">
        <f>SUMIF(87:87,I26,88:88)-SUMIF(87:87,C26,88:88)+100</f>
        <v>100</v>
      </c>
      <c r="K25" s="1140">
        <v>1</v>
      </c>
      <c r="L25" s="873"/>
      <c r="M25" s="861"/>
      <c r="N25" s="861"/>
      <c r="O25" s="861"/>
      <c r="P25" s="3025"/>
      <c r="Q25" s="492" t="str">
        <f>B25</f>
        <v>毗邻道路的类型与等级</v>
      </c>
      <c r="R25" s="904" t="s">
        <v>1254</v>
      </c>
      <c r="S25" s="905">
        <f>F25</f>
        <v>100</v>
      </c>
      <c r="T25" s="904" t="s">
        <v>1254</v>
      </c>
      <c r="U25" s="905">
        <f>H25</f>
        <v>100</v>
      </c>
      <c r="V25" s="904" t="s">
        <v>1254</v>
      </c>
      <c r="W25" s="905">
        <f>J25</f>
        <v>100</v>
      </c>
      <c r="X25" s="898"/>
      <c r="Y25" s="3030"/>
      <c r="Z25" s="833" t="str">
        <f>Q25</f>
        <v>毗邻道路的类型与等级</v>
      </c>
      <c r="AA25" s="915">
        <f t="shared" si="3"/>
        <v>1</v>
      </c>
      <c r="AB25" s="915">
        <f t="shared" si="4"/>
        <v>1</v>
      </c>
      <c r="AC25" s="915">
        <f t="shared" si="5"/>
        <v>1</v>
      </c>
    </row>
    <row r="26" spans="1:29" ht="15">
      <c r="A26" s="724"/>
      <c r="B26" s="772"/>
      <c r="C26" s="779" t="s">
        <v>1271</v>
      </c>
      <c r="D26" s="753"/>
      <c r="E26" s="779" t="s">
        <v>1271</v>
      </c>
      <c r="F26" s="753"/>
      <c r="G26" s="779" t="s">
        <v>1271</v>
      </c>
      <c r="H26" s="753"/>
      <c r="I26" s="779" t="s">
        <v>1271</v>
      </c>
      <c r="J26" s="753"/>
      <c r="K26" s="1141"/>
      <c r="L26" s="873"/>
      <c r="M26" s="861"/>
      <c r="N26" s="861"/>
      <c r="O26" s="861"/>
      <c r="P26" s="3025"/>
      <c r="Q26" s="492"/>
      <c r="R26" s="904"/>
      <c r="S26" s="905"/>
      <c r="T26" s="904"/>
      <c r="U26" s="905"/>
      <c r="V26" s="904"/>
      <c r="W26" s="905"/>
      <c r="X26" s="898"/>
      <c r="Y26" s="3030"/>
      <c r="Z26" s="833"/>
      <c r="AA26" s="915">
        <v>1</v>
      </c>
      <c r="AB26" s="915">
        <v>1</v>
      </c>
      <c r="AC26" s="915">
        <v>1</v>
      </c>
    </row>
    <row r="27" spans="1:29" ht="15">
      <c r="A27" s="744"/>
      <c r="B27" s="772" t="s">
        <v>1272</v>
      </c>
      <c r="C27" s="779" t="s">
        <v>1273</v>
      </c>
      <c r="D27" s="753">
        <v>100</v>
      </c>
      <c r="E27" s="779" t="s">
        <v>1274</v>
      </c>
      <c r="F27" s="753">
        <f>SUMIF(89:89,E27,90:90)-SUMIF(89:89,C27,90:90)+100</f>
        <v>98</v>
      </c>
      <c r="G27" s="779" t="s">
        <v>1274</v>
      </c>
      <c r="H27" s="753">
        <f>SUMIF(89:89,G27,90:90)-SUMIF(89:89,C27,90:90)+100</f>
        <v>98</v>
      </c>
      <c r="I27" s="778" t="s">
        <v>1274</v>
      </c>
      <c r="J27" s="753">
        <f>SUMIF(89:89,I27,90:90)-SUMIF(89:89,C27,90:90)+100</f>
        <v>98</v>
      </c>
      <c r="K27" s="879">
        <v>2</v>
      </c>
      <c r="L27" s="873"/>
      <c r="M27" s="861"/>
      <c r="N27" s="861"/>
      <c r="O27" s="861"/>
      <c r="P27" s="3025"/>
      <c r="Q27" s="492" t="str">
        <f t="shared" ref="Q27:Q47" si="11">B27</f>
        <v>楼层</v>
      </c>
      <c r="R27" s="904" t="s">
        <v>1254</v>
      </c>
      <c r="S27" s="905">
        <f>F27</f>
        <v>98</v>
      </c>
      <c r="T27" s="904" t="s">
        <v>1254</v>
      </c>
      <c r="U27" s="905">
        <f>H27</f>
        <v>98</v>
      </c>
      <c r="V27" s="904" t="s">
        <v>1254</v>
      </c>
      <c r="W27" s="905">
        <f>J27</f>
        <v>98</v>
      </c>
      <c r="X27" s="898"/>
      <c r="Y27" s="3030"/>
      <c r="Z27" s="833" t="str">
        <f>Q27</f>
        <v>楼层</v>
      </c>
      <c r="AA27" s="915">
        <f t="shared" si="3"/>
        <v>1.0204081632653099</v>
      </c>
      <c r="AB27" s="915">
        <f t="shared" si="4"/>
        <v>1.0204081632653099</v>
      </c>
      <c r="AC27" s="915">
        <f t="shared" si="5"/>
        <v>1.0204081632653099</v>
      </c>
    </row>
    <row r="28" spans="1:29" s="703" customFormat="1" ht="15">
      <c r="A28" s="747"/>
      <c r="B28" s="768" t="s">
        <v>1275</v>
      </c>
      <c r="C28" s="1494"/>
      <c r="D28" s="1238">
        <v>100</v>
      </c>
      <c r="E28" s="1250"/>
      <c r="F28" s="1238">
        <f>SUMIF(91:91,E28,92:92)-SUMIF(91:91,C28,92:92)+100</f>
        <v>100</v>
      </c>
      <c r="G28" s="1494"/>
      <c r="H28" s="1238">
        <f>SUMIF(91:91,G28,92:92)-SUMIF(91:91,C28,92:92)+100</f>
        <v>100</v>
      </c>
      <c r="I28" s="1250"/>
      <c r="J28" s="1238">
        <f>SUMIF(91:91,I28,92:92)-SUMIF(91:91,C28,92:92)+100</f>
        <v>100</v>
      </c>
      <c r="K28" s="879">
        <v>1</v>
      </c>
      <c r="L28" s="863"/>
      <c r="M28" s="864"/>
      <c r="N28" s="864"/>
      <c r="O28" s="864"/>
      <c r="P28" s="3025"/>
      <c r="Q28" s="903" t="str">
        <f t="shared" si="11"/>
        <v>朝向</v>
      </c>
      <c r="R28" s="900" t="s">
        <v>1254</v>
      </c>
      <c r="S28" s="901">
        <f>F28</f>
        <v>100</v>
      </c>
      <c r="T28" s="900" t="s">
        <v>1254</v>
      </c>
      <c r="U28" s="901">
        <f>H28</f>
        <v>100</v>
      </c>
      <c r="V28" s="900" t="s">
        <v>1254</v>
      </c>
      <c r="W28" s="901">
        <f>J28</f>
        <v>100</v>
      </c>
      <c r="X28" s="902"/>
      <c r="Y28" s="3030"/>
      <c r="Z28" s="914" t="str">
        <f>Q28</f>
        <v>朝向</v>
      </c>
      <c r="AA28" s="915">
        <f t="shared" si="3"/>
        <v>1</v>
      </c>
      <c r="AB28" s="915">
        <f t="shared" si="4"/>
        <v>1</v>
      </c>
      <c r="AC28" s="915">
        <f t="shared" si="5"/>
        <v>1</v>
      </c>
    </row>
    <row r="29" spans="1:29" ht="15">
      <c r="A29" s="744"/>
      <c r="B29" s="783">
        <v>111</v>
      </c>
      <c r="C29" s="1493"/>
      <c r="D29" s="753">
        <v>100</v>
      </c>
      <c r="E29" s="742"/>
      <c r="F29" s="753">
        <f>SUMIF(93:93,E29,94:94)-SUMIF(93:93,C29,94:94)+100</f>
        <v>100</v>
      </c>
      <c r="G29" s="1183"/>
      <c r="H29" s="753">
        <f>SUMIF(93:93,G29,94:94)-SUMIF(93:93,C29,94:94)+100</f>
        <v>100</v>
      </c>
      <c r="I29" s="742"/>
      <c r="J29" s="753">
        <f>SUMIF(93:93,I29,94:94)-SUMIF(93:93,C29,94:94)+100</f>
        <v>100</v>
      </c>
      <c r="K29" s="878"/>
      <c r="L29" s="873"/>
      <c r="M29" s="861"/>
      <c r="N29" s="861"/>
      <c r="O29" s="861"/>
      <c r="P29" s="3025"/>
      <c r="Q29" s="492">
        <f t="shared" si="11"/>
        <v>111</v>
      </c>
      <c r="R29" s="904" t="s">
        <v>1254</v>
      </c>
      <c r="S29" s="905">
        <f t="shared" ref="S29:S47" si="12">F29</f>
        <v>100</v>
      </c>
      <c r="T29" s="904" t="s">
        <v>1254</v>
      </c>
      <c r="U29" s="905">
        <f t="shared" ref="U29:U47" si="13">H29</f>
        <v>100</v>
      </c>
      <c r="V29" s="904" t="s">
        <v>1254</v>
      </c>
      <c r="W29" s="905">
        <f t="shared" ref="W29:W47" si="14">J29</f>
        <v>100</v>
      </c>
      <c r="X29" s="898"/>
      <c r="Y29" s="3030"/>
      <c r="Z29" s="833">
        <f t="shared" ref="Z29:Z47" si="15">Q29</f>
        <v>111</v>
      </c>
      <c r="AA29" s="915">
        <f t="shared" si="3"/>
        <v>1</v>
      </c>
      <c r="AB29" s="915">
        <f t="shared" si="4"/>
        <v>1</v>
      </c>
      <c r="AC29" s="915">
        <f t="shared" si="5"/>
        <v>1</v>
      </c>
    </row>
    <row r="30" spans="1:29" ht="15">
      <c r="A30" s="744"/>
      <c r="B30" s="783">
        <v>111</v>
      </c>
      <c r="C30" s="1493"/>
      <c r="D30" s="753">
        <v>100</v>
      </c>
      <c r="E30" s="742"/>
      <c r="F30" s="753">
        <f>SUMIF(95:95,E30,96:96)-SUMIF(95:95,C30,96:96)+100</f>
        <v>100</v>
      </c>
      <c r="G30" s="1183"/>
      <c r="H30" s="753">
        <f>SUMIF(95:95,G30,96:96)-SUMIF(95:95,C30,96:96)+100</f>
        <v>100</v>
      </c>
      <c r="I30" s="742"/>
      <c r="J30" s="753">
        <f>SUMIF(95:95,I30,96:96)-SUMIF(95:95,C30,96:96)+100</f>
        <v>100</v>
      </c>
      <c r="K30" s="878"/>
      <c r="L30" s="873"/>
      <c r="M30" s="861"/>
      <c r="N30" s="861"/>
      <c r="O30" s="861"/>
      <c r="P30" s="3025"/>
      <c r="Q30" s="492">
        <f t="shared" si="11"/>
        <v>111</v>
      </c>
      <c r="R30" s="904" t="s">
        <v>1254</v>
      </c>
      <c r="S30" s="905">
        <f t="shared" si="12"/>
        <v>100</v>
      </c>
      <c r="T30" s="904" t="s">
        <v>1254</v>
      </c>
      <c r="U30" s="905">
        <f t="shared" si="13"/>
        <v>100</v>
      </c>
      <c r="V30" s="904" t="s">
        <v>1254</v>
      </c>
      <c r="W30" s="905">
        <f t="shared" si="14"/>
        <v>100</v>
      </c>
      <c r="X30" s="898"/>
      <c r="Y30" s="3030"/>
      <c r="Z30" s="833">
        <f t="shared" si="15"/>
        <v>111</v>
      </c>
      <c r="AA30" s="915">
        <f t="shared" si="3"/>
        <v>1</v>
      </c>
      <c r="AB30" s="915">
        <f t="shared" si="4"/>
        <v>1</v>
      </c>
      <c r="AC30" s="915">
        <f t="shared" si="5"/>
        <v>1</v>
      </c>
    </row>
    <row r="31" spans="1:29" ht="15">
      <c r="A31" s="744"/>
      <c r="B31" s="783">
        <v>111</v>
      </c>
      <c r="C31" s="1493"/>
      <c r="D31" s="753">
        <v>100</v>
      </c>
      <c r="E31" s="742"/>
      <c r="F31" s="753">
        <f>SUMIF(97:97,E31,98:98)-SUMIF(97:97,C31,98:98)+100</f>
        <v>100</v>
      </c>
      <c r="G31" s="1183"/>
      <c r="H31" s="753">
        <f>SUMIF(97:97,G31,98:98)-SUMIF(97:97,C31,98:98)+100</f>
        <v>100</v>
      </c>
      <c r="I31" s="742"/>
      <c r="J31" s="753">
        <f>SUMIF(97:97,I31,98:98)-SUMIF(97:97,C31,98:98)+100</f>
        <v>100</v>
      </c>
      <c r="K31" s="878"/>
      <c r="L31" s="873"/>
      <c r="M31" s="861"/>
      <c r="N31" s="861"/>
      <c r="O31" s="861"/>
      <c r="P31" s="3025"/>
      <c r="Q31" s="492">
        <f t="shared" si="11"/>
        <v>111</v>
      </c>
      <c r="R31" s="904" t="s">
        <v>1254</v>
      </c>
      <c r="S31" s="905">
        <f t="shared" si="12"/>
        <v>100</v>
      </c>
      <c r="T31" s="904" t="s">
        <v>1254</v>
      </c>
      <c r="U31" s="905">
        <f t="shared" si="13"/>
        <v>100</v>
      </c>
      <c r="V31" s="904" t="s">
        <v>1254</v>
      </c>
      <c r="W31" s="905">
        <f t="shared" si="14"/>
        <v>100</v>
      </c>
      <c r="X31" s="898"/>
      <c r="Y31" s="3030"/>
      <c r="Z31" s="833">
        <f t="shared" si="15"/>
        <v>111</v>
      </c>
      <c r="AA31" s="915">
        <f t="shared" si="3"/>
        <v>1</v>
      </c>
      <c r="AB31" s="915">
        <f t="shared" si="4"/>
        <v>1</v>
      </c>
      <c r="AC31" s="915">
        <f t="shared" si="5"/>
        <v>1</v>
      </c>
    </row>
    <row r="32" spans="1:29" ht="15">
      <c r="A32" s="754"/>
      <c r="B32" s="1185">
        <v>111</v>
      </c>
      <c r="C32" s="1186"/>
      <c r="D32" s="757">
        <v>100</v>
      </c>
      <c r="E32" s="1188"/>
      <c r="F32" s="757">
        <f>SUMIF(99:99,E32,100:100)-SUMIF(99:99,C32,100:100)+100</f>
        <v>100</v>
      </c>
      <c r="G32" s="1183"/>
      <c r="H32" s="757">
        <f>SUMIF(99:99,G32,100:100)-SUMIF(99:99,C32,100:100)+100</f>
        <v>100</v>
      </c>
      <c r="I32" s="742"/>
      <c r="J32" s="757">
        <f>SUMIF(99:99,I32,100:100)-SUMIF(99:99,C32,100:100)+100</f>
        <v>100</v>
      </c>
      <c r="K32" s="878"/>
      <c r="L32" s="873"/>
      <c r="M32" s="861"/>
      <c r="N32" s="861"/>
      <c r="O32" s="861"/>
      <c r="P32" s="3025"/>
      <c r="Q32" s="492">
        <f t="shared" si="11"/>
        <v>111</v>
      </c>
      <c r="R32" s="904" t="s">
        <v>1254</v>
      </c>
      <c r="S32" s="905">
        <f t="shared" si="12"/>
        <v>100</v>
      </c>
      <c r="T32" s="904" t="s">
        <v>1254</v>
      </c>
      <c r="U32" s="905">
        <f t="shared" si="13"/>
        <v>100</v>
      </c>
      <c r="V32" s="904" t="s">
        <v>1254</v>
      </c>
      <c r="W32" s="905">
        <f t="shared" si="14"/>
        <v>100</v>
      </c>
      <c r="X32" s="898"/>
      <c r="Y32" s="3030"/>
      <c r="Z32" s="833">
        <f t="shared" si="15"/>
        <v>111</v>
      </c>
      <c r="AA32" s="915">
        <f t="shared" si="3"/>
        <v>1</v>
      </c>
      <c r="AB32" s="915">
        <f t="shared" si="4"/>
        <v>1</v>
      </c>
      <c r="AC32" s="915">
        <f t="shared" si="5"/>
        <v>1</v>
      </c>
    </row>
    <row r="33" spans="1:29" ht="15">
      <c r="A33" s="758" t="s">
        <v>1276</v>
      </c>
      <c r="B33" s="737" t="s">
        <v>1277</v>
      </c>
      <c r="C33" s="1108" t="s">
        <v>1278</v>
      </c>
      <c r="D33" s="795">
        <v>100</v>
      </c>
      <c r="E33" s="1108" t="s">
        <v>1278</v>
      </c>
      <c r="F33" s="1103">
        <f>SUMIF(101:101,E33,102:102)-SUMIF(101:101,C33,102:102)+100</f>
        <v>100</v>
      </c>
      <c r="G33" s="1108" t="s">
        <v>1278</v>
      </c>
      <c r="H33" s="753">
        <f>SUMIF(101:101,G33,102:102)-SUMIF(101:101,C33,102:102)+100</f>
        <v>100</v>
      </c>
      <c r="I33" s="1108" t="s">
        <v>1278</v>
      </c>
      <c r="J33" s="795">
        <f>SUMIF(101:101,I33,102:102)-SUMIF(101:101,C33,102:102)+100</f>
        <v>100</v>
      </c>
      <c r="K33" s="879">
        <v>1</v>
      </c>
      <c r="L33" s="873"/>
      <c r="M33" s="861"/>
      <c r="N33" s="861"/>
      <c r="O33" s="861"/>
      <c r="P33" s="3026" t="s">
        <v>1279</v>
      </c>
      <c r="Q33" s="492" t="str">
        <f t="shared" si="11"/>
        <v>建筑类型</v>
      </c>
      <c r="R33" s="904" t="s">
        <v>1254</v>
      </c>
      <c r="S33" s="905">
        <f t="shared" si="12"/>
        <v>100</v>
      </c>
      <c r="T33" s="904" t="s">
        <v>1254</v>
      </c>
      <c r="U33" s="905">
        <f t="shared" si="13"/>
        <v>100</v>
      </c>
      <c r="V33" s="904" t="s">
        <v>1254</v>
      </c>
      <c r="W33" s="905">
        <f t="shared" si="14"/>
        <v>100</v>
      </c>
      <c r="X33" s="898"/>
      <c r="Y33" s="3031" t="s">
        <v>1279</v>
      </c>
      <c r="Z33" s="833" t="str">
        <f t="shared" si="15"/>
        <v>建筑类型</v>
      </c>
      <c r="AA33" s="915">
        <f t="shared" si="3"/>
        <v>1</v>
      </c>
      <c r="AB33" s="915">
        <f t="shared" si="4"/>
        <v>1</v>
      </c>
      <c r="AC33" s="915">
        <f t="shared" si="5"/>
        <v>1</v>
      </c>
    </row>
    <row r="34" spans="1:29" s="705" customFormat="1" ht="15">
      <c r="A34" s="800"/>
      <c r="B34" s="741" t="s">
        <v>1280</v>
      </c>
      <c r="C34" s="1094">
        <f>'数据-取费表'!E5</f>
        <v>107.22</v>
      </c>
      <c r="D34" s="743">
        <v>100</v>
      </c>
      <c r="E34" s="746">
        <v>106</v>
      </c>
      <c r="F34" s="1240">
        <f>LOOKUP(E34,104:104,105:105)-LOOKUP(C34,104:104,105:105)+100</f>
        <v>100</v>
      </c>
      <c r="G34" s="745">
        <v>134</v>
      </c>
      <c r="H34" s="743">
        <f>LOOKUP(G34,104:104,105:105)-LOOKUP(C34,104:104,105:105)+100</f>
        <v>100</v>
      </c>
      <c r="I34" s="745">
        <v>275</v>
      </c>
      <c r="J34" s="743">
        <f>LOOKUP(I34,104:104,105:105)-LOOKUP(C34,104:104,105:105)+100</f>
        <v>100</v>
      </c>
      <c r="K34" s="878"/>
      <c r="L34" s="871"/>
      <c r="M34" s="880"/>
      <c r="N34" s="880"/>
      <c r="O34" s="880"/>
      <c r="P34" s="3027"/>
      <c r="Q34" s="1147" t="str">
        <f t="shared" si="11"/>
        <v>项目建筑规模</v>
      </c>
      <c r="R34" s="906" t="s">
        <v>1254</v>
      </c>
      <c r="S34" s="907">
        <f t="shared" si="12"/>
        <v>100</v>
      </c>
      <c r="T34" s="906" t="s">
        <v>1254</v>
      </c>
      <c r="U34" s="907">
        <f t="shared" si="13"/>
        <v>100</v>
      </c>
      <c r="V34" s="906" t="s">
        <v>1254</v>
      </c>
      <c r="W34" s="907">
        <f t="shared" si="14"/>
        <v>100</v>
      </c>
      <c r="X34" s="908"/>
      <c r="Y34" s="3031"/>
      <c r="Z34" s="916" t="str">
        <f t="shared" si="15"/>
        <v>项目建筑规模</v>
      </c>
      <c r="AA34" s="915">
        <f t="shared" si="3"/>
        <v>1</v>
      </c>
      <c r="AB34" s="915">
        <f t="shared" si="4"/>
        <v>1</v>
      </c>
      <c r="AC34" s="915">
        <f t="shared" si="5"/>
        <v>1</v>
      </c>
    </row>
    <row r="35" spans="1:29" ht="15">
      <c r="A35" s="792"/>
      <c r="B35" s="741" t="s">
        <v>1281</v>
      </c>
      <c r="C35" s="1113" t="s">
        <v>1110</v>
      </c>
      <c r="D35" s="753">
        <v>100</v>
      </c>
      <c r="E35" s="1495" t="s">
        <v>1110</v>
      </c>
      <c r="F35" s="1103">
        <f>SUMIF(106:106,E35,107:107)-SUMIF(106:106,C35,107:107)+100</f>
        <v>100</v>
      </c>
      <c r="G35" s="1113" t="s">
        <v>1110</v>
      </c>
      <c r="H35" s="753">
        <f>SUMIF(106:106,G35,107:107)-SUMIF(106:106,C35,107:107)+100</f>
        <v>100</v>
      </c>
      <c r="I35" s="1113" t="s">
        <v>1110</v>
      </c>
      <c r="J35" s="753">
        <f>SUMIF(106:106,I35,107:107)-SUMIF(106:106,C35,107:107)+100</f>
        <v>100</v>
      </c>
      <c r="K35" s="879">
        <v>1</v>
      </c>
      <c r="L35" s="873"/>
      <c r="M35" s="861"/>
      <c r="N35" s="861"/>
      <c r="O35" s="861"/>
      <c r="P35" s="3027"/>
      <c r="Q35" s="492" t="str">
        <f t="shared" si="11"/>
        <v>建筑结构</v>
      </c>
      <c r="R35" s="904" t="s">
        <v>1254</v>
      </c>
      <c r="S35" s="905">
        <f t="shared" si="12"/>
        <v>100</v>
      </c>
      <c r="T35" s="904" t="s">
        <v>1254</v>
      </c>
      <c r="U35" s="905">
        <f t="shared" si="13"/>
        <v>100</v>
      </c>
      <c r="V35" s="904" t="s">
        <v>1254</v>
      </c>
      <c r="W35" s="905">
        <f t="shared" si="14"/>
        <v>100</v>
      </c>
      <c r="X35" s="898"/>
      <c r="Y35" s="3031"/>
      <c r="Z35" s="833" t="str">
        <f t="shared" si="15"/>
        <v>建筑结构</v>
      </c>
      <c r="AA35" s="915">
        <f t="shared" si="3"/>
        <v>1</v>
      </c>
      <c r="AB35" s="915">
        <f t="shared" si="4"/>
        <v>1</v>
      </c>
      <c r="AC35" s="915">
        <f t="shared" si="5"/>
        <v>1</v>
      </c>
    </row>
    <row r="36" spans="1:29" ht="15">
      <c r="A36" s="792"/>
      <c r="B36" s="741" t="s">
        <v>1282</v>
      </c>
      <c r="C36" s="1113" t="s">
        <v>1283</v>
      </c>
      <c r="D36" s="753">
        <v>100</v>
      </c>
      <c r="E36" s="1113" t="s">
        <v>1283</v>
      </c>
      <c r="F36" s="1103">
        <f>SUMIF(108:108,E36,109:109)-SUMIF(108:108,C36,109:109)+100</f>
        <v>100</v>
      </c>
      <c r="G36" s="1113" t="s">
        <v>1283</v>
      </c>
      <c r="H36" s="753">
        <f>SUMIF(108:108,G36,109:109)-SUMIF(108:108,C36,109:109)+100</f>
        <v>100</v>
      </c>
      <c r="I36" s="1113" t="s">
        <v>1283</v>
      </c>
      <c r="J36" s="753">
        <f>SUMIF(108:108,I36,109:109)-SUMIF(108:108,C36,109:109)+100</f>
        <v>100</v>
      </c>
      <c r="K36" s="879">
        <v>1</v>
      </c>
      <c r="L36" s="873"/>
      <c r="M36" s="861"/>
      <c r="N36" s="861"/>
      <c r="O36" s="861"/>
      <c r="P36" s="3027"/>
      <c r="Q36" s="492" t="str">
        <f t="shared" si="11"/>
        <v>公共部分装修</v>
      </c>
      <c r="R36" s="904" t="s">
        <v>1254</v>
      </c>
      <c r="S36" s="905">
        <f t="shared" si="12"/>
        <v>100</v>
      </c>
      <c r="T36" s="904" t="s">
        <v>1254</v>
      </c>
      <c r="U36" s="905">
        <f t="shared" si="13"/>
        <v>100</v>
      </c>
      <c r="V36" s="904" t="s">
        <v>1254</v>
      </c>
      <c r="W36" s="905">
        <f t="shared" si="14"/>
        <v>100</v>
      </c>
      <c r="X36" s="898"/>
      <c r="Y36" s="3031"/>
      <c r="Z36" s="833" t="str">
        <f t="shared" si="15"/>
        <v>公共部分装修</v>
      </c>
      <c r="AA36" s="915">
        <f t="shared" si="3"/>
        <v>1</v>
      </c>
      <c r="AB36" s="915">
        <f t="shared" si="4"/>
        <v>1</v>
      </c>
      <c r="AC36" s="915">
        <f t="shared" si="5"/>
        <v>1</v>
      </c>
    </row>
    <row r="37" spans="1:29" ht="15">
      <c r="A37" s="792"/>
      <c r="B37" s="741" t="s">
        <v>1284</v>
      </c>
      <c r="C37" s="1110">
        <f>'数据-取费表'!E20</f>
        <v>0.84</v>
      </c>
      <c r="D37" s="753">
        <v>100</v>
      </c>
      <c r="E37" s="1110">
        <f>C37</f>
        <v>0.84</v>
      </c>
      <c r="F37" s="1103">
        <f>LOOKUP(E37,111:111,112:112)-LOOKUP(C37,111:111,112:112)+100</f>
        <v>100</v>
      </c>
      <c r="G37" s="1110">
        <v>0.87</v>
      </c>
      <c r="H37" s="1103">
        <f>LOOKUP(G37,111:111,112:112)-LOOKUP(C37,111:111,112:112)+100</f>
        <v>100</v>
      </c>
      <c r="I37" s="1110">
        <v>0.87</v>
      </c>
      <c r="J37" s="753">
        <f>LOOKUP(I37,111:111,112:112)-LOOKUP(C37,111:111,112:112)+100</f>
        <v>100</v>
      </c>
      <c r="K37" s="879">
        <v>1</v>
      </c>
      <c r="L37" s="873"/>
      <c r="M37" s="861"/>
      <c r="N37" s="861"/>
      <c r="O37" s="861"/>
      <c r="P37" s="3027"/>
      <c r="Q37" s="492" t="str">
        <f t="shared" si="11"/>
        <v>成新度</v>
      </c>
      <c r="R37" s="904" t="s">
        <v>1254</v>
      </c>
      <c r="S37" s="905">
        <f t="shared" si="12"/>
        <v>100</v>
      </c>
      <c r="T37" s="904" t="s">
        <v>1254</v>
      </c>
      <c r="U37" s="905">
        <f t="shared" si="13"/>
        <v>100</v>
      </c>
      <c r="V37" s="904" t="s">
        <v>1254</v>
      </c>
      <c r="W37" s="905">
        <f t="shared" si="14"/>
        <v>100</v>
      </c>
      <c r="X37" s="898"/>
      <c r="Y37" s="3031"/>
      <c r="Z37" s="833" t="str">
        <f t="shared" si="15"/>
        <v>成新度</v>
      </c>
      <c r="AA37" s="915">
        <f t="shared" si="3"/>
        <v>1</v>
      </c>
      <c r="AB37" s="915">
        <f t="shared" si="4"/>
        <v>1</v>
      </c>
      <c r="AC37" s="915">
        <f t="shared" si="5"/>
        <v>1</v>
      </c>
    </row>
    <row r="38" spans="1:29" s="703" customFormat="1" ht="15">
      <c r="A38" s="797"/>
      <c r="B38" s="741" t="s">
        <v>1285</v>
      </c>
      <c r="C38" s="1113" t="s">
        <v>1286</v>
      </c>
      <c r="D38" s="743">
        <v>100</v>
      </c>
      <c r="E38" s="1113" t="s">
        <v>1286</v>
      </c>
      <c r="F38" s="1103">
        <f>SUMIF(113:113,E38,114:114)-SUMIF(113:113,C38,114:114)+100</f>
        <v>100</v>
      </c>
      <c r="G38" s="1113" t="s">
        <v>1286</v>
      </c>
      <c r="H38" s="753">
        <f>SUMIF(113:113,G38,114:114)-SUMIF(113:113,C38,114:114)+100</f>
        <v>100</v>
      </c>
      <c r="I38" s="1113" t="s">
        <v>1286</v>
      </c>
      <c r="J38" s="753">
        <f>SUMIF(113:113,I38,114:114)-SUMIF(113:113,C38,114:114)+100</f>
        <v>100</v>
      </c>
      <c r="K38" s="879">
        <v>1</v>
      </c>
      <c r="L38" s="863"/>
      <c r="M38" s="864"/>
      <c r="N38" s="864"/>
      <c r="O38" s="864"/>
      <c r="P38" s="3027"/>
      <c r="Q38" s="903" t="str">
        <f t="shared" si="11"/>
        <v>写字楼等级</v>
      </c>
      <c r="R38" s="900" t="s">
        <v>1254</v>
      </c>
      <c r="S38" s="901">
        <f t="shared" si="12"/>
        <v>100</v>
      </c>
      <c r="T38" s="900" t="s">
        <v>1254</v>
      </c>
      <c r="U38" s="901">
        <f t="shared" si="13"/>
        <v>100</v>
      </c>
      <c r="V38" s="900" t="s">
        <v>1254</v>
      </c>
      <c r="W38" s="901">
        <f t="shared" si="14"/>
        <v>100</v>
      </c>
      <c r="X38" s="902"/>
      <c r="Y38" s="3031"/>
      <c r="Z38" s="914" t="str">
        <f t="shared" si="15"/>
        <v>写字楼等级</v>
      </c>
      <c r="AA38" s="913">
        <f t="shared" si="3"/>
        <v>1</v>
      </c>
      <c r="AB38" s="913">
        <f t="shared" si="4"/>
        <v>1</v>
      </c>
      <c r="AC38" s="913">
        <f t="shared" si="5"/>
        <v>1</v>
      </c>
    </row>
    <row r="39" spans="1:29" ht="15">
      <c r="A39" s="792"/>
      <c r="B39" s="741" t="s">
        <v>1287</v>
      </c>
      <c r="C39" s="1113" t="s">
        <v>1288</v>
      </c>
      <c r="D39" s="753">
        <v>100</v>
      </c>
      <c r="E39" s="1113" t="s">
        <v>1288</v>
      </c>
      <c r="F39" s="1103">
        <f>SUMIF(115:115,E39,116:116)-SUMIF(115:115,C39,116:116)+100</f>
        <v>100</v>
      </c>
      <c r="G39" s="1113" t="s">
        <v>1288</v>
      </c>
      <c r="H39" s="753">
        <f>SUMIF(115:115,G39,116:116)-SUMIF(115:115,C39,116:116)+100</f>
        <v>100</v>
      </c>
      <c r="I39" s="1113" t="s">
        <v>1288</v>
      </c>
      <c r="J39" s="753">
        <f>SUMIF(115:115,I39,116:116)-SUMIF(115:115,C39,116:116)+100</f>
        <v>100</v>
      </c>
      <c r="K39" s="879">
        <v>1</v>
      </c>
      <c r="L39" s="873"/>
      <c r="M39" s="861"/>
      <c r="N39" s="861"/>
      <c r="O39" s="861"/>
      <c r="P39" s="3027" t="s">
        <v>1279</v>
      </c>
      <c r="Q39" s="492" t="str">
        <f t="shared" si="11"/>
        <v>物业管理</v>
      </c>
      <c r="R39" s="904" t="s">
        <v>1254</v>
      </c>
      <c r="S39" s="905">
        <f t="shared" si="12"/>
        <v>100</v>
      </c>
      <c r="T39" s="904" t="s">
        <v>1254</v>
      </c>
      <c r="U39" s="905">
        <f t="shared" si="13"/>
        <v>100</v>
      </c>
      <c r="V39" s="904" t="s">
        <v>1254</v>
      </c>
      <c r="W39" s="905">
        <f t="shared" si="14"/>
        <v>100</v>
      </c>
      <c r="X39" s="898"/>
      <c r="Y39" s="3031" t="s">
        <v>1279</v>
      </c>
      <c r="Z39" s="833" t="str">
        <f t="shared" si="15"/>
        <v>物业管理</v>
      </c>
      <c r="AA39" s="915">
        <f t="shared" si="3"/>
        <v>1</v>
      </c>
      <c r="AB39" s="915">
        <f t="shared" si="4"/>
        <v>1</v>
      </c>
      <c r="AC39" s="915">
        <f t="shared" si="5"/>
        <v>1</v>
      </c>
    </row>
    <row r="40" spans="1:29" ht="15">
      <c r="A40" s="792"/>
      <c r="B40" s="741" t="s">
        <v>1289</v>
      </c>
      <c r="C40" s="1113" t="s">
        <v>1290</v>
      </c>
      <c r="D40" s="753">
        <v>100</v>
      </c>
      <c r="E40" s="1113" t="s">
        <v>1290</v>
      </c>
      <c r="F40" s="1103">
        <f>SUMIF(117:117,E40,118:118)-SUMIF(117:117,C40,118:118)+100</f>
        <v>100</v>
      </c>
      <c r="G40" s="1113" t="s">
        <v>1290</v>
      </c>
      <c r="H40" s="753">
        <f>SUMIF(117:117,G40,118:118)-SUMIF(117:117,C40,118:118)+100</f>
        <v>100</v>
      </c>
      <c r="I40" s="1113" t="s">
        <v>1290</v>
      </c>
      <c r="J40" s="753">
        <f>SUMIF(117:117,I40,118:118)-SUMIF(117:117,C40,118:118)+100</f>
        <v>100</v>
      </c>
      <c r="K40" s="879">
        <v>1</v>
      </c>
      <c r="L40" s="873"/>
      <c r="M40" s="861"/>
      <c r="N40" s="861"/>
      <c r="O40" s="861"/>
      <c r="P40" s="3027"/>
      <c r="Q40" s="492" t="str">
        <f t="shared" si="11"/>
        <v>市政基础设施</v>
      </c>
      <c r="R40" s="904" t="s">
        <v>1254</v>
      </c>
      <c r="S40" s="905">
        <f t="shared" si="12"/>
        <v>100</v>
      </c>
      <c r="T40" s="904" t="s">
        <v>1254</v>
      </c>
      <c r="U40" s="905">
        <f t="shared" si="13"/>
        <v>100</v>
      </c>
      <c r="V40" s="904" t="s">
        <v>1254</v>
      </c>
      <c r="W40" s="905">
        <f t="shared" si="14"/>
        <v>100</v>
      </c>
      <c r="X40" s="898"/>
      <c r="Y40" s="3031"/>
      <c r="Z40" s="833" t="str">
        <f t="shared" si="15"/>
        <v>市政基础设施</v>
      </c>
      <c r="AA40" s="915">
        <f t="shared" si="3"/>
        <v>1</v>
      </c>
      <c r="AB40" s="915">
        <f t="shared" si="4"/>
        <v>1</v>
      </c>
      <c r="AC40" s="915">
        <f t="shared" si="5"/>
        <v>1</v>
      </c>
    </row>
    <row r="41" spans="1:29" ht="15">
      <c r="A41" s="792"/>
      <c r="B41" s="741" t="s">
        <v>1291</v>
      </c>
      <c r="C41" s="778"/>
      <c r="D41" s="753">
        <v>100</v>
      </c>
      <c r="E41" s="778"/>
      <c r="F41" s="1103">
        <f>SUMIF(119:119,E41,120:120)-SUMIF(119:119,C41,120:120)+100</f>
        <v>100</v>
      </c>
      <c r="G41" s="778"/>
      <c r="H41" s="753">
        <f>SUMIF(119:119,G41,120:120)-SUMIF(119:119,C41,120:120)+100</f>
        <v>100</v>
      </c>
      <c r="I41" s="778"/>
      <c r="J41" s="753">
        <f>SUMIF(119:119,I41,120:120)-SUMIF(119:119,C41,120:120)+100</f>
        <v>100</v>
      </c>
      <c r="K41" s="879">
        <v>1</v>
      </c>
      <c r="L41" s="873"/>
      <c r="M41" s="861"/>
      <c r="N41" s="861"/>
      <c r="O41" s="861"/>
      <c r="P41" s="3027"/>
      <c r="Q41" s="492" t="str">
        <f t="shared" si="11"/>
        <v>层高</v>
      </c>
      <c r="R41" s="904" t="s">
        <v>1254</v>
      </c>
      <c r="S41" s="905">
        <f t="shared" si="12"/>
        <v>100</v>
      </c>
      <c r="T41" s="904" t="s">
        <v>1254</v>
      </c>
      <c r="U41" s="905">
        <f t="shared" si="13"/>
        <v>100</v>
      </c>
      <c r="V41" s="904" t="s">
        <v>1254</v>
      </c>
      <c r="W41" s="905">
        <f t="shared" si="14"/>
        <v>100</v>
      </c>
      <c r="X41" s="898"/>
      <c r="Y41" s="3031"/>
      <c r="Z41" s="833" t="str">
        <f t="shared" si="15"/>
        <v>层高</v>
      </c>
      <c r="AA41" s="915">
        <f t="shared" si="3"/>
        <v>1</v>
      </c>
      <c r="AB41" s="915">
        <f t="shared" si="4"/>
        <v>1</v>
      </c>
      <c r="AC41" s="915">
        <f t="shared" si="5"/>
        <v>1</v>
      </c>
    </row>
    <row r="42" spans="1:29" s="705" customFormat="1" ht="15">
      <c r="A42" s="800"/>
      <c r="B42" s="888" t="s">
        <v>1292</v>
      </c>
      <c r="C42" s="752"/>
      <c r="D42" s="753">
        <v>100</v>
      </c>
      <c r="E42" s="752"/>
      <c r="F42" s="1103">
        <f>SUMIF(121:121,E42,122:122)-SUMIF(121:121,C42,122:122)+100</f>
        <v>100</v>
      </c>
      <c r="G42" s="752"/>
      <c r="H42" s="753">
        <f>SUMIF(121:121,G42,122:122)-SUMIF(121:121,C42,122:122)+100</f>
        <v>100</v>
      </c>
      <c r="I42" s="752"/>
      <c r="J42" s="753">
        <f>SUMIF(121:121,I42,122:122)-SUMIF(121:121,C42,122:122)+100</f>
        <v>100</v>
      </c>
      <c r="K42" s="878"/>
      <c r="L42" s="871"/>
      <c r="M42" s="880"/>
      <c r="N42" s="880"/>
      <c r="O42" s="880"/>
      <c r="P42" s="3027"/>
      <c r="Q42" s="1147" t="str">
        <f t="shared" si="11"/>
        <v>单套建筑面积</v>
      </c>
      <c r="R42" s="906" t="s">
        <v>1254</v>
      </c>
      <c r="S42" s="907">
        <f t="shared" si="12"/>
        <v>100</v>
      </c>
      <c r="T42" s="906" t="s">
        <v>1254</v>
      </c>
      <c r="U42" s="907">
        <f t="shared" si="13"/>
        <v>100</v>
      </c>
      <c r="V42" s="906" t="s">
        <v>1254</v>
      </c>
      <c r="W42" s="907">
        <f t="shared" si="14"/>
        <v>100</v>
      </c>
      <c r="X42" s="908"/>
      <c r="Y42" s="3031"/>
      <c r="Z42" s="916" t="str">
        <f t="shared" si="15"/>
        <v>单套建筑面积</v>
      </c>
      <c r="AA42" s="915">
        <f t="shared" si="3"/>
        <v>1</v>
      </c>
      <c r="AB42" s="915">
        <f t="shared" si="4"/>
        <v>1</v>
      </c>
      <c r="AC42" s="915">
        <f t="shared" si="5"/>
        <v>1</v>
      </c>
    </row>
    <row r="43" spans="1:29" ht="15">
      <c r="A43" s="792"/>
      <c r="B43" s="741" t="s">
        <v>1293</v>
      </c>
      <c r="C43" s="1113" t="s">
        <v>1283</v>
      </c>
      <c r="D43" s="753">
        <v>100</v>
      </c>
      <c r="E43" s="1113" t="s">
        <v>1283</v>
      </c>
      <c r="F43" s="1103">
        <f>SUMIF(123:123,E43,124:124)-SUMIF(123:123,C43,124:124)+100</f>
        <v>100</v>
      </c>
      <c r="G43" s="1113" t="s">
        <v>1283</v>
      </c>
      <c r="H43" s="753">
        <f>SUMIF(123:123,G43,124:124)-SUMIF(123:123,C43,124:124)+100</f>
        <v>100</v>
      </c>
      <c r="I43" s="1113" t="s">
        <v>1283</v>
      </c>
      <c r="J43" s="753">
        <f>SUMIF(123:123,I43,124:124)-SUMIF(123:123,C43,124:124)+100</f>
        <v>100</v>
      </c>
      <c r="K43" s="879">
        <v>3</v>
      </c>
      <c r="L43" s="873"/>
      <c r="M43" s="861"/>
      <c r="N43" s="861"/>
      <c r="O43" s="861"/>
      <c r="P43" s="3027"/>
      <c r="Q43" s="492" t="str">
        <f t="shared" si="11"/>
        <v>内部装修</v>
      </c>
      <c r="R43" s="904" t="s">
        <v>1254</v>
      </c>
      <c r="S43" s="905">
        <f t="shared" si="12"/>
        <v>100</v>
      </c>
      <c r="T43" s="904" t="s">
        <v>1254</v>
      </c>
      <c r="U43" s="905">
        <f t="shared" si="13"/>
        <v>100</v>
      </c>
      <c r="V43" s="904" t="s">
        <v>1254</v>
      </c>
      <c r="W43" s="905">
        <f t="shared" si="14"/>
        <v>100</v>
      </c>
      <c r="X43" s="898"/>
      <c r="Y43" s="3031"/>
      <c r="Z43" s="833" t="str">
        <f t="shared" si="15"/>
        <v>内部装修</v>
      </c>
      <c r="AA43" s="915">
        <f t="shared" si="3"/>
        <v>1</v>
      </c>
      <c r="AB43" s="915">
        <f t="shared" si="4"/>
        <v>1</v>
      </c>
      <c r="AC43" s="915">
        <f t="shared" si="5"/>
        <v>1</v>
      </c>
    </row>
    <row r="44" spans="1:29" ht="15">
      <c r="A44" s="792"/>
      <c r="B44" s="741" t="s">
        <v>217</v>
      </c>
      <c r="C44" s="1113" t="s">
        <v>1268</v>
      </c>
      <c r="D44" s="753">
        <v>100</v>
      </c>
      <c r="E44" s="1113" t="s">
        <v>1268</v>
      </c>
      <c r="F44" s="1103">
        <f>SUMIF(125:125,E44,126:126)-SUMIF(125:125,C44,126:126)+100</f>
        <v>100</v>
      </c>
      <c r="G44" s="1113" t="s">
        <v>1268</v>
      </c>
      <c r="H44" s="753">
        <f>SUMIF(125:125,G44,126:126)-SUMIF(125:125,C44,126:126)+100</f>
        <v>100</v>
      </c>
      <c r="I44" s="1113" t="s">
        <v>1268</v>
      </c>
      <c r="J44" s="753">
        <f>SUMIF(125:125,I44,126:126)-SUMIF(125:125,C44,126:126)+100</f>
        <v>100</v>
      </c>
      <c r="K44" s="879">
        <v>2</v>
      </c>
      <c r="L44" s="873"/>
      <c r="M44" s="861"/>
      <c r="N44" s="861"/>
      <c r="O44" s="861"/>
      <c r="P44" s="3027"/>
      <c r="Q44" s="492" t="str">
        <f t="shared" si="11"/>
        <v>内部装修维护情况</v>
      </c>
      <c r="R44" s="904" t="s">
        <v>1254</v>
      </c>
      <c r="S44" s="905">
        <f t="shared" si="12"/>
        <v>100</v>
      </c>
      <c r="T44" s="904" t="s">
        <v>1254</v>
      </c>
      <c r="U44" s="905">
        <f t="shared" si="13"/>
        <v>100</v>
      </c>
      <c r="V44" s="904" t="s">
        <v>1254</v>
      </c>
      <c r="W44" s="905">
        <f t="shared" si="14"/>
        <v>100</v>
      </c>
      <c r="X44" s="898"/>
      <c r="Y44" s="3031"/>
      <c r="Z44" s="833" t="str">
        <f t="shared" si="15"/>
        <v>内部装修维护情况</v>
      </c>
      <c r="AA44" s="915">
        <f t="shared" si="3"/>
        <v>1</v>
      </c>
      <c r="AB44" s="915">
        <f t="shared" si="4"/>
        <v>1</v>
      </c>
      <c r="AC44" s="915">
        <f t="shared" si="5"/>
        <v>1</v>
      </c>
    </row>
    <row r="45" spans="1:29" s="703" customFormat="1" ht="15">
      <c r="A45" s="797"/>
      <c r="B45" s="1237">
        <v>111</v>
      </c>
      <c r="C45" s="1094"/>
      <c r="D45" s="743">
        <v>100</v>
      </c>
      <c r="E45" s="742"/>
      <c r="F45" s="1240">
        <f>SUMIF(127:127,E45,128:128)-SUMIF(127:127,C45,128:128)+100</f>
        <v>100</v>
      </c>
      <c r="G45" s="742"/>
      <c r="H45" s="743">
        <f>SUMIF(127:127,G45,128:128)-SUMIF(127:127,C45,128:128)+100</f>
        <v>100</v>
      </c>
      <c r="I45" s="742"/>
      <c r="J45" s="743">
        <f>SUMIF(127:127,I45,128:128)-SUMIF(127:127,C45,128:128)+100</f>
        <v>100</v>
      </c>
      <c r="K45" s="878"/>
      <c r="L45" s="863"/>
      <c r="M45" s="864"/>
      <c r="N45" s="864"/>
      <c r="O45" s="864"/>
      <c r="P45" s="3027"/>
      <c r="Q45" s="903">
        <f t="shared" si="11"/>
        <v>111</v>
      </c>
      <c r="R45" s="900" t="s">
        <v>1254</v>
      </c>
      <c r="S45" s="901">
        <f t="shared" si="12"/>
        <v>100</v>
      </c>
      <c r="T45" s="900" t="s">
        <v>1254</v>
      </c>
      <c r="U45" s="901">
        <f t="shared" si="13"/>
        <v>100</v>
      </c>
      <c r="V45" s="900" t="s">
        <v>1254</v>
      </c>
      <c r="W45" s="901">
        <f t="shared" si="14"/>
        <v>100</v>
      </c>
      <c r="X45" s="902"/>
      <c r="Y45" s="3031"/>
      <c r="Z45" s="914">
        <f t="shared" si="15"/>
        <v>111</v>
      </c>
      <c r="AA45" s="913">
        <f t="shared" si="3"/>
        <v>1</v>
      </c>
      <c r="AB45" s="913">
        <f t="shared" si="4"/>
        <v>1</v>
      </c>
      <c r="AC45" s="913">
        <f t="shared" si="5"/>
        <v>1</v>
      </c>
    </row>
    <row r="46" spans="1:29" ht="15">
      <c r="A46" s="792"/>
      <c r="B46" s="1237">
        <v>111</v>
      </c>
      <c r="C46" s="752"/>
      <c r="D46" s="753">
        <v>100</v>
      </c>
      <c r="E46" s="742"/>
      <c r="F46" s="1103">
        <f>SUMIF(129:129,E46,130:130)-SUMIF(129:129,C46,130:130)+100</f>
        <v>100</v>
      </c>
      <c r="G46" s="742"/>
      <c r="H46" s="753">
        <f>SUMIF(129:129,G46,130:130)-SUMIF(129:129,C46,130:130)+100</f>
        <v>100</v>
      </c>
      <c r="I46" s="742"/>
      <c r="J46" s="753">
        <f>SUMIF(129:129,I46,130:130)-SUMIF(129:129,C46,130:130)+100</f>
        <v>100</v>
      </c>
      <c r="K46" s="878"/>
      <c r="L46" s="873"/>
      <c r="M46" s="861"/>
      <c r="N46" s="861"/>
      <c r="O46" s="861"/>
      <c r="P46" s="3027"/>
      <c r="Q46" s="492">
        <f t="shared" si="11"/>
        <v>111</v>
      </c>
      <c r="R46" s="904" t="s">
        <v>1254</v>
      </c>
      <c r="S46" s="905">
        <f t="shared" si="12"/>
        <v>100</v>
      </c>
      <c r="T46" s="904" t="s">
        <v>1254</v>
      </c>
      <c r="U46" s="905">
        <f t="shared" si="13"/>
        <v>100</v>
      </c>
      <c r="V46" s="904" t="s">
        <v>1254</v>
      </c>
      <c r="W46" s="905">
        <f t="shared" si="14"/>
        <v>100</v>
      </c>
      <c r="X46" s="898"/>
      <c r="Y46" s="3031"/>
      <c r="Z46" s="833">
        <f t="shared" si="15"/>
        <v>111</v>
      </c>
      <c r="AA46" s="915">
        <f t="shared" si="3"/>
        <v>1</v>
      </c>
      <c r="AB46" s="915">
        <f t="shared" si="4"/>
        <v>1</v>
      </c>
      <c r="AC46" s="915">
        <f t="shared" si="5"/>
        <v>1</v>
      </c>
    </row>
    <row r="47" spans="1:29" ht="15">
      <c r="A47" s="1115"/>
      <c r="B47" s="755">
        <v>111</v>
      </c>
      <c r="C47" s="756"/>
      <c r="D47" s="757">
        <v>100</v>
      </c>
      <c r="E47" s="742"/>
      <c r="F47" s="1117">
        <f>SUMIF(131:131,E47,132:132)-SUMIF(131:131,C47,132:132)+100</f>
        <v>100</v>
      </c>
      <c r="G47" s="742"/>
      <c r="H47" s="757">
        <f>SUMIF(131:131,G47,132:132)-SUMIF(131:131,C47,132:132)+100</f>
        <v>100</v>
      </c>
      <c r="I47" s="742"/>
      <c r="J47" s="757">
        <f>SUMIF(131:131,I47,132:132)-SUMIF(131:131,C47,132:132)+100</f>
        <v>100</v>
      </c>
      <c r="K47" s="878"/>
      <c r="L47" s="873"/>
      <c r="M47" s="861"/>
      <c r="N47" s="861"/>
      <c r="O47" s="861"/>
      <c r="P47" s="3028"/>
      <c r="Q47" s="492">
        <f t="shared" si="11"/>
        <v>111</v>
      </c>
      <c r="R47" s="904" t="s">
        <v>1254</v>
      </c>
      <c r="S47" s="905">
        <f t="shared" si="12"/>
        <v>100</v>
      </c>
      <c r="T47" s="904" t="s">
        <v>1254</v>
      </c>
      <c r="U47" s="905">
        <f t="shared" si="13"/>
        <v>100</v>
      </c>
      <c r="V47" s="904" t="s">
        <v>1254</v>
      </c>
      <c r="W47" s="905">
        <f t="shared" si="14"/>
        <v>100</v>
      </c>
      <c r="X47" s="898"/>
      <c r="Y47" s="3032"/>
      <c r="Z47" s="833">
        <f t="shared" si="15"/>
        <v>111</v>
      </c>
      <c r="AA47" s="915">
        <f t="shared" si="3"/>
        <v>1</v>
      </c>
      <c r="AB47" s="915">
        <f t="shared" si="4"/>
        <v>1</v>
      </c>
      <c r="AC47" s="915">
        <f t="shared" si="5"/>
        <v>1</v>
      </c>
    </row>
    <row r="48" spans="1:29" ht="15">
      <c r="A48" s="802" t="s">
        <v>1294</v>
      </c>
      <c r="B48" s="1118"/>
      <c r="C48" s="1119" t="s">
        <v>121</v>
      </c>
      <c r="D48" s="1120"/>
      <c r="E48" s="1121">
        <f>ROUND(41000*C51,0)</f>
        <v>40590</v>
      </c>
      <c r="F48" s="1122"/>
      <c r="G48" s="1123">
        <f>ROUND(40000*C51,0)</f>
        <v>39600</v>
      </c>
      <c r="H48" s="1124"/>
      <c r="I48" s="1121">
        <f>ROUND(44000*C51,0)</f>
        <v>43560</v>
      </c>
      <c r="J48" s="1124"/>
      <c r="K48" s="884"/>
      <c r="L48" s="885"/>
      <c r="M48" s="861"/>
      <c r="N48" s="861"/>
      <c r="O48" s="861"/>
      <c r="P48" s="3021" t="str">
        <f>A48</f>
        <v>成交单价（元/平方米）</v>
      </c>
      <c r="Q48" s="3022"/>
      <c r="R48" s="3023">
        <f>E48</f>
        <v>40590</v>
      </c>
      <c r="S48" s="3023"/>
      <c r="T48" s="3023">
        <f>G48</f>
        <v>39600</v>
      </c>
      <c r="U48" s="3023"/>
      <c r="V48" s="3023">
        <f>I48</f>
        <v>43560</v>
      </c>
      <c r="W48" s="3023"/>
      <c r="X48" s="849"/>
      <c r="Y48" s="917"/>
      <c r="Z48" s="849"/>
      <c r="AA48" s="849"/>
      <c r="AB48" s="849"/>
      <c r="AC48" s="849"/>
    </row>
    <row r="49" spans="1:29" ht="15">
      <c r="A49" s="810" t="s">
        <v>1295</v>
      </c>
      <c r="B49" s="1125"/>
      <c r="C49" s="1126">
        <f>R50</f>
        <v>42092</v>
      </c>
      <c r="D49" s="1127"/>
      <c r="E49" s="1128">
        <f>R49</f>
        <v>41418</v>
      </c>
      <c r="F49" s="1128"/>
      <c r="G49" s="1126">
        <f>T49</f>
        <v>40408</v>
      </c>
      <c r="H49" s="1127"/>
      <c r="I49" s="1128">
        <f>V49</f>
        <v>44449</v>
      </c>
      <c r="J49" s="1127"/>
      <c r="K49" s="886"/>
      <c r="L49" s="885"/>
      <c r="M49" s="861"/>
      <c r="N49" s="861"/>
      <c r="O49" s="861"/>
      <c r="P49" s="3021" t="str">
        <f>A49</f>
        <v>比较价值（元/平方米）</v>
      </c>
      <c r="Q49" s="3022"/>
      <c r="R49" s="3023">
        <f>IF(E1="售价",ROUND(PRODUCT(R48,AA7:AA47),0),ROUND(PRODUCT(R48,AA7:AA47),1))</f>
        <v>41418</v>
      </c>
      <c r="S49" s="3023"/>
      <c r="T49" s="3023">
        <f>IF(E1="售价",ROUND(PRODUCT(T48,AB7:AB47),0),ROUND(PRODUCT(T48,AB7:AB47),1))</f>
        <v>40408</v>
      </c>
      <c r="U49" s="3023"/>
      <c r="V49" s="3023">
        <f>IF(E1="售价",ROUND(PRODUCT(V48,AC7:AC47),0),ROUND(PRODUCT(V48,AC7:AC47),1))</f>
        <v>44449</v>
      </c>
      <c r="W49" s="3023"/>
      <c r="X49" s="849"/>
      <c r="Y49" s="849"/>
      <c r="Z49" s="849"/>
      <c r="AA49" s="849"/>
      <c r="AB49" s="849"/>
      <c r="AC49" s="849"/>
    </row>
    <row r="50" spans="1:29" ht="15">
      <c r="A50" s="816" t="s">
        <v>1296</v>
      </c>
      <c r="B50" s="817"/>
      <c r="C50" s="1129">
        <f>R50</f>
        <v>42092</v>
      </c>
      <c r="D50" s="1129"/>
      <c r="E50" s="1129"/>
      <c r="F50" s="1129"/>
      <c r="G50" s="1129"/>
      <c r="H50" s="1129"/>
      <c r="I50" s="1129"/>
      <c r="J50" s="1129"/>
      <c r="K50" s="887"/>
      <c r="L50" s="885"/>
      <c r="M50" s="861"/>
      <c r="N50" s="861"/>
      <c r="O50" s="861"/>
      <c r="P50" s="3033" t="str">
        <f>A50</f>
        <v>估价对象XX用房的比较价值（楼面单价，元/平方米）</v>
      </c>
      <c r="Q50" s="3021"/>
      <c r="R50" s="3034">
        <f>IF(E1="售价",ROUND(AVERAGE(R49:V49),0),ROUND(AVERAGE(R49:V49),1))</f>
        <v>42092</v>
      </c>
      <c r="S50" s="3034"/>
      <c r="T50" s="3034"/>
      <c r="U50" s="3034"/>
      <c r="V50" s="3034"/>
      <c r="W50" s="3034"/>
      <c r="X50" s="849"/>
      <c r="Y50" s="849"/>
      <c r="Z50" s="849"/>
      <c r="AA50" s="849"/>
      <c r="AB50" s="849"/>
      <c r="AC50" s="849"/>
    </row>
    <row r="51" spans="1:29">
      <c r="A51" s="819"/>
      <c r="B51" s="819"/>
      <c r="C51" s="819">
        <v>0.99</v>
      </c>
      <c r="D51" s="819"/>
      <c r="E51" s="819"/>
      <c r="F51" s="819"/>
      <c r="G51" s="820"/>
      <c r="H51" s="819"/>
      <c r="I51" s="819"/>
      <c r="J51" s="819"/>
      <c r="K51" s="889"/>
      <c r="L51" s="890"/>
      <c r="M51" s="819"/>
      <c r="N51" s="819"/>
      <c r="O51" s="819"/>
    </row>
    <row r="52" spans="1:29">
      <c r="A52" s="819"/>
      <c r="B52" s="819"/>
      <c r="C52" s="819"/>
      <c r="D52" s="819"/>
      <c r="E52" s="819"/>
      <c r="F52" s="819"/>
      <c r="G52" s="819"/>
      <c r="H52" s="819"/>
      <c r="I52" s="819"/>
      <c r="J52" s="819"/>
      <c r="K52" s="889"/>
      <c r="L52" s="890"/>
      <c r="M52" s="819"/>
      <c r="N52" s="819"/>
      <c r="O52" s="819"/>
    </row>
    <row r="53" spans="1:29" ht="13.5" customHeight="1">
      <c r="A53" s="819"/>
      <c r="B53" s="819"/>
      <c r="C53" s="821" t="s">
        <v>1297</v>
      </c>
      <c r="D53" s="533"/>
      <c r="E53" s="822">
        <f>IF(E48&lt;E49,E49/E48-1,E48/E49-1)</f>
        <v>2.039911308204E-2</v>
      </c>
      <c r="F53" s="823" t="str">
        <f>IF(OR(E53&gt;=0.3,E53&lt;=-0.3),"超过30%","")</f>
        <v/>
      </c>
      <c r="G53" s="822">
        <f>IF(G48&lt;G49,G49/G48-1,G48/G49-1)</f>
        <v>2.04040404040404E-2</v>
      </c>
      <c r="H53" s="823" t="str">
        <f>IF(OR(G53&gt;=0.3,G53&lt;=-0.3),"超过30%","")</f>
        <v/>
      </c>
      <c r="I53" s="822">
        <f>IF(I48&lt;I49,I49/I48-1,I48/I49-1)</f>
        <v>2.0408631772268E-2</v>
      </c>
      <c r="J53" s="823" t="str">
        <f>IF(OR(I53&gt;=0.3,I53&lt;=-0.3),"超过30%","")</f>
        <v/>
      </c>
      <c r="K53" s="889"/>
      <c r="L53" s="890"/>
      <c r="M53" s="819"/>
      <c r="N53" s="819"/>
      <c r="O53" s="819"/>
    </row>
    <row r="54" spans="1:29" ht="13.5" customHeight="1">
      <c r="A54" s="819"/>
      <c r="B54" s="819"/>
      <c r="C54" s="821" t="s">
        <v>1298</v>
      </c>
      <c r="D54" s="532"/>
      <c r="E54" s="822">
        <f>IF(E49&lt;G49,G49/E49-1,E49/G49-1)</f>
        <v>2.4995050485052499E-2</v>
      </c>
      <c r="F54" s="823" t="str">
        <f>IF(OR(E54&gt;=0.2,E54&lt;=-0.2),"超过20%","")</f>
        <v/>
      </c>
      <c r="G54" s="822">
        <f>IF(G49&lt;I49,I49/G49-1,G49/I49-1)</f>
        <v>0.100004949514948</v>
      </c>
      <c r="H54" s="823" t="str">
        <f>IF(OR(G54&gt;=0.2,G54&lt;=-0.2),"超过20%","")</f>
        <v/>
      </c>
      <c r="I54" s="822">
        <f>IF(I49&lt;E49,E49/I49-1,I49/E49-1)</f>
        <v>7.3180742672268206E-2</v>
      </c>
      <c r="J54" s="823" t="str">
        <f>IF(OR(I54&gt;=0.2,I54&lt;=-0.2),"超过20%","")</f>
        <v/>
      </c>
      <c r="K54" s="889"/>
      <c r="L54" s="890"/>
      <c r="M54" s="819"/>
      <c r="N54" s="819"/>
      <c r="O54" s="819"/>
    </row>
    <row r="55" spans="1:29" s="706" customFormat="1" ht="13.5" customHeight="1">
      <c r="A55" s="824"/>
      <c r="B55" s="824"/>
      <c r="C55" s="821" t="s">
        <v>1299</v>
      </c>
      <c r="D55" s="532"/>
      <c r="E55" s="822">
        <f>IF(E48&lt;G48,G48/E48-1,E48/G48-1)</f>
        <v>2.4999999999999901E-2</v>
      </c>
      <c r="F55" s="823" t="str">
        <f>IF(OR(E55&gt;=0.3,E55&lt;=-0.3),"超过30%","")</f>
        <v/>
      </c>
      <c r="G55" s="822">
        <f>IF(G48&lt;I48,I48/G48-1,G48/I48-1)</f>
        <v>0.1</v>
      </c>
      <c r="H55" s="823" t="str">
        <f>IF(OR(G55&gt;=0.3,G55&lt;=-0.3),"超过30%","")</f>
        <v/>
      </c>
      <c r="I55" s="822">
        <f>IF(I48&lt;E48,E48/I48-1,I48/E48-1)</f>
        <v>7.3170731707317097E-2</v>
      </c>
      <c r="J55" s="823" t="str">
        <f>IF(OR(I55&gt;=0.3,I55&lt;=-0.3),"超过30%","")</f>
        <v/>
      </c>
      <c r="K55" s="891"/>
      <c r="L55" s="892"/>
      <c r="M55" s="824"/>
      <c r="N55" s="824"/>
      <c r="O55" s="824"/>
    </row>
    <row r="56" spans="1:29" s="706" customFormat="1">
      <c r="A56" s="824"/>
      <c r="B56" s="825"/>
      <c r="C56" s="826"/>
      <c r="D56" s="824"/>
      <c r="E56" s="824"/>
      <c r="F56" s="824"/>
      <c r="G56" s="824"/>
      <c r="H56" s="824"/>
      <c r="I56" s="824"/>
      <c r="J56" s="824"/>
      <c r="K56" s="891"/>
      <c r="L56" s="892"/>
      <c r="M56" s="824"/>
      <c r="N56" s="824"/>
      <c r="O56" s="824"/>
    </row>
    <row r="57" spans="1:29">
      <c r="A57" s="819"/>
      <c r="B57" s="825"/>
      <c r="C57" s="826"/>
      <c r="D57" s="819"/>
      <c r="E57" s="819"/>
      <c r="F57" s="819"/>
      <c r="G57" s="819"/>
      <c r="H57" s="819"/>
      <c r="I57" s="819"/>
      <c r="J57" s="819"/>
      <c r="K57" s="889"/>
      <c r="L57" s="890"/>
      <c r="M57" s="819"/>
      <c r="N57" s="819"/>
      <c r="O57" s="819"/>
    </row>
    <row r="58" spans="1:29" ht="21">
      <c r="A58" s="848" t="s">
        <v>1300</v>
      </c>
      <c r="B58" s="849"/>
      <c r="C58" s="850"/>
      <c r="D58" s="850"/>
      <c r="E58" s="850"/>
      <c r="F58" s="851"/>
      <c r="G58" s="851"/>
      <c r="H58" s="850"/>
      <c r="I58" s="850"/>
      <c r="J58" s="850"/>
      <c r="K58" s="1143"/>
      <c r="L58" s="1144"/>
      <c r="M58" s="850"/>
      <c r="N58" s="850"/>
      <c r="O58" s="850"/>
      <c r="P58" s="897"/>
      <c r="Q58" s="909"/>
    </row>
    <row r="59" spans="1:29" s="708" customFormat="1" ht="15">
      <c r="A59" s="1130" t="s">
        <v>1252</v>
      </c>
      <c r="B59" s="1131"/>
      <c r="C59" s="1132" t="str">
        <f>YEAR(C7)&amp;"-"&amp;MONTH(C7)</f>
        <v>2019-6</v>
      </c>
      <c r="D59" s="1133">
        <f>EDATE(C59,-1)</f>
        <v>43586</v>
      </c>
      <c r="E59" s="1133">
        <f t="shared" ref="E59:O59" si="16">EDATE(D59,-1)</f>
        <v>43556</v>
      </c>
      <c r="F59" s="1133">
        <f t="shared" si="16"/>
        <v>43525</v>
      </c>
      <c r="G59" s="1133">
        <f t="shared" si="16"/>
        <v>43497</v>
      </c>
      <c r="H59" s="1133">
        <f t="shared" si="16"/>
        <v>43466</v>
      </c>
      <c r="I59" s="1133">
        <f t="shared" si="16"/>
        <v>43435</v>
      </c>
      <c r="J59" s="1133">
        <f t="shared" si="16"/>
        <v>43405</v>
      </c>
      <c r="K59" s="1133">
        <f t="shared" si="16"/>
        <v>43374</v>
      </c>
      <c r="L59" s="1133">
        <f t="shared" si="16"/>
        <v>43344</v>
      </c>
      <c r="M59" s="1133">
        <f t="shared" si="16"/>
        <v>43313</v>
      </c>
      <c r="N59" s="1133">
        <f t="shared" si="16"/>
        <v>43282</v>
      </c>
      <c r="O59" s="1133">
        <f t="shared" si="16"/>
        <v>43252</v>
      </c>
      <c r="P59" s="973"/>
    </row>
    <row r="60" spans="1:29" s="703" customFormat="1" ht="15">
      <c r="A60" s="1134"/>
      <c r="B60" s="929"/>
      <c r="C60" s="932">
        <v>100</v>
      </c>
      <c r="D60" s="933">
        <f>C60</f>
        <v>100</v>
      </c>
      <c r="E60" s="933">
        <f>D60</f>
        <v>100</v>
      </c>
      <c r="F60" s="933">
        <f t="shared" ref="F60:G60" si="17">E60-0.5</f>
        <v>99.5</v>
      </c>
      <c r="G60" s="933">
        <f t="shared" si="17"/>
        <v>99</v>
      </c>
      <c r="H60" s="933"/>
      <c r="I60" s="933"/>
      <c r="J60" s="933"/>
      <c r="K60" s="933"/>
      <c r="L60" s="933"/>
      <c r="M60" s="1145"/>
      <c r="N60" s="933"/>
      <c r="O60" s="982"/>
      <c r="P60" s="909"/>
    </row>
    <row r="61" spans="1:29" s="703" customFormat="1" ht="15">
      <c r="A61" s="924" t="s">
        <v>1301</v>
      </c>
      <c r="B61" s="925"/>
      <c r="C61" s="926"/>
      <c r="D61" s="927"/>
      <c r="E61" s="927"/>
      <c r="F61" s="927"/>
      <c r="G61" s="927"/>
      <c r="H61" s="927"/>
      <c r="I61" s="927"/>
      <c r="J61" s="927"/>
      <c r="K61" s="927"/>
      <c r="L61" s="927"/>
      <c r="M61" s="976"/>
      <c r="N61" s="927"/>
      <c r="O61" s="1146"/>
      <c r="P61" s="909"/>
      <c r="Q61" s="909"/>
    </row>
    <row r="62" spans="1:29" s="703" customFormat="1" ht="15">
      <c r="A62" s="928" t="s">
        <v>1255</v>
      </c>
      <c r="B62" s="929"/>
      <c r="C62" s="930" t="s">
        <v>1256</v>
      </c>
      <c r="D62" s="931"/>
      <c r="E62" s="931"/>
      <c r="F62" s="931"/>
      <c r="G62" s="931"/>
      <c r="H62" s="931"/>
      <c r="I62" s="931"/>
      <c r="J62" s="931"/>
      <c r="K62" s="931"/>
      <c r="L62" s="978"/>
      <c r="M62" s="979"/>
      <c r="N62" s="980"/>
      <c r="O62" s="980"/>
      <c r="P62" s="981"/>
      <c r="Q62" s="909"/>
    </row>
    <row r="63" spans="1:29" s="703" customFormat="1" ht="15">
      <c r="A63" s="928"/>
      <c r="B63" s="929"/>
      <c r="C63" s="1256">
        <v>100</v>
      </c>
      <c r="D63" s="933"/>
      <c r="E63" s="933"/>
      <c r="F63" s="933"/>
      <c r="G63" s="933"/>
      <c r="H63" s="933"/>
      <c r="I63" s="933"/>
      <c r="J63" s="933"/>
      <c r="K63" s="933"/>
      <c r="L63" s="933"/>
      <c r="M63" s="982"/>
      <c r="N63" s="980"/>
      <c r="O63" s="980"/>
      <c r="P63" s="909"/>
      <c r="Q63" s="909"/>
    </row>
    <row r="64" spans="1:29">
      <c r="A64" s="934" t="s">
        <v>1302</v>
      </c>
      <c r="B64" s="935" t="s">
        <v>1260</v>
      </c>
      <c r="C64" s="957" t="str">
        <f>C9</f>
        <v>办公</v>
      </c>
      <c r="D64" s="882"/>
      <c r="E64" s="882"/>
      <c r="F64" s="882"/>
      <c r="G64" s="882"/>
      <c r="H64" s="882"/>
      <c r="I64" s="882"/>
      <c r="J64" s="882"/>
      <c r="K64" s="983"/>
      <c r="L64" s="984"/>
      <c r="M64" s="985"/>
      <c r="N64" s="986"/>
      <c r="O64" s="986"/>
      <c r="P64" s="987"/>
      <c r="Q64" s="909"/>
    </row>
    <row r="65" spans="1:17" ht="15">
      <c r="A65" s="936"/>
      <c r="B65" s="937"/>
      <c r="C65" s="938">
        <v>100</v>
      </c>
      <c r="D65" s="938"/>
      <c r="E65" s="938"/>
      <c r="F65" s="938"/>
      <c r="G65" s="938"/>
      <c r="H65" s="938"/>
      <c r="I65" s="938"/>
      <c r="J65" s="938"/>
      <c r="K65" s="938"/>
      <c r="L65" s="938"/>
      <c r="M65" s="988"/>
      <c r="N65" s="989"/>
      <c r="O65" s="989"/>
      <c r="P65" s="987"/>
      <c r="Q65" s="909"/>
    </row>
    <row r="66" spans="1:17" ht="27">
      <c r="A66" s="936"/>
      <c r="B66" s="939" t="s">
        <v>1263</v>
      </c>
      <c r="C66" s="940" t="s">
        <v>1303</v>
      </c>
      <c r="D66" s="940" t="s">
        <v>1304</v>
      </c>
      <c r="E66" s="940" t="s">
        <v>1305</v>
      </c>
      <c r="F66" s="940" t="s">
        <v>1306</v>
      </c>
      <c r="G66" s="940" t="s">
        <v>1307</v>
      </c>
      <c r="H66" s="940" t="s">
        <v>1308</v>
      </c>
      <c r="I66" s="940" t="s">
        <v>1309</v>
      </c>
      <c r="J66" s="940"/>
      <c r="K66" s="990"/>
      <c r="L66" s="991"/>
      <c r="M66" s="992"/>
      <c r="N66" s="986"/>
      <c r="O66" s="986"/>
      <c r="P66" s="987"/>
      <c r="Q66" s="909"/>
    </row>
    <row r="67" spans="1:17" ht="15">
      <c r="A67" s="936"/>
      <c r="B67" s="941"/>
      <c r="C67" s="942" t="s">
        <v>1310</v>
      </c>
      <c r="D67" s="942" t="s">
        <v>1310</v>
      </c>
      <c r="E67" s="942">
        <v>100</v>
      </c>
      <c r="F67" s="942">
        <f>E67-$K10</f>
        <v>99</v>
      </c>
      <c r="G67" s="942">
        <f>F67-$K10</f>
        <v>98</v>
      </c>
      <c r="H67" s="942">
        <f>G67-$K10</f>
        <v>97</v>
      </c>
      <c r="I67" s="942">
        <f>H67-$K10</f>
        <v>96</v>
      </c>
      <c r="J67" s="942"/>
      <c r="K67" s="942"/>
      <c r="L67" s="942"/>
      <c r="M67" s="993"/>
      <c r="N67" s="989"/>
      <c r="O67" s="989"/>
      <c r="P67" s="987"/>
      <c r="Q67" s="909"/>
    </row>
    <row r="68" spans="1:17" ht="15">
      <c r="A68" s="936"/>
      <c r="B68" s="943" t="s">
        <v>1265</v>
      </c>
      <c r="C68" s="944" t="str">
        <f>C69&amp;"（含）"&amp;"-"&amp;D69</f>
        <v>0（含）-</v>
      </c>
      <c r="D68" s="944" t="str">
        <f t="shared" ref="D68:L68" si="18">D69&amp;"（含）"&amp;"-"&amp;E69</f>
        <v>（含）-</v>
      </c>
      <c r="E68" s="944" t="str">
        <f t="shared" si="18"/>
        <v>（含）-</v>
      </c>
      <c r="F68" s="944" t="str">
        <f t="shared" si="18"/>
        <v>（含）-</v>
      </c>
      <c r="G68" s="944" t="str">
        <f t="shared" si="18"/>
        <v>（含）-</v>
      </c>
      <c r="H68" s="944" t="str">
        <f t="shared" si="18"/>
        <v>（含）-</v>
      </c>
      <c r="I68" s="944" t="str">
        <f t="shared" si="18"/>
        <v>（含）-</v>
      </c>
      <c r="J68" s="944" t="str">
        <f t="shared" si="18"/>
        <v>（含）-</v>
      </c>
      <c r="K68" s="944" t="str">
        <f t="shared" si="18"/>
        <v>（含）-</v>
      </c>
      <c r="L68" s="944" t="str">
        <f t="shared" si="18"/>
        <v>（含）-</v>
      </c>
      <c r="M68" s="765" t="str">
        <f>M69&amp;"（含）"&amp;"-"&amp;P69</f>
        <v>（含）-</v>
      </c>
      <c r="N68" s="989"/>
      <c r="O68" s="989"/>
      <c r="P68" s="987"/>
      <c r="Q68" s="909"/>
    </row>
    <row r="69" spans="1:17" ht="15">
      <c r="A69" s="936"/>
      <c r="B69" s="945"/>
      <c r="C69" s="750">
        <v>0</v>
      </c>
      <c r="D69" s="750"/>
      <c r="E69" s="750"/>
      <c r="F69" s="750"/>
      <c r="G69" s="750"/>
      <c r="H69" s="750"/>
      <c r="I69" s="750"/>
      <c r="J69" s="750"/>
      <c r="K69" s="994"/>
      <c r="L69" s="995"/>
      <c r="M69" s="996"/>
      <c r="N69" s="986"/>
      <c r="O69" s="986"/>
      <c r="P69" s="987"/>
      <c r="Q69" s="909"/>
    </row>
    <row r="70" spans="1:17" ht="15">
      <c r="A70" s="936"/>
      <c r="B70" s="937"/>
      <c r="C70" s="942">
        <v>100</v>
      </c>
      <c r="D70" s="942">
        <f t="shared" ref="D70:M70" si="19">C70-$K11</f>
        <v>99</v>
      </c>
      <c r="E70" s="942">
        <f t="shared" si="19"/>
        <v>98</v>
      </c>
      <c r="F70" s="942">
        <f t="shared" si="19"/>
        <v>97</v>
      </c>
      <c r="G70" s="942">
        <f t="shared" si="19"/>
        <v>96</v>
      </c>
      <c r="H70" s="942">
        <f t="shared" si="19"/>
        <v>95</v>
      </c>
      <c r="I70" s="942">
        <f t="shared" si="19"/>
        <v>94</v>
      </c>
      <c r="J70" s="942">
        <f t="shared" si="19"/>
        <v>93</v>
      </c>
      <c r="K70" s="942">
        <f t="shared" si="19"/>
        <v>92</v>
      </c>
      <c r="L70" s="942">
        <f t="shared" si="19"/>
        <v>91</v>
      </c>
      <c r="M70" s="993">
        <f t="shared" si="19"/>
        <v>90</v>
      </c>
      <c r="N70" s="989"/>
      <c r="O70" s="989"/>
      <c r="P70" s="987"/>
      <c r="Q70" s="909"/>
    </row>
    <row r="71" spans="1:17" s="705" customFormat="1" ht="15">
      <c r="A71" s="946"/>
      <c r="B71" s="939">
        <f>B12</f>
        <v>111</v>
      </c>
      <c r="C71" s="947"/>
      <c r="D71" s="947"/>
      <c r="E71" s="947"/>
      <c r="F71" s="947"/>
      <c r="G71" s="947"/>
      <c r="H71" s="948"/>
      <c r="I71" s="948"/>
      <c r="J71" s="948"/>
      <c r="K71" s="948"/>
      <c r="L71" s="997"/>
      <c r="M71" s="998"/>
      <c r="N71" s="999"/>
      <c r="O71" s="999"/>
      <c r="P71" s="1000"/>
      <c r="Q71" s="1030"/>
    </row>
    <row r="72" spans="1:17" s="705" customFormat="1" ht="15">
      <c r="A72" s="946"/>
      <c r="B72" s="941"/>
      <c r="C72" s="949"/>
      <c r="D72" s="938"/>
      <c r="E72" s="938"/>
      <c r="F72" s="938"/>
      <c r="G72" s="938"/>
      <c r="H72" s="938"/>
      <c r="I72" s="938"/>
      <c r="J72" s="938"/>
      <c r="K72" s="938"/>
      <c r="L72" s="938"/>
      <c r="M72" s="988"/>
      <c r="N72" s="989"/>
      <c r="O72" s="989"/>
      <c r="P72" s="1000"/>
      <c r="Q72" s="1030"/>
    </row>
    <row r="73" spans="1:17" s="705" customFormat="1" ht="15">
      <c r="A73" s="946"/>
      <c r="B73" s="939">
        <f>B13</f>
        <v>111</v>
      </c>
      <c r="C73" s="947"/>
      <c r="D73" s="947"/>
      <c r="E73" s="947"/>
      <c r="F73" s="947"/>
      <c r="G73" s="947"/>
      <c r="H73" s="948"/>
      <c r="I73" s="948"/>
      <c r="J73" s="948"/>
      <c r="K73" s="948"/>
      <c r="L73" s="997"/>
      <c r="M73" s="998"/>
      <c r="N73" s="999"/>
      <c r="O73" s="999"/>
      <c r="P73" s="1001"/>
      <c r="Q73" s="1031"/>
    </row>
    <row r="74" spans="1:17" s="705" customFormat="1" ht="15">
      <c r="A74" s="946"/>
      <c r="B74" s="941"/>
      <c r="C74" s="949"/>
      <c r="D74" s="949"/>
      <c r="E74" s="949"/>
      <c r="F74" s="949"/>
      <c r="G74" s="949"/>
      <c r="H74" s="950"/>
      <c r="I74" s="950"/>
      <c r="J74" s="950"/>
      <c r="K74" s="950"/>
      <c r="L74" s="950"/>
      <c r="M74" s="1002"/>
      <c r="N74" s="999"/>
      <c r="O74" s="999"/>
      <c r="P74" s="1000"/>
      <c r="Q74" s="1030"/>
    </row>
    <row r="75" spans="1:17" s="705" customFormat="1" ht="15">
      <c r="A75" s="946"/>
      <c r="B75" s="943">
        <f>B14</f>
        <v>111</v>
      </c>
      <c r="C75" s="931"/>
      <c r="D75" s="931"/>
      <c r="E75" s="931"/>
      <c r="F75" s="931"/>
      <c r="G75" s="931"/>
      <c r="H75" s="951"/>
      <c r="I75" s="951"/>
      <c r="J75" s="951"/>
      <c r="K75" s="951"/>
      <c r="L75" s="1003"/>
      <c r="M75" s="1004"/>
      <c r="N75" s="999"/>
      <c r="O75" s="999"/>
      <c r="P75" s="1005"/>
      <c r="Q75" s="1030"/>
    </row>
    <row r="76" spans="1:17" s="705" customFormat="1" ht="15">
      <c r="A76" s="952"/>
      <c r="B76" s="953"/>
      <c r="C76" s="954"/>
      <c r="D76" s="954"/>
      <c r="E76" s="954"/>
      <c r="F76" s="954"/>
      <c r="G76" s="954"/>
      <c r="H76" s="955"/>
      <c r="I76" s="955"/>
      <c r="J76" s="955"/>
      <c r="K76" s="955"/>
      <c r="L76" s="955"/>
      <c r="M76" s="1006"/>
      <c r="N76" s="999"/>
      <c r="O76" s="999"/>
      <c r="P76" s="1000"/>
      <c r="Q76" s="1030"/>
    </row>
    <row r="77" spans="1:17">
      <c r="A77" s="934" t="s">
        <v>1266</v>
      </c>
      <c r="B77" s="935" t="s">
        <v>209</v>
      </c>
      <c r="C77" s="956" t="s">
        <v>228</v>
      </c>
      <c r="D77" s="956" t="s">
        <v>240</v>
      </c>
      <c r="E77" s="956" t="s">
        <v>251</v>
      </c>
      <c r="F77" s="956" t="s">
        <v>261</v>
      </c>
      <c r="G77" s="956" t="s">
        <v>268</v>
      </c>
      <c r="H77" s="957"/>
      <c r="I77" s="957"/>
      <c r="J77" s="957"/>
      <c r="K77" s="1007"/>
      <c r="L77" s="1008"/>
      <c r="M77" s="1009"/>
      <c r="N77" s="986"/>
      <c r="O77" s="986"/>
      <c r="P77" s="1010"/>
      <c r="Q77" s="909"/>
    </row>
    <row r="78" spans="1:17" ht="15">
      <c r="A78" s="936"/>
      <c r="B78" s="941"/>
      <c r="C78" s="942">
        <v>100</v>
      </c>
      <c r="D78" s="942">
        <f>C78-$K15</f>
        <v>97</v>
      </c>
      <c r="E78" s="942">
        <f>D78-$K15</f>
        <v>94</v>
      </c>
      <c r="F78" s="942">
        <f>E78-$K15</f>
        <v>91</v>
      </c>
      <c r="G78" s="942">
        <f>F78-$K15</f>
        <v>88</v>
      </c>
      <c r="H78" s="942"/>
      <c r="I78" s="942"/>
      <c r="J78" s="942"/>
      <c r="K78" s="942"/>
      <c r="L78" s="942"/>
      <c r="M78" s="993"/>
      <c r="N78" s="989"/>
      <c r="O78" s="989"/>
      <c r="P78" s="987"/>
      <c r="Q78" s="909"/>
    </row>
    <row r="79" spans="1:17" ht="15">
      <c r="A79" s="936"/>
      <c r="B79" s="939" t="s">
        <v>211</v>
      </c>
      <c r="C79" s="958" t="s">
        <v>228</v>
      </c>
      <c r="D79" s="958" t="s">
        <v>240</v>
      </c>
      <c r="E79" s="958" t="s">
        <v>251</v>
      </c>
      <c r="F79" s="958" t="s">
        <v>261</v>
      </c>
      <c r="G79" s="958" t="s">
        <v>268</v>
      </c>
      <c r="H79" s="940"/>
      <c r="I79" s="940"/>
      <c r="J79" s="940"/>
      <c r="K79" s="990"/>
      <c r="L79" s="991"/>
      <c r="M79" s="992"/>
      <c r="N79" s="986"/>
      <c r="O79" s="986"/>
      <c r="P79" s="987"/>
      <c r="Q79" s="909"/>
    </row>
    <row r="80" spans="1:17" ht="15">
      <c r="A80" s="936"/>
      <c r="B80" s="941"/>
      <c r="C80" s="942">
        <v>100</v>
      </c>
      <c r="D80" s="942">
        <f>C80-$K17</f>
        <v>98</v>
      </c>
      <c r="E80" s="942">
        <f>D80-$K17</f>
        <v>96</v>
      </c>
      <c r="F80" s="942">
        <f>E80-$K17</f>
        <v>94</v>
      </c>
      <c r="G80" s="942">
        <f>F80-$K17</f>
        <v>92</v>
      </c>
      <c r="H80" s="942"/>
      <c r="I80" s="942"/>
      <c r="J80" s="942"/>
      <c r="K80" s="942"/>
      <c r="L80" s="942"/>
      <c r="M80" s="993"/>
      <c r="N80" s="989"/>
      <c r="O80" s="989"/>
      <c r="P80" s="987"/>
      <c r="Q80" s="909"/>
    </row>
    <row r="81" spans="1:17" ht="15">
      <c r="A81" s="936"/>
      <c r="B81" s="939" t="s">
        <v>213</v>
      </c>
      <c r="C81" s="958" t="s">
        <v>228</v>
      </c>
      <c r="D81" s="958" t="s">
        <v>240</v>
      </c>
      <c r="E81" s="958" t="s">
        <v>251</v>
      </c>
      <c r="F81" s="958" t="s">
        <v>261</v>
      </c>
      <c r="G81" s="958" t="s">
        <v>268</v>
      </c>
      <c r="H81" s="940"/>
      <c r="I81" s="940"/>
      <c r="J81" s="940"/>
      <c r="K81" s="990"/>
      <c r="L81" s="991"/>
      <c r="M81" s="992"/>
      <c r="N81" s="986"/>
      <c r="O81" s="986"/>
      <c r="P81" s="987"/>
      <c r="Q81" s="909"/>
    </row>
    <row r="82" spans="1:17" ht="15">
      <c r="A82" s="936"/>
      <c r="B82" s="941"/>
      <c r="C82" s="942">
        <v>100</v>
      </c>
      <c r="D82" s="942">
        <f>C82-$K19</f>
        <v>99</v>
      </c>
      <c r="E82" s="942">
        <f>D82-$K19</f>
        <v>98</v>
      </c>
      <c r="F82" s="942">
        <f>E82-$K19</f>
        <v>97</v>
      </c>
      <c r="G82" s="942">
        <f>F82-$K19</f>
        <v>96</v>
      </c>
      <c r="H82" s="942"/>
      <c r="I82" s="942"/>
      <c r="J82" s="942"/>
      <c r="K82" s="942"/>
      <c r="L82" s="942"/>
      <c r="M82" s="993"/>
      <c r="N82" s="989"/>
      <c r="O82" s="989"/>
      <c r="P82" s="987"/>
      <c r="Q82" s="909"/>
    </row>
    <row r="83" spans="1:17" ht="15">
      <c r="A83" s="936"/>
      <c r="B83" s="943" t="s">
        <v>214</v>
      </c>
      <c r="C83" s="940" t="s">
        <v>1311</v>
      </c>
      <c r="D83" s="940" t="s">
        <v>1312</v>
      </c>
      <c r="E83" s="940" t="s">
        <v>1313</v>
      </c>
      <c r="F83" s="940" t="s">
        <v>1314</v>
      </c>
      <c r="G83" s="940" t="s">
        <v>1315</v>
      </c>
      <c r="H83" s="940"/>
      <c r="I83" s="940"/>
      <c r="J83" s="940"/>
      <c r="K83" s="940"/>
      <c r="L83" s="940"/>
      <c r="M83" s="1072"/>
      <c r="N83" s="989"/>
      <c r="O83" s="989"/>
      <c r="P83" s="987"/>
      <c r="Q83" s="909"/>
    </row>
    <row r="84" spans="1:17" ht="15">
      <c r="A84" s="936"/>
      <c r="B84" s="943"/>
      <c r="C84" s="942">
        <v>100</v>
      </c>
      <c r="D84" s="942">
        <f>C84-$K21</f>
        <v>99</v>
      </c>
      <c r="E84" s="942">
        <f>D84-$K21</f>
        <v>98</v>
      </c>
      <c r="F84" s="942">
        <f>E84-$K21</f>
        <v>97</v>
      </c>
      <c r="G84" s="942">
        <f>F84-$K21</f>
        <v>96</v>
      </c>
      <c r="H84" s="1070"/>
      <c r="I84" s="1070"/>
      <c r="J84" s="1070"/>
      <c r="K84" s="1070"/>
      <c r="L84" s="1070"/>
      <c r="M84" s="767"/>
      <c r="N84" s="989"/>
      <c r="O84" s="989"/>
      <c r="P84" s="987"/>
      <c r="Q84" s="909"/>
    </row>
    <row r="85" spans="1:17" ht="15">
      <c r="A85" s="936"/>
      <c r="B85" s="939" t="s">
        <v>215</v>
      </c>
      <c r="C85" s="958" t="s">
        <v>228</v>
      </c>
      <c r="D85" s="958" t="s">
        <v>240</v>
      </c>
      <c r="E85" s="958" t="s">
        <v>251</v>
      </c>
      <c r="F85" s="958" t="s">
        <v>261</v>
      </c>
      <c r="G85" s="958" t="s">
        <v>268</v>
      </c>
      <c r="H85" s="940"/>
      <c r="I85" s="940"/>
      <c r="J85" s="940"/>
      <c r="K85" s="990"/>
      <c r="L85" s="991"/>
      <c r="M85" s="992"/>
      <c r="N85" s="986"/>
      <c r="O85" s="986"/>
      <c r="P85" s="987"/>
      <c r="Q85" s="909"/>
    </row>
    <row r="86" spans="1:17" ht="15">
      <c r="A86" s="936"/>
      <c r="B86" s="941"/>
      <c r="C86" s="942">
        <v>100</v>
      </c>
      <c r="D86" s="942">
        <f>C86-$K23</f>
        <v>99</v>
      </c>
      <c r="E86" s="942">
        <f>D86-$K23</f>
        <v>98</v>
      </c>
      <c r="F86" s="942">
        <f>E86-$K23</f>
        <v>97</v>
      </c>
      <c r="G86" s="942">
        <f>F86-$K23</f>
        <v>96</v>
      </c>
      <c r="H86" s="942"/>
      <c r="I86" s="942"/>
      <c r="J86" s="942"/>
      <c r="K86" s="942"/>
      <c r="L86" s="942"/>
      <c r="M86" s="993"/>
      <c r="N86" s="989"/>
      <c r="O86" s="989"/>
      <c r="P86" s="987"/>
      <c r="Q86" s="909"/>
    </row>
    <row r="87" spans="1:17" s="703" customFormat="1" ht="27">
      <c r="A87" s="959"/>
      <c r="B87" s="939" t="s">
        <v>572</v>
      </c>
      <c r="C87" s="1499" t="s">
        <v>1316</v>
      </c>
      <c r="D87" s="1499" t="s">
        <v>1317</v>
      </c>
      <c r="E87" s="1499" t="s">
        <v>1271</v>
      </c>
      <c r="F87" s="1499" t="s">
        <v>1318</v>
      </c>
      <c r="G87" s="1499" t="s">
        <v>1319</v>
      </c>
      <c r="H87" s="947"/>
      <c r="I87" s="947"/>
      <c r="J87" s="947"/>
      <c r="K87" s="947"/>
      <c r="L87" s="1150"/>
      <c r="M87" s="1151"/>
      <c r="N87" s="980"/>
      <c r="O87" s="980"/>
      <c r="P87" s="987"/>
      <c r="Q87" s="909"/>
    </row>
    <row r="88" spans="1:17" s="703" customFormat="1" ht="15">
      <c r="A88" s="959"/>
      <c r="B88" s="941"/>
      <c r="C88" s="960">
        <v>100</v>
      </c>
      <c r="D88" s="942">
        <f t="shared" ref="D88:M88" si="20">C88-$K25</f>
        <v>99</v>
      </c>
      <c r="E88" s="942">
        <f t="shared" si="20"/>
        <v>98</v>
      </c>
      <c r="F88" s="942">
        <f t="shared" si="20"/>
        <v>97</v>
      </c>
      <c r="G88" s="942">
        <f t="shared" si="20"/>
        <v>96</v>
      </c>
      <c r="H88" s="942">
        <f t="shared" si="20"/>
        <v>95</v>
      </c>
      <c r="I88" s="942">
        <f t="shared" si="20"/>
        <v>94</v>
      </c>
      <c r="J88" s="942">
        <f t="shared" si="20"/>
        <v>93</v>
      </c>
      <c r="K88" s="942">
        <f t="shared" si="20"/>
        <v>92</v>
      </c>
      <c r="L88" s="942">
        <f t="shared" si="20"/>
        <v>91</v>
      </c>
      <c r="M88" s="942">
        <f t="shared" si="20"/>
        <v>90</v>
      </c>
      <c r="N88" s="989"/>
      <c r="O88" s="989"/>
      <c r="P88" s="987"/>
      <c r="Q88" s="909"/>
    </row>
    <row r="89" spans="1:17" s="703" customFormat="1" ht="15">
      <c r="A89" s="959"/>
      <c r="B89" s="939" t="str">
        <f>B27</f>
        <v>楼层</v>
      </c>
      <c r="C89" s="1499" t="s">
        <v>1273</v>
      </c>
      <c r="D89" s="1499" t="s">
        <v>1274</v>
      </c>
      <c r="E89" s="1499" t="s">
        <v>1320</v>
      </c>
      <c r="F89" s="1267"/>
      <c r="G89" s="947"/>
      <c r="H89" s="947"/>
      <c r="I89" s="947"/>
      <c r="J89" s="947"/>
      <c r="K89" s="947"/>
      <c r="L89" s="947"/>
      <c r="M89" s="1151"/>
      <c r="N89" s="980"/>
      <c r="O89" s="980"/>
      <c r="P89" s="987"/>
      <c r="Q89" s="909"/>
    </row>
    <row r="90" spans="1:17" s="703" customFormat="1" ht="15">
      <c r="A90" s="959"/>
      <c r="B90" s="941"/>
      <c r="C90" s="960">
        <v>100</v>
      </c>
      <c r="D90" s="942">
        <f>C90-$K27</f>
        <v>98</v>
      </c>
      <c r="E90" s="942">
        <f t="shared" ref="E90:M90" si="21">D90-$K27</f>
        <v>96</v>
      </c>
      <c r="F90" s="942">
        <f t="shared" si="21"/>
        <v>94</v>
      </c>
      <c r="G90" s="942">
        <f t="shared" si="21"/>
        <v>92</v>
      </c>
      <c r="H90" s="942">
        <f t="shared" si="21"/>
        <v>90</v>
      </c>
      <c r="I90" s="942">
        <f t="shared" si="21"/>
        <v>88</v>
      </c>
      <c r="J90" s="942">
        <f t="shared" si="21"/>
        <v>86</v>
      </c>
      <c r="K90" s="942">
        <f t="shared" si="21"/>
        <v>84</v>
      </c>
      <c r="L90" s="942">
        <f t="shared" si="21"/>
        <v>82</v>
      </c>
      <c r="M90" s="942">
        <f t="shared" si="21"/>
        <v>80</v>
      </c>
      <c r="N90" s="989"/>
      <c r="O90" s="989"/>
      <c r="P90" s="987"/>
      <c r="Q90" s="909"/>
    </row>
    <row r="91" spans="1:17" s="705" customFormat="1" ht="15">
      <c r="A91" s="946"/>
      <c r="B91" s="939" t="str">
        <f>B28</f>
        <v>朝向</v>
      </c>
      <c r="C91" s="947"/>
      <c r="D91" s="947"/>
      <c r="E91" s="947"/>
      <c r="F91" s="947"/>
      <c r="G91" s="947"/>
      <c r="H91" s="948"/>
      <c r="I91" s="948"/>
      <c r="J91" s="948"/>
      <c r="K91" s="948"/>
      <c r="L91" s="997"/>
      <c r="M91" s="998"/>
      <c r="N91" s="999"/>
      <c r="O91" s="999"/>
      <c r="P91" s="1000"/>
      <c r="Q91" s="1030"/>
    </row>
    <row r="92" spans="1:17" s="705" customFormat="1" ht="15">
      <c r="A92" s="946"/>
      <c r="B92" s="941"/>
      <c r="C92" s="960">
        <v>100</v>
      </c>
      <c r="D92" s="942">
        <f t="shared" ref="D92:M92" si="22">C92-$K28</f>
        <v>99</v>
      </c>
      <c r="E92" s="942">
        <f t="shared" si="22"/>
        <v>98</v>
      </c>
      <c r="F92" s="942">
        <f t="shared" si="22"/>
        <v>97</v>
      </c>
      <c r="G92" s="942">
        <f t="shared" si="22"/>
        <v>96</v>
      </c>
      <c r="H92" s="942">
        <f t="shared" si="22"/>
        <v>95</v>
      </c>
      <c r="I92" s="942">
        <f t="shared" si="22"/>
        <v>94</v>
      </c>
      <c r="J92" s="942">
        <f t="shared" si="22"/>
        <v>93</v>
      </c>
      <c r="K92" s="942">
        <f t="shared" si="22"/>
        <v>92</v>
      </c>
      <c r="L92" s="942">
        <f t="shared" si="22"/>
        <v>91</v>
      </c>
      <c r="M92" s="942">
        <f t="shared" si="22"/>
        <v>90</v>
      </c>
      <c r="N92" s="999"/>
      <c r="O92" s="999"/>
      <c r="P92" s="1000"/>
      <c r="Q92" s="1030"/>
    </row>
    <row r="93" spans="1:17" ht="15">
      <c r="A93" s="936"/>
      <c r="B93" s="939">
        <f>B29</f>
        <v>111</v>
      </c>
      <c r="C93" s="947"/>
      <c r="D93" s="947"/>
      <c r="E93" s="947"/>
      <c r="F93" s="947"/>
      <c r="G93" s="947"/>
      <c r="H93" s="947"/>
      <c r="I93" s="947"/>
      <c r="J93" s="947"/>
      <c r="K93" s="947"/>
      <c r="L93" s="1150"/>
      <c r="M93" s="1151"/>
      <c r="N93" s="986"/>
      <c r="O93" s="986"/>
      <c r="P93" s="987"/>
      <c r="Q93" s="909"/>
    </row>
    <row r="94" spans="1:17" ht="15">
      <c r="A94" s="936"/>
      <c r="B94" s="941"/>
      <c r="C94" s="949"/>
      <c r="D94" s="938"/>
      <c r="E94" s="938"/>
      <c r="F94" s="938"/>
      <c r="G94" s="938"/>
      <c r="H94" s="938"/>
      <c r="I94" s="938"/>
      <c r="J94" s="938"/>
      <c r="K94" s="938"/>
      <c r="L94" s="938"/>
      <c r="M94" s="988"/>
      <c r="N94" s="989"/>
      <c r="O94" s="989"/>
      <c r="P94" s="987"/>
      <c r="Q94" s="909"/>
    </row>
    <row r="95" spans="1:17" ht="15">
      <c r="A95" s="936"/>
      <c r="B95" s="939">
        <f>B30</f>
        <v>111</v>
      </c>
      <c r="C95" s="947"/>
      <c r="D95" s="947"/>
      <c r="E95" s="947"/>
      <c r="F95" s="947"/>
      <c r="G95" s="963"/>
      <c r="H95" s="963"/>
      <c r="I95" s="963"/>
      <c r="J95" s="963"/>
      <c r="K95" s="1017"/>
      <c r="L95" s="1018"/>
      <c r="M95" s="1019"/>
      <c r="N95" s="986"/>
      <c r="O95" s="986"/>
      <c r="P95" s="987"/>
      <c r="Q95" s="909"/>
    </row>
    <row r="96" spans="1:17" ht="15">
      <c r="A96" s="936"/>
      <c r="B96" s="941"/>
      <c r="C96" s="949"/>
      <c r="D96" s="949"/>
      <c r="E96" s="949"/>
      <c r="F96" s="949"/>
      <c r="G96" s="938"/>
      <c r="H96" s="938"/>
      <c r="I96" s="938"/>
      <c r="J96" s="938"/>
      <c r="K96" s="938"/>
      <c r="L96" s="938"/>
      <c r="M96" s="988"/>
      <c r="N96" s="989"/>
      <c r="O96" s="989"/>
      <c r="P96" s="987"/>
      <c r="Q96" s="909"/>
    </row>
    <row r="97" spans="1:17" ht="15">
      <c r="A97" s="936"/>
      <c r="B97" s="939">
        <f>B31</f>
        <v>111</v>
      </c>
      <c r="C97" s="947"/>
      <c r="D97" s="947"/>
      <c r="E97" s="947"/>
      <c r="F97" s="947"/>
      <c r="G97" s="963"/>
      <c r="H97" s="963"/>
      <c r="I97" s="963"/>
      <c r="J97" s="963"/>
      <c r="K97" s="1017"/>
      <c r="L97" s="1018"/>
      <c r="M97" s="1019"/>
      <c r="N97" s="986"/>
      <c r="O97" s="986"/>
      <c r="P97" s="987"/>
      <c r="Q97" s="909"/>
    </row>
    <row r="98" spans="1:17" ht="15">
      <c r="A98" s="936"/>
      <c r="B98" s="941"/>
      <c r="C98" s="949"/>
      <c r="D98" s="938"/>
      <c r="E98" s="938"/>
      <c r="F98" s="938"/>
      <c r="G98" s="938"/>
      <c r="H98" s="938"/>
      <c r="I98" s="938"/>
      <c r="J98" s="938"/>
      <c r="K98" s="938"/>
      <c r="L98" s="938"/>
      <c r="M98" s="988"/>
      <c r="N98" s="989"/>
      <c r="O98" s="989"/>
      <c r="P98" s="987"/>
      <c r="Q98" s="909"/>
    </row>
    <row r="99" spans="1:17" ht="15">
      <c r="A99" s="936"/>
      <c r="B99" s="943">
        <f>B32</f>
        <v>111</v>
      </c>
      <c r="C99" s="931"/>
      <c r="D99" s="931"/>
      <c r="E99" s="931"/>
      <c r="F99" s="931"/>
      <c r="G99" s="964"/>
      <c r="H99" s="964"/>
      <c r="I99" s="964"/>
      <c r="J99" s="964"/>
      <c r="K99" s="1020"/>
      <c r="L99" s="1021"/>
      <c r="M99" s="1022"/>
      <c r="N99" s="986"/>
      <c r="O99" s="986"/>
      <c r="P99" s="987"/>
      <c r="Q99" s="909"/>
    </row>
    <row r="100" spans="1:17" ht="15">
      <c r="A100" s="1242"/>
      <c r="B100" s="953"/>
      <c r="C100" s="954"/>
      <c r="D100" s="954"/>
      <c r="E100" s="954"/>
      <c r="F100" s="954"/>
      <c r="G100" s="965"/>
      <c r="H100" s="965"/>
      <c r="I100" s="965"/>
      <c r="J100" s="965"/>
      <c r="K100" s="965"/>
      <c r="L100" s="965"/>
      <c r="M100" s="1023"/>
      <c r="N100" s="989"/>
      <c r="O100" s="989"/>
      <c r="P100" s="987"/>
      <c r="Q100" s="909"/>
    </row>
    <row r="101" spans="1:17">
      <c r="A101" s="934" t="s">
        <v>1276</v>
      </c>
      <c r="B101" s="935" t="s">
        <v>1277</v>
      </c>
      <c r="C101" s="1500" t="s">
        <v>1278</v>
      </c>
      <c r="D101" s="882"/>
      <c r="E101" s="882"/>
      <c r="F101" s="882"/>
      <c r="G101" s="882"/>
      <c r="H101" s="882"/>
      <c r="I101" s="882"/>
      <c r="J101" s="882"/>
      <c r="K101" s="983"/>
      <c r="L101" s="984"/>
      <c r="M101" s="985"/>
      <c r="N101" s="986"/>
      <c r="O101" s="986"/>
      <c r="P101" s="987"/>
      <c r="Q101" s="909"/>
    </row>
    <row r="102" spans="1:17" ht="15">
      <c r="A102" s="936"/>
      <c r="B102" s="941"/>
      <c r="C102" s="942">
        <v>100</v>
      </c>
      <c r="D102" s="942">
        <f t="shared" ref="D102:M102" si="23">C102-$K33</f>
        <v>99</v>
      </c>
      <c r="E102" s="942">
        <f t="shared" si="23"/>
        <v>98</v>
      </c>
      <c r="F102" s="942">
        <f t="shared" si="23"/>
        <v>97</v>
      </c>
      <c r="G102" s="942">
        <f t="shared" si="23"/>
        <v>96</v>
      </c>
      <c r="H102" s="942">
        <f t="shared" si="23"/>
        <v>95</v>
      </c>
      <c r="I102" s="942">
        <f t="shared" si="23"/>
        <v>94</v>
      </c>
      <c r="J102" s="942">
        <f t="shared" si="23"/>
        <v>93</v>
      </c>
      <c r="K102" s="942">
        <f t="shared" si="23"/>
        <v>92</v>
      </c>
      <c r="L102" s="942">
        <f t="shared" si="23"/>
        <v>91</v>
      </c>
      <c r="M102" s="993">
        <f t="shared" si="23"/>
        <v>90</v>
      </c>
      <c r="N102" s="989"/>
      <c r="O102" s="989"/>
      <c r="P102" s="987"/>
      <c r="Q102" s="909"/>
    </row>
    <row r="103" spans="1:17" ht="15">
      <c r="A103" s="936"/>
      <c r="B103" s="939" t="s">
        <v>1280</v>
      </c>
      <c r="C103" s="958" t="str">
        <f>C104&amp;"(含)"&amp;"-"&amp;D104</f>
        <v>0(含)-100</v>
      </c>
      <c r="D103" s="958" t="str">
        <f t="shared" ref="D103:L103" si="24">D104&amp;"(含)"&amp;"-"&amp;E104</f>
        <v>100(含)-300</v>
      </c>
      <c r="E103" s="958" t="str">
        <f t="shared" si="24"/>
        <v>300(含)-500</v>
      </c>
      <c r="F103" s="958" t="str">
        <f t="shared" si="24"/>
        <v>500(含)-</v>
      </c>
      <c r="G103" s="958" t="str">
        <f t="shared" si="24"/>
        <v>(含)-</v>
      </c>
      <c r="H103" s="958" t="str">
        <f t="shared" si="24"/>
        <v>(含)-</v>
      </c>
      <c r="I103" s="958" t="str">
        <f t="shared" si="24"/>
        <v>(含)-</v>
      </c>
      <c r="J103" s="958" t="str">
        <f t="shared" si="24"/>
        <v>(含)-</v>
      </c>
      <c r="K103" s="958" t="str">
        <f t="shared" si="24"/>
        <v>(含)-</v>
      </c>
      <c r="L103" s="958" t="str">
        <f t="shared" si="24"/>
        <v>(含)-</v>
      </c>
      <c r="M103" s="1012" t="str">
        <f>M104&amp;"(含)"&amp;"-"&amp;P104</f>
        <v>(含)-</v>
      </c>
      <c r="N103" s="980"/>
      <c r="O103" s="980"/>
      <c r="P103" s="987"/>
      <c r="Q103" s="909"/>
    </row>
    <row r="104" spans="1:17" s="705" customFormat="1">
      <c r="A104" s="966"/>
      <c r="B104" s="967"/>
      <c r="C104" s="923">
        <v>0</v>
      </c>
      <c r="D104" s="923">
        <v>100</v>
      </c>
      <c r="E104" s="923">
        <v>300</v>
      </c>
      <c r="F104" s="923">
        <v>500</v>
      </c>
      <c r="G104" s="923"/>
      <c r="H104" s="923"/>
      <c r="I104" s="923"/>
      <c r="J104" s="1024"/>
      <c r="K104" s="1024"/>
      <c r="L104" s="1025"/>
      <c r="M104" s="1026"/>
      <c r="N104" s="999"/>
      <c r="O104" s="999"/>
      <c r="P104" s="1000"/>
      <c r="Q104" s="1030"/>
    </row>
    <row r="105" spans="1:17" s="705" customFormat="1" ht="15">
      <c r="A105" s="946"/>
      <c r="B105" s="941"/>
      <c r="C105" s="949">
        <v>98</v>
      </c>
      <c r="D105" s="938">
        <v>99</v>
      </c>
      <c r="E105" s="938">
        <v>100</v>
      </c>
      <c r="F105" s="938">
        <v>99</v>
      </c>
      <c r="G105" s="938"/>
      <c r="H105" s="938"/>
      <c r="I105" s="938"/>
      <c r="J105" s="938"/>
      <c r="K105" s="938"/>
      <c r="L105" s="938"/>
      <c r="M105" s="988"/>
      <c r="N105" s="989"/>
      <c r="O105" s="989"/>
      <c r="P105" s="1000"/>
      <c r="Q105" s="1030"/>
    </row>
    <row r="106" spans="1:17">
      <c r="A106" s="970"/>
      <c r="B106" s="939" t="s">
        <v>1281</v>
      </c>
      <c r="C106" s="1499" t="s">
        <v>1110</v>
      </c>
      <c r="D106" s="947"/>
      <c r="E106" s="963"/>
      <c r="F106" s="963"/>
      <c r="G106" s="963"/>
      <c r="H106" s="963"/>
      <c r="I106" s="963"/>
      <c r="J106" s="963"/>
      <c r="K106" s="1017"/>
      <c r="L106" s="1018"/>
      <c r="M106" s="1019"/>
      <c r="N106" s="986"/>
      <c r="O106" s="986"/>
      <c r="P106" s="987"/>
      <c r="Q106" s="909"/>
    </row>
    <row r="107" spans="1:17" ht="15">
      <c r="A107" s="936"/>
      <c r="B107" s="941"/>
      <c r="C107" s="942">
        <v>100</v>
      </c>
      <c r="D107" s="942">
        <f t="shared" ref="D107:M107" si="25">C107-$K35</f>
        <v>99</v>
      </c>
      <c r="E107" s="942">
        <f t="shared" si="25"/>
        <v>98</v>
      </c>
      <c r="F107" s="942">
        <f t="shared" si="25"/>
        <v>97</v>
      </c>
      <c r="G107" s="942">
        <f t="shared" si="25"/>
        <v>96</v>
      </c>
      <c r="H107" s="942">
        <f t="shared" si="25"/>
        <v>95</v>
      </c>
      <c r="I107" s="942">
        <f t="shared" si="25"/>
        <v>94</v>
      </c>
      <c r="J107" s="942">
        <f t="shared" si="25"/>
        <v>93</v>
      </c>
      <c r="K107" s="942">
        <f t="shared" si="25"/>
        <v>92</v>
      </c>
      <c r="L107" s="942">
        <f t="shared" si="25"/>
        <v>91</v>
      </c>
      <c r="M107" s="993">
        <f t="shared" si="25"/>
        <v>90</v>
      </c>
      <c r="N107" s="989"/>
      <c r="O107" s="989"/>
      <c r="P107" s="987"/>
      <c r="Q107" s="909"/>
    </row>
    <row r="108" spans="1:17">
      <c r="A108" s="970"/>
      <c r="B108" s="939" t="s">
        <v>1282</v>
      </c>
      <c r="C108" s="1499" t="s">
        <v>1283</v>
      </c>
      <c r="D108" s="1499" t="s">
        <v>1321</v>
      </c>
      <c r="E108" s="1499" t="s">
        <v>1322</v>
      </c>
      <c r="F108" s="1501" t="s">
        <v>1323</v>
      </c>
      <c r="G108" s="963"/>
      <c r="H108" s="963"/>
      <c r="I108" s="963"/>
      <c r="J108" s="963"/>
      <c r="K108" s="1017"/>
      <c r="L108" s="1018"/>
      <c r="M108" s="1019"/>
      <c r="N108" s="986"/>
      <c r="O108" s="986"/>
      <c r="P108" s="987"/>
      <c r="Q108" s="909"/>
    </row>
    <row r="109" spans="1:17" ht="15">
      <c r="A109" s="936"/>
      <c r="B109" s="941"/>
      <c r="C109" s="942">
        <v>100</v>
      </c>
      <c r="D109" s="942">
        <f t="shared" ref="D109:M109" si="26">C109-$K36</f>
        <v>99</v>
      </c>
      <c r="E109" s="942">
        <f t="shared" si="26"/>
        <v>98</v>
      </c>
      <c r="F109" s="942">
        <f t="shared" si="26"/>
        <v>97</v>
      </c>
      <c r="G109" s="942">
        <f t="shared" si="26"/>
        <v>96</v>
      </c>
      <c r="H109" s="942">
        <f t="shared" si="26"/>
        <v>95</v>
      </c>
      <c r="I109" s="942">
        <f t="shared" si="26"/>
        <v>94</v>
      </c>
      <c r="J109" s="942">
        <f t="shared" si="26"/>
        <v>93</v>
      </c>
      <c r="K109" s="942">
        <f t="shared" si="26"/>
        <v>92</v>
      </c>
      <c r="L109" s="942">
        <f t="shared" si="26"/>
        <v>91</v>
      </c>
      <c r="M109" s="993">
        <f t="shared" si="26"/>
        <v>90</v>
      </c>
      <c r="N109" s="989"/>
      <c r="O109" s="989"/>
      <c r="P109" s="987"/>
      <c r="Q109" s="909"/>
    </row>
    <row r="110" spans="1:17">
      <c r="A110" s="970"/>
      <c r="B110" s="939" t="s">
        <v>1284</v>
      </c>
      <c r="C110" s="958" t="str">
        <f>C111&amp;"(含)"&amp;"-"&amp;D111</f>
        <v>0.5(含)-0.6</v>
      </c>
      <c r="D110" s="958" t="str">
        <f>D111&amp;"(含)"&amp;"-"&amp;E111</f>
        <v>0.6(含)-0.7</v>
      </c>
      <c r="E110" s="958" t="str">
        <f>E111&amp;"(含)"&amp;"-"&amp;F111</f>
        <v>0.7(含)-0.8</v>
      </c>
      <c r="F110" s="958" t="str">
        <f>F111&amp;"(含)"&amp;"-"&amp;G111</f>
        <v>0.8(含)-0.9</v>
      </c>
      <c r="G110" s="958" t="str">
        <f>G111&amp;"(含)"&amp;"-"&amp;H111</f>
        <v>0.9(含)-1</v>
      </c>
      <c r="H110" s="958"/>
      <c r="I110" s="963"/>
      <c r="J110" s="963"/>
      <c r="K110" s="1017"/>
      <c r="L110" s="1018"/>
      <c r="M110" s="1019"/>
      <c r="N110" s="986"/>
      <c r="O110" s="986"/>
      <c r="P110" s="987"/>
      <c r="Q110" s="909"/>
    </row>
    <row r="111" spans="1:17">
      <c r="A111" s="970"/>
      <c r="B111" s="943"/>
      <c r="C111" s="365">
        <v>0.5</v>
      </c>
      <c r="D111" s="365">
        <v>0.6</v>
      </c>
      <c r="E111" s="365">
        <v>0.7</v>
      </c>
      <c r="F111" s="365">
        <v>0.8</v>
      </c>
      <c r="G111" s="365">
        <v>0.9</v>
      </c>
      <c r="H111" s="365">
        <v>1</v>
      </c>
      <c r="I111" s="1229"/>
      <c r="J111" s="1229"/>
      <c r="K111" s="1230"/>
      <c r="L111" s="1231"/>
      <c r="M111" s="1232"/>
      <c r="N111" s="986"/>
      <c r="O111" s="986"/>
      <c r="P111" s="987"/>
      <c r="Q111" s="909"/>
    </row>
    <row r="112" spans="1:17" ht="15">
      <c r="A112" s="936"/>
      <c r="B112" s="941"/>
      <c r="C112" s="960">
        <v>100</v>
      </c>
      <c r="D112" s="942">
        <f>C112+$K37</f>
        <v>101</v>
      </c>
      <c r="E112" s="942">
        <f t="shared" ref="E112:M112" si="27">D112+$K37</f>
        <v>102</v>
      </c>
      <c r="F112" s="942">
        <f t="shared" si="27"/>
        <v>103</v>
      </c>
      <c r="G112" s="942">
        <f t="shared" si="27"/>
        <v>104</v>
      </c>
      <c r="H112" s="942">
        <f t="shared" si="27"/>
        <v>105</v>
      </c>
      <c r="I112" s="942">
        <f t="shared" si="27"/>
        <v>106</v>
      </c>
      <c r="J112" s="942">
        <f t="shared" si="27"/>
        <v>107</v>
      </c>
      <c r="K112" s="942">
        <f t="shared" si="27"/>
        <v>108</v>
      </c>
      <c r="L112" s="942">
        <f t="shared" si="27"/>
        <v>109</v>
      </c>
      <c r="M112" s="942">
        <f t="shared" si="27"/>
        <v>110</v>
      </c>
      <c r="N112" s="989"/>
      <c r="O112" s="989"/>
      <c r="P112" s="987"/>
      <c r="Q112" s="909"/>
    </row>
    <row r="113" spans="1:17" s="705" customFormat="1">
      <c r="A113" s="966"/>
      <c r="B113" s="939" t="s">
        <v>1285</v>
      </c>
      <c r="C113" s="1499" t="s">
        <v>1286</v>
      </c>
      <c r="D113" s="947"/>
      <c r="E113" s="947"/>
      <c r="F113" s="947"/>
      <c r="G113" s="947"/>
      <c r="H113" s="963"/>
      <c r="I113" s="963"/>
      <c r="J113" s="963"/>
      <c r="K113" s="1017"/>
      <c r="L113" s="1018"/>
      <c r="M113" s="1019"/>
      <c r="N113" s="999"/>
      <c r="O113" s="999"/>
      <c r="P113" s="1000"/>
      <c r="Q113" s="1030"/>
    </row>
    <row r="114" spans="1:17" s="705" customFormat="1" ht="15">
      <c r="A114" s="946"/>
      <c r="B114" s="941"/>
      <c r="C114" s="942">
        <v>100</v>
      </c>
      <c r="D114" s="942">
        <f>C114-$K38</f>
        <v>99</v>
      </c>
      <c r="E114" s="942">
        <f t="shared" ref="E114:M114" si="28">D114-$K38</f>
        <v>98</v>
      </c>
      <c r="F114" s="942">
        <f t="shared" si="28"/>
        <v>97</v>
      </c>
      <c r="G114" s="942">
        <f t="shared" si="28"/>
        <v>96</v>
      </c>
      <c r="H114" s="942">
        <f t="shared" si="28"/>
        <v>95</v>
      </c>
      <c r="I114" s="942">
        <f t="shared" si="28"/>
        <v>94</v>
      </c>
      <c r="J114" s="942">
        <f t="shared" si="28"/>
        <v>93</v>
      </c>
      <c r="K114" s="942">
        <f t="shared" si="28"/>
        <v>92</v>
      </c>
      <c r="L114" s="942">
        <f t="shared" si="28"/>
        <v>91</v>
      </c>
      <c r="M114" s="942">
        <f t="shared" si="28"/>
        <v>90</v>
      </c>
      <c r="N114" s="999"/>
      <c r="O114" s="999"/>
      <c r="P114" s="1000"/>
      <c r="Q114" s="1030"/>
    </row>
    <row r="115" spans="1:17">
      <c r="A115" s="970"/>
      <c r="B115" s="939" t="s">
        <v>1287</v>
      </c>
      <c r="C115" s="1499" t="s">
        <v>1288</v>
      </c>
      <c r="D115" s="1499" t="s">
        <v>1324</v>
      </c>
      <c r="E115" s="963"/>
      <c r="F115" s="963"/>
      <c r="G115" s="963"/>
      <c r="H115" s="963"/>
      <c r="I115" s="963"/>
      <c r="J115" s="963"/>
      <c r="K115" s="1017"/>
      <c r="L115" s="1018"/>
      <c r="M115" s="1019"/>
      <c r="N115" s="986"/>
      <c r="O115" s="986"/>
      <c r="P115" s="987"/>
      <c r="Q115" s="909"/>
    </row>
    <row r="116" spans="1:17" ht="15">
      <c r="A116" s="936"/>
      <c r="B116" s="941"/>
      <c r="C116" s="942">
        <v>100</v>
      </c>
      <c r="D116" s="942">
        <f t="shared" ref="D116:M116" si="29">C116-$K39</f>
        <v>99</v>
      </c>
      <c r="E116" s="942">
        <f t="shared" si="29"/>
        <v>98</v>
      </c>
      <c r="F116" s="942">
        <f t="shared" si="29"/>
        <v>97</v>
      </c>
      <c r="G116" s="942">
        <f t="shared" si="29"/>
        <v>96</v>
      </c>
      <c r="H116" s="942">
        <f t="shared" si="29"/>
        <v>95</v>
      </c>
      <c r="I116" s="942">
        <f t="shared" si="29"/>
        <v>94</v>
      </c>
      <c r="J116" s="942">
        <f t="shared" si="29"/>
        <v>93</v>
      </c>
      <c r="K116" s="942">
        <f t="shared" si="29"/>
        <v>92</v>
      </c>
      <c r="L116" s="942">
        <f t="shared" si="29"/>
        <v>91</v>
      </c>
      <c r="M116" s="993">
        <f t="shared" si="29"/>
        <v>90</v>
      </c>
      <c r="N116" s="989"/>
      <c r="O116" s="989"/>
      <c r="P116" s="987"/>
      <c r="Q116" s="909"/>
    </row>
    <row r="117" spans="1:17">
      <c r="A117" s="970"/>
      <c r="B117" s="939" t="s">
        <v>1289</v>
      </c>
      <c r="C117" s="947" t="s">
        <v>1270</v>
      </c>
      <c r="D117" s="947" t="s">
        <v>1325</v>
      </c>
      <c r="E117" s="947" t="s">
        <v>1290</v>
      </c>
      <c r="F117" s="947" t="s">
        <v>1326</v>
      </c>
      <c r="G117" s="947" t="s">
        <v>1327</v>
      </c>
      <c r="H117" s="963"/>
      <c r="I117" s="963"/>
      <c r="J117" s="963"/>
      <c r="K117" s="1017"/>
      <c r="L117" s="1018"/>
      <c r="M117" s="1019"/>
      <c r="N117" s="986"/>
      <c r="O117" s="986"/>
      <c r="P117" s="987"/>
      <c r="Q117" s="909"/>
    </row>
    <row r="118" spans="1:17" ht="15">
      <c r="A118" s="936"/>
      <c r="B118" s="941"/>
      <c r="C118" s="942">
        <v>100</v>
      </c>
      <c r="D118" s="942">
        <f>C118-$K40</f>
        <v>99</v>
      </c>
      <c r="E118" s="942">
        <f>D118-$K40</f>
        <v>98</v>
      </c>
      <c r="F118" s="942">
        <f>E118-$K40</f>
        <v>97</v>
      </c>
      <c r="G118" s="942">
        <f>F118-$K40</f>
        <v>96</v>
      </c>
      <c r="H118" s="942"/>
      <c r="I118" s="942"/>
      <c r="J118" s="942"/>
      <c r="K118" s="942"/>
      <c r="L118" s="942"/>
      <c r="M118" s="993"/>
      <c r="N118" s="989"/>
      <c r="O118" s="989"/>
      <c r="P118" s="987"/>
      <c r="Q118" s="909"/>
    </row>
    <row r="119" spans="1:17">
      <c r="A119" s="970"/>
      <c r="B119" s="1149" t="s">
        <v>1328</v>
      </c>
      <c r="C119" s="963"/>
      <c r="D119" s="963"/>
      <c r="E119" s="963"/>
      <c r="F119" s="963"/>
      <c r="G119" s="963"/>
      <c r="H119" s="963"/>
      <c r="I119" s="963"/>
      <c r="J119" s="963"/>
      <c r="K119" s="963"/>
      <c r="L119" s="1502"/>
      <c r="M119" s="1503"/>
      <c r="N119" s="989"/>
      <c r="O119" s="989"/>
      <c r="P119" s="1155"/>
      <c r="Q119" s="1156"/>
    </row>
    <row r="120" spans="1:17" ht="15">
      <c r="A120" s="936"/>
      <c r="B120" s="941"/>
      <c r="C120" s="960">
        <v>100</v>
      </c>
      <c r="D120" s="942">
        <f>C120-$K41</f>
        <v>99</v>
      </c>
      <c r="E120" s="942">
        <f t="shared" ref="E120:M120" si="30">D120-$K41</f>
        <v>98</v>
      </c>
      <c r="F120" s="942">
        <f t="shared" si="30"/>
        <v>97</v>
      </c>
      <c r="G120" s="942">
        <f t="shared" si="30"/>
        <v>96</v>
      </c>
      <c r="H120" s="942">
        <f t="shared" si="30"/>
        <v>95</v>
      </c>
      <c r="I120" s="942">
        <f t="shared" si="30"/>
        <v>94</v>
      </c>
      <c r="J120" s="942">
        <f t="shared" si="30"/>
        <v>93</v>
      </c>
      <c r="K120" s="942">
        <f t="shared" si="30"/>
        <v>92</v>
      </c>
      <c r="L120" s="942">
        <f t="shared" si="30"/>
        <v>91</v>
      </c>
      <c r="M120" s="942">
        <f t="shared" si="30"/>
        <v>90</v>
      </c>
      <c r="N120" s="989"/>
      <c r="O120" s="989"/>
      <c r="P120" s="987"/>
      <c r="Q120" s="909"/>
    </row>
    <row r="121" spans="1:17" s="705" customFormat="1">
      <c r="A121" s="966"/>
      <c r="B121" s="939" t="s">
        <v>1329</v>
      </c>
      <c r="C121" s="947"/>
      <c r="D121" s="947"/>
      <c r="E121" s="947"/>
      <c r="F121" s="963"/>
      <c r="G121" s="948"/>
      <c r="H121" s="948"/>
      <c r="I121" s="948"/>
      <c r="J121" s="948"/>
      <c r="K121" s="948"/>
      <c r="L121" s="997"/>
      <c r="M121" s="998"/>
      <c r="N121" s="999"/>
      <c r="O121" s="999"/>
      <c r="P121" s="1000"/>
      <c r="Q121" s="1030"/>
    </row>
    <row r="122" spans="1:17" s="705" customFormat="1" ht="15">
      <c r="A122" s="946"/>
      <c r="B122" s="937"/>
      <c r="C122" s="949"/>
      <c r="D122" s="949"/>
      <c r="E122" s="949"/>
      <c r="F122" s="949"/>
      <c r="G122" s="949"/>
      <c r="H122" s="949"/>
      <c r="I122" s="949"/>
      <c r="J122" s="949"/>
      <c r="K122" s="949"/>
      <c r="L122" s="949"/>
      <c r="M122" s="949"/>
      <c r="N122" s="999"/>
      <c r="O122" s="999"/>
      <c r="P122" s="1000"/>
      <c r="Q122" s="1030"/>
    </row>
    <row r="123" spans="1:17">
      <c r="A123" s="970"/>
      <c r="B123" s="939" t="s">
        <v>1293</v>
      </c>
      <c r="C123" s="1499" t="s">
        <v>1283</v>
      </c>
      <c r="D123" s="1499" t="s">
        <v>1321</v>
      </c>
      <c r="E123" s="1499" t="s">
        <v>1322</v>
      </c>
      <c r="F123" s="1501" t="s">
        <v>1323</v>
      </c>
      <c r="G123" s="963"/>
      <c r="H123" s="963"/>
      <c r="I123" s="963"/>
      <c r="J123" s="963"/>
      <c r="K123" s="1017"/>
      <c r="L123" s="1018"/>
      <c r="M123" s="1019"/>
      <c r="N123" s="986"/>
      <c r="O123" s="986"/>
      <c r="P123" s="987"/>
      <c r="Q123" s="909"/>
    </row>
    <row r="124" spans="1:17" ht="15">
      <c r="A124" s="936"/>
      <c r="B124" s="941"/>
      <c r="C124" s="942">
        <v>100</v>
      </c>
      <c r="D124" s="942">
        <f t="shared" ref="D124:M124" si="31">C124-$K43</f>
        <v>97</v>
      </c>
      <c r="E124" s="942">
        <f t="shared" si="31"/>
        <v>94</v>
      </c>
      <c r="F124" s="942">
        <f t="shared" si="31"/>
        <v>91</v>
      </c>
      <c r="G124" s="942">
        <f t="shared" si="31"/>
        <v>88</v>
      </c>
      <c r="H124" s="942">
        <f t="shared" si="31"/>
        <v>85</v>
      </c>
      <c r="I124" s="942">
        <f t="shared" si="31"/>
        <v>82</v>
      </c>
      <c r="J124" s="942">
        <f t="shared" si="31"/>
        <v>79</v>
      </c>
      <c r="K124" s="942">
        <f t="shared" si="31"/>
        <v>76</v>
      </c>
      <c r="L124" s="942">
        <f t="shared" si="31"/>
        <v>73</v>
      </c>
      <c r="M124" s="993">
        <f t="shared" si="31"/>
        <v>70</v>
      </c>
      <c r="N124" s="989"/>
      <c r="O124" s="989"/>
      <c r="P124" s="987"/>
      <c r="Q124" s="909"/>
    </row>
    <row r="125" spans="1:17">
      <c r="A125" s="970"/>
      <c r="B125" s="939" t="s">
        <v>217</v>
      </c>
      <c r="C125" s="958" t="s">
        <v>228</v>
      </c>
      <c r="D125" s="958" t="s">
        <v>240</v>
      </c>
      <c r="E125" s="958" t="s">
        <v>251</v>
      </c>
      <c r="F125" s="958" t="s">
        <v>261</v>
      </c>
      <c r="G125" s="958" t="s">
        <v>268</v>
      </c>
      <c r="H125" s="940"/>
      <c r="I125" s="940"/>
      <c r="J125" s="940"/>
      <c r="K125" s="990"/>
      <c r="L125" s="991"/>
      <c r="M125" s="992"/>
      <c r="N125" s="986"/>
      <c r="O125" s="986"/>
      <c r="P125" s="1000"/>
      <c r="Q125" s="909"/>
    </row>
    <row r="126" spans="1:17" ht="15">
      <c r="A126" s="936"/>
      <c r="B126" s="941"/>
      <c r="C126" s="942">
        <v>100</v>
      </c>
      <c r="D126" s="942">
        <f>C126-$K44</f>
        <v>98</v>
      </c>
      <c r="E126" s="942">
        <f>D126-$K44</f>
        <v>96</v>
      </c>
      <c r="F126" s="942">
        <f>E126-$K44</f>
        <v>94</v>
      </c>
      <c r="G126" s="942">
        <f>F126-$K44</f>
        <v>92</v>
      </c>
      <c r="H126" s="942"/>
      <c r="I126" s="942"/>
      <c r="J126" s="942"/>
      <c r="K126" s="942"/>
      <c r="L126" s="942"/>
      <c r="M126" s="993"/>
      <c r="N126" s="989"/>
      <c r="O126" s="989"/>
      <c r="P126" s="987"/>
      <c r="Q126" s="909"/>
    </row>
    <row r="127" spans="1:17" s="705" customFormat="1">
      <c r="A127" s="966"/>
      <c r="B127" s="939">
        <f>B45</f>
        <v>111</v>
      </c>
      <c r="C127" s="947"/>
      <c r="D127" s="947"/>
      <c r="E127" s="947"/>
      <c r="F127" s="947"/>
      <c r="G127" s="947"/>
      <c r="H127" s="948"/>
      <c r="I127" s="948"/>
      <c r="J127" s="948"/>
      <c r="K127" s="948"/>
      <c r="L127" s="997"/>
      <c r="M127" s="998"/>
      <c r="N127" s="999"/>
      <c r="O127" s="999"/>
      <c r="P127" s="1000"/>
      <c r="Q127" s="1030"/>
    </row>
    <row r="128" spans="1:17" s="705" customFormat="1" ht="15">
      <c r="A128" s="946"/>
      <c r="B128" s="941"/>
      <c r="C128" s="949"/>
      <c r="D128" s="938"/>
      <c r="E128" s="938"/>
      <c r="F128" s="938"/>
      <c r="G128" s="949"/>
      <c r="H128" s="950"/>
      <c r="I128" s="950"/>
      <c r="J128" s="950"/>
      <c r="K128" s="950"/>
      <c r="L128" s="950"/>
      <c r="M128" s="1002"/>
      <c r="N128" s="999"/>
      <c r="O128" s="999"/>
      <c r="P128" s="1000"/>
      <c r="Q128" s="1030"/>
    </row>
    <row r="129" spans="1:17">
      <c r="A129" s="970"/>
      <c r="B129" s="939">
        <f>B46</f>
        <v>111</v>
      </c>
      <c r="C129" s="947"/>
      <c r="D129" s="947"/>
      <c r="E129" s="947"/>
      <c r="F129" s="947"/>
      <c r="G129" s="963"/>
      <c r="H129" s="963"/>
      <c r="I129" s="963"/>
      <c r="J129" s="963"/>
      <c r="K129" s="1017"/>
      <c r="L129" s="1018"/>
      <c r="M129" s="1019"/>
      <c r="N129" s="986"/>
      <c r="O129" s="986"/>
      <c r="P129" s="987"/>
      <c r="Q129" s="909"/>
    </row>
    <row r="130" spans="1:17" ht="15">
      <c r="A130" s="936"/>
      <c r="B130" s="941"/>
      <c r="C130" s="949"/>
      <c r="D130" s="949"/>
      <c r="E130" s="949"/>
      <c r="F130" s="949"/>
      <c r="G130" s="938"/>
      <c r="H130" s="938"/>
      <c r="I130" s="938"/>
      <c r="J130" s="938"/>
      <c r="K130" s="938"/>
      <c r="L130" s="938"/>
      <c r="M130" s="988"/>
      <c r="N130" s="989"/>
      <c r="O130" s="989"/>
      <c r="P130" s="987"/>
      <c r="Q130" s="909"/>
    </row>
    <row r="131" spans="1:17">
      <c r="A131" s="970"/>
      <c r="B131" s="943">
        <f>B47</f>
        <v>111</v>
      </c>
      <c r="C131" s="931"/>
      <c r="D131" s="931"/>
      <c r="E131" s="931"/>
      <c r="F131" s="931"/>
      <c r="G131" s="964"/>
      <c r="H131" s="964"/>
      <c r="I131" s="964"/>
      <c r="J131" s="964"/>
      <c r="K131" s="931"/>
      <c r="L131" s="978"/>
      <c r="M131" s="1022"/>
      <c r="N131" s="986"/>
      <c r="O131" s="986"/>
      <c r="P131" s="987"/>
      <c r="Q131" s="909"/>
    </row>
    <row r="132" spans="1:17" ht="15">
      <c r="A132" s="1504"/>
      <c r="B132" s="953"/>
      <c r="C132" s="954"/>
      <c r="D132" s="954"/>
      <c r="E132" s="954"/>
      <c r="F132" s="954"/>
      <c r="G132" s="965"/>
      <c r="H132" s="965"/>
      <c r="I132" s="965"/>
      <c r="J132" s="965"/>
      <c r="K132" s="965"/>
      <c r="L132" s="965"/>
      <c r="M132" s="1023"/>
      <c r="N132" s="989"/>
      <c r="O132" s="989"/>
      <c r="P132" s="987"/>
      <c r="Q132"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53">
    <cfRule type="expression" dxfId="125" priority="12" stopIfTrue="1">
      <formula>$F$53="超过30%"</formula>
    </cfRule>
  </conditionalFormatting>
  <conditionalFormatting sqref="G53">
    <cfRule type="expression" dxfId="124" priority="8" stopIfTrue="1">
      <formula>$H$53="超过30%"</formula>
    </cfRule>
  </conditionalFormatting>
  <conditionalFormatting sqref="I53">
    <cfRule type="expression" dxfId="123" priority="3" stopIfTrue="1">
      <formula>$J$53="超过30%"</formula>
    </cfRule>
  </conditionalFormatting>
  <conditionalFormatting sqref="J53">
    <cfRule type="containsText" dxfId="122" priority="6" stopIfTrue="1" operator="containsText" text="超过">
      <formula>NOT(ISERROR(SEARCH("超过",J53)))</formula>
    </cfRule>
  </conditionalFormatting>
  <conditionalFormatting sqref="E54">
    <cfRule type="expression" dxfId="121" priority="11" stopIfTrue="1">
      <formula>$F$54="超过20%"</formula>
    </cfRule>
  </conditionalFormatting>
  <conditionalFormatting sqref="G54">
    <cfRule type="expression" dxfId="120" priority="7" stopIfTrue="1">
      <formula>$H$54="超过20%"</formula>
    </cfRule>
  </conditionalFormatting>
  <conditionalFormatting sqref="I54">
    <cfRule type="expression" dxfId="119" priority="2" stopIfTrue="1">
      <formula>$J$53+$J$54="超过20%"</formula>
    </cfRule>
  </conditionalFormatting>
  <conditionalFormatting sqref="J54">
    <cfRule type="containsText" dxfId="118" priority="4" stopIfTrue="1" operator="containsText" text="超过">
      <formula>NOT(ISERROR(SEARCH("超过",J54)))</formula>
    </cfRule>
  </conditionalFormatting>
  <conditionalFormatting sqref="E55">
    <cfRule type="expression" dxfId="117" priority="10" stopIfTrue="1">
      <formula>$F$55="超过30%"</formula>
    </cfRule>
  </conditionalFormatting>
  <conditionalFormatting sqref="F55">
    <cfRule type="containsText" dxfId="116" priority="14" stopIfTrue="1" operator="containsText" text="超过">
      <formula>NOT(ISERROR(SEARCH("超过",F55)))</formula>
    </cfRule>
  </conditionalFormatting>
  <conditionalFormatting sqref="G55">
    <cfRule type="expression" dxfId="115" priority="9" stopIfTrue="1">
      <formula>$H$55="超过30%"</formula>
    </cfRule>
  </conditionalFormatting>
  <conditionalFormatting sqref="H55">
    <cfRule type="containsText" dxfId="114" priority="15" stopIfTrue="1" operator="containsText" text="超过">
      <formula>NOT(ISERROR(SEARCH("超过",H55)))</formula>
    </cfRule>
  </conditionalFormatting>
  <conditionalFormatting sqref="I55">
    <cfRule type="expression" dxfId="113" priority="1" stopIfTrue="1">
      <formula>$J$55="超过30%"</formula>
    </cfRule>
  </conditionalFormatting>
  <conditionalFormatting sqref="J55">
    <cfRule type="containsText" dxfId="112" priority="5" stopIfTrue="1" operator="containsText" text="超过">
      <formula>NOT(ISERROR(SEARCH("超过",J55)))</formula>
    </cfRule>
  </conditionalFormatting>
  <conditionalFormatting sqref="F53 H53">
    <cfRule type="containsText" dxfId="111" priority="16" stopIfTrue="1" operator="containsText" text="超过">
      <formula>NOT(ISERROR(SEARCH("超过",F53)))</formula>
    </cfRule>
  </conditionalFormatting>
  <conditionalFormatting sqref="F54 H54">
    <cfRule type="containsText" dxfId="110" priority="13" stopIfTrue="1" operator="containsText" text="超过">
      <formula>NOT(ISERROR(SEARCH("超过",F54)))</formula>
    </cfRule>
  </conditionalFormatting>
  <dataValidations count="24">
    <dataValidation type="list" allowBlank="1" showInputMessage="1" showErrorMessage="1" sqref="C18 E18 G18 I18">
      <formula1>交通便捷度</formula1>
    </dataValidation>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tabSelected="1" view="pageBreakPreview" topLeftCell="F1" zoomScale="95" zoomScaleNormal="90" zoomScaleSheetLayoutView="95" workbookViewId="0">
      <pane ySplit="27" topLeftCell="A28" activePane="bottomLeft" state="frozen"/>
      <selection pane="bottomLeft" activeCell="V28" sqref="V28:V34"/>
    </sheetView>
  </sheetViews>
  <sheetFormatPr defaultColWidth="9" defaultRowHeight="12.75"/>
  <cols>
    <col min="1" max="1" width="12.375" style="1351" customWidth="1"/>
    <col min="2" max="2" width="9.25" style="1352" customWidth="1"/>
    <col min="3" max="3" width="5" style="1352" customWidth="1"/>
    <col min="4" max="4" width="9" style="1352"/>
    <col min="5" max="5" width="5" style="1352" customWidth="1"/>
    <col min="6" max="6" width="9" style="1352"/>
    <col min="7" max="7" width="5" style="1352" customWidth="1"/>
    <col min="8" max="8" width="9" style="1352"/>
    <col min="9" max="9" width="5" style="1352" customWidth="1"/>
    <col min="10" max="10" width="9" style="1352"/>
    <col min="11" max="11" width="5" style="1352" customWidth="1"/>
    <col min="12" max="12" width="9" style="1352"/>
    <col min="13" max="13" width="5" style="1352" customWidth="1"/>
    <col min="14" max="14" width="9" style="1352"/>
    <col min="15" max="15" width="5" style="1352" customWidth="1"/>
    <col min="16" max="16" width="9" style="1352"/>
    <col min="17" max="17" width="5" style="1352" customWidth="1"/>
    <col min="18" max="18" width="9" style="1353"/>
    <col min="19" max="19" width="9" style="1351"/>
    <col min="20" max="20" width="9" style="1354"/>
    <col min="21" max="22" width="9" style="1355"/>
    <col min="23" max="23" width="9" style="1354"/>
    <col min="24" max="25" width="9" style="1355"/>
    <col min="26" max="44" width="9" style="1354"/>
    <col min="45" max="16384" width="9" style="1351"/>
  </cols>
  <sheetData>
    <row r="1" spans="1:44" ht="20.25">
      <c r="A1" s="712" t="s">
        <v>1330</v>
      </c>
      <c r="B1" s="1356"/>
      <c r="C1" s="1357"/>
      <c r="D1" s="1357"/>
      <c r="E1" s="1357"/>
      <c r="F1" s="1357"/>
      <c r="G1" s="1357"/>
      <c r="H1" s="1357"/>
      <c r="I1" s="1357"/>
      <c r="J1" s="1357"/>
      <c r="K1" s="1357"/>
      <c r="L1" s="1357"/>
      <c r="M1" s="1357"/>
      <c r="N1" s="1357"/>
      <c r="O1" s="1357"/>
      <c r="P1" s="1357"/>
      <c r="Q1" s="1357"/>
      <c r="R1" s="1443"/>
      <c r="S1" s="1398"/>
      <c r="T1" s="1398"/>
      <c r="U1" s="1444"/>
      <c r="V1" s="1444"/>
      <c r="X1" s="1444"/>
      <c r="Y1" s="1444"/>
    </row>
    <row r="2" spans="1:44" ht="15.75">
      <c r="A2" s="400" t="s">
        <v>832</v>
      </c>
      <c r="B2" s="1358">
        <f ca="1">B23</f>
        <v>4242</v>
      </c>
      <c r="C2" s="1359" t="str">
        <f>C23</f>
        <v>万元</v>
      </c>
      <c r="D2" s="1357"/>
      <c r="E2" s="1357"/>
      <c r="F2" s="1357"/>
      <c r="G2" s="1357"/>
      <c r="H2" s="1357"/>
      <c r="I2" s="1357"/>
      <c r="J2" s="1357"/>
      <c r="K2" s="1357"/>
      <c r="L2" s="1357"/>
      <c r="M2" s="1357"/>
      <c r="N2" s="1357"/>
      <c r="O2" s="1357"/>
      <c r="P2" s="1357"/>
      <c r="Q2" s="1357"/>
      <c r="R2" s="1443"/>
      <c r="S2" s="1398"/>
      <c r="T2" s="1398"/>
      <c r="U2" s="1444"/>
      <c r="V2" s="1444"/>
      <c r="X2" s="1444"/>
      <c r="Y2" s="1444"/>
    </row>
    <row r="3" spans="1:44" ht="15.75">
      <c r="A3" s="407" t="s">
        <v>833</v>
      </c>
      <c r="B3" s="1358">
        <f ca="1">B24</f>
        <v>41406</v>
      </c>
      <c r="C3" s="1359" t="s">
        <v>1331</v>
      </c>
      <c r="D3" s="1357"/>
      <c r="E3" s="1357"/>
      <c r="F3" s="1357"/>
      <c r="G3" s="1357"/>
      <c r="H3" s="1357"/>
      <c r="I3" s="1357"/>
      <c r="J3" s="1357"/>
      <c r="K3" s="1357"/>
      <c r="L3" s="1357"/>
      <c r="M3" s="1357"/>
      <c r="N3" s="1357"/>
      <c r="O3" s="1357"/>
      <c r="P3" s="1357"/>
      <c r="Q3" s="1357"/>
      <c r="R3" s="1443"/>
      <c r="S3" s="1398"/>
      <c r="T3" s="1398"/>
      <c r="U3" s="1444"/>
      <c r="V3" s="1444"/>
      <c r="X3" s="1444"/>
      <c r="Y3" s="1444"/>
    </row>
    <row r="4" spans="1:44" ht="14.25" customHeight="1" thickBot="1">
      <c r="A4" s="1360"/>
      <c r="B4" s="1361" t="s">
        <v>1332</v>
      </c>
      <c r="C4" s="3049" t="s">
        <v>1333</v>
      </c>
      <c r="D4" s="3050"/>
      <c r="E4" s="3050"/>
      <c r="F4" s="3050"/>
      <c r="G4" s="3050"/>
      <c r="H4" s="3050"/>
      <c r="I4" s="3050"/>
      <c r="J4" s="3050"/>
      <c r="K4" s="3050"/>
      <c r="L4" s="3050"/>
      <c r="M4" s="3050"/>
      <c r="N4" s="3050"/>
      <c r="O4" s="3050"/>
      <c r="P4" s="3050"/>
      <c r="Q4" s="3050"/>
      <c r="R4" s="3050"/>
      <c r="S4" s="3051"/>
      <c r="T4" s="1361" t="s">
        <v>1334</v>
      </c>
      <c r="U4" s="1444"/>
      <c r="V4" s="1444"/>
      <c r="X4" s="1444"/>
      <c r="Y4" s="1444"/>
    </row>
    <row r="5" spans="1:44" s="1346" customFormat="1" ht="38.25">
      <c r="A5" s="1362"/>
      <c r="B5" s="1363" t="s">
        <v>363</v>
      </c>
      <c r="C5" s="1364" t="str">
        <f t="shared" ref="C5:L5" si="0">C6&amp;"(含)"&amp;"-"&amp;D6</f>
        <v>0(含)-100</v>
      </c>
      <c r="D5" s="1365" t="str">
        <f t="shared" si="0"/>
        <v>100(含)-300</v>
      </c>
      <c r="E5" s="1365" t="str">
        <f t="shared" si="0"/>
        <v>300(含)-500</v>
      </c>
      <c r="F5" s="1365" t="str">
        <f t="shared" si="0"/>
        <v>500(含)-</v>
      </c>
      <c r="G5" s="1365" t="str">
        <f t="shared" si="0"/>
        <v>(含)-</v>
      </c>
      <c r="H5" s="1365" t="str">
        <f t="shared" si="0"/>
        <v>(含)-</v>
      </c>
      <c r="I5" s="1365" t="str">
        <f t="shared" si="0"/>
        <v>(含)-</v>
      </c>
      <c r="J5" s="1365" t="str">
        <f t="shared" si="0"/>
        <v>(含)-</v>
      </c>
      <c r="K5" s="1365" t="str">
        <f t="shared" si="0"/>
        <v>(含)-</v>
      </c>
      <c r="L5" s="1365" t="str">
        <f t="shared" si="0"/>
        <v>(含)-</v>
      </c>
      <c r="M5" s="1365" t="str">
        <f t="shared" ref="M5" si="1">M6&amp;"(含)"&amp;"-"&amp;N6</f>
        <v>(含)-</v>
      </c>
      <c r="N5" s="1365" t="str">
        <f t="shared" ref="N5" si="2">N6&amp;"(含)"&amp;"-"&amp;O6</f>
        <v>(含)-</v>
      </c>
      <c r="O5" s="1365" t="str">
        <f t="shared" ref="O5" si="3">O6&amp;"(含)"&amp;"-"&amp;P6</f>
        <v>(含)-</v>
      </c>
      <c r="P5" s="1365" t="str">
        <f t="shared" ref="P5" si="4">P6&amp;"(含)"&amp;"-"&amp;Q6</f>
        <v>(含)-</v>
      </c>
      <c r="Q5" s="1365" t="str">
        <f t="shared" ref="Q5" si="5">Q6&amp;"(含)"&amp;"-"&amp;R6</f>
        <v>(含)-</v>
      </c>
      <c r="R5" s="1365" t="str">
        <f t="shared" ref="R5" si="6">R6&amp;"(含)"&amp;"-"&amp;S6</f>
        <v>(含)-</v>
      </c>
      <c r="S5" s="1445" t="str">
        <f>S6&amp;"(含)"&amp;"-"</f>
        <v>(含)-</v>
      </c>
      <c r="T5" s="1446"/>
      <c r="U5" s="1447"/>
      <c r="V5" s="1447"/>
      <c r="W5" s="1448"/>
      <c r="X5" s="1447"/>
      <c r="Y5" s="1447"/>
      <c r="Z5" s="1448"/>
      <c r="AA5" s="1448"/>
      <c r="AB5" s="1448"/>
      <c r="AC5" s="1448"/>
      <c r="AD5" s="1448"/>
      <c r="AE5" s="1448"/>
      <c r="AF5" s="1448"/>
      <c r="AG5" s="1448"/>
      <c r="AH5" s="1448"/>
      <c r="AI5" s="1448"/>
      <c r="AJ5" s="1448"/>
      <c r="AK5" s="1448"/>
      <c r="AL5" s="1448"/>
      <c r="AM5" s="1448"/>
      <c r="AN5" s="1448"/>
      <c r="AO5" s="1448"/>
      <c r="AP5" s="1448"/>
      <c r="AQ5" s="1448"/>
      <c r="AR5" s="1448"/>
    </row>
    <row r="6" spans="1:44" s="1347" customFormat="1" ht="14.25">
      <c r="A6" s="1366"/>
      <c r="B6" s="1367"/>
      <c r="C6" s="923">
        <v>0</v>
      </c>
      <c r="D6" s="923">
        <v>100</v>
      </c>
      <c r="E6" s="923">
        <v>300</v>
      </c>
      <c r="F6" s="923">
        <v>500</v>
      </c>
      <c r="G6" s="1368"/>
      <c r="H6" s="1368"/>
      <c r="I6" s="1368"/>
      <c r="J6" s="1416"/>
      <c r="K6" s="1416"/>
      <c r="L6" s="1417"/>
      <c r="M6" s="1418"/>
      <c r="N6" s="1419"/>
      <c r="O6" s="1368"/>
      <c r="P6" s="1368"/>
      <c r="Q6" s="1368"/>
      <c r="R6" s="1368"/>
      <c r="S6" s="1449"/>
      <c r="T6" s="1450"/>
      <c r="U6" s="1447"/>
      <c r="V6" s="1447"/>
      <c r="W6" s="1451"/>
      <c r="X6" s="1447"/>
      <c r="Y6" s="1447"/>
      <c r="Z6" s="1451"/>
      <c r="AA6" s="1451"/>
      <c r="AB6" s="1451"/>
      <c r="AC6" s="1451"/>
      <c r="AD6" s="1451"/>
      <c r="AE6" s="1451"/>
      <c r="AF6" s="1451"/>
      <c r="AG6" s="1451"/>
      <c r="AH6" s="1451"/>
      <c r="AI6" s="1451"/>
      <c r="AJ6" s="1451"/>
      <c r="AK6" s="1451"/>
      <c r="AL6" s="1451"/>
      <c r="AM6" s="1451"/>
      <c r="AN6" s="1451"/>
      <c r="AO6" s="1451"/>
      <c r="AP6" s="1451"/>
      <c r="AQ6" s="1451"/>
      <c r="AR6" s="1451"/>
    </row>
    <row r="7" spans="1:44" s="1347" customFormat="1" ht="15" thickBot="1">
      <c r="A7" s="1369"/>
      <c r="B7" s="1370"/>
      <c r="C7" s="949">
        <v>98</v>
      </c>
      <c r="D7" s="938">
        <v>99</v>
      </c>
      <c r="E7" s="938">
        <v>100</v>
      </c>
      <c r="F7" s="938">
        <v>99</v>
      </c>
      <c r="G7" s="1371"/>
      <c r="H7" s="1371"/>
      <c r="I7" s="1371"/>
      <c r="J7" s="1371"/>
      <c r="K7" s="1371"/>
      <c r="L7" s="1371"/>
      <c r="M7" s="1420"/>
      <c r="N7" s="1421"/>
      <c r="O7" s="1371"/>
      <c r="P7" s="1371"/>
      <c r="Q7" s="1371"/>
      <c r="R7" s="1371"/>
      <c r="S7" s="1452"/>
      <c r="T7" s="1453"/>
      <c r="U7" s="1447"/>
      <c r="V7" s="1447"/>
      <c r="W7" s="1451"/>
      <c r="X7" s="1447"/>
      <c r="Y7" s="1447"/>
      <c r="Z7" s="1451"/>
      <c r="AA7" s="1451"/>
      <c r="AB7" s="1451"/>
      <c r="AC7" s="1451"/>
      <c r="AD7" s="1451"/>
      <c r="AE7" s="1451"/>
      <c r="AF7" s="1451"/>
      <c r="AG7" s="1451"/>
      <c r="AH7" s="1451"/>
      <c r="AI7" s="1451"/>
      <c r="AJ7" s="1451"/>
      <c r="AK7" s="1451"/>
      <c r="AL7" s="1451"/>
      <c r="AM7" s="1451"/>
      <c r="AN7" s="1451"/>
      <c r="AO7" s="1451"/>
      <c r="AP7" s="1451"/>
      <c r="AQ7" s="1451"/>
      <c r="AR7" s="1451"/>
    </row>
    <row r="8" spans="1:44" s="1348" customFormat="1" ht="24.75" thickTop="1">
      <c r="A8" s="1372"/>
      <c r="B8" s="1373" t="s">
        <v>1335</v>
      </c>
      <c r="C8" s="1374" t="s">
        <v>1283</v>
      </c>
      <c r="D8" s="1375" t="s">
        <v>1336</v>
      </c>
      <c r="E8" s="1375" t="s">
        <v>1323</v>
      </c>
      <c r="F8" s="1376"/>
      <c r="G8" s="1376"/>
      <c r="H8" s="1376"/>
      <c r="I8" s="1376"/>
      <c r="J8" s="1376"/>
      <c r="K8" s="1376"/>
      <c r="L8" s="1422"/>
      <c r="M8" s="1423"/>
      <c r="N8" s="1423"/>
      <c r="O8" s="1376"/>
      <c r="P8" s="1376"/>
      <c r="Q8" s="1376"/>
      <c r="R8" s="1376"/>
      <c r="S8" s="1454"/>
      <c r="T8" s="1455">
        <v>1</v>
      </c>
      <c r="U8" s="1447"/>
      <c r="V8" s="1447"/>
      <c r="W8" s="1456"/>
      <c r="X8" s="1447"/>
      <c r="Y8" s="1447"/>
      <c r="Z8" s="1456"/>
      <c r="AA8" s="1456"/>
      <c r="AB8" s="1456"/>
      <c r="AC8" s="1456"/>
      <c r="AD8" s="1456"/>
      <c r="AE8" s="1456"/>
      <c r="AF8" s="1456"/>
      <c r="AG8" s="1456"/>
      <c r="AH8" s="1456"/>
      <c r="AI8" s="1456"/>
      <c r="AJ8" s="1456"/>
      <c r="AK8" s="1456"/>
      <c r="AL8" s="1456"/>
      <c r="AM8" s="1456"/>
      <c r="AN8" s="1456"/>
      <c r="AO8" s="1456"/>
      <c r="AP8" s="1456"/>
      <c r="AQ8" s="1456"/>
      <c r="AR8" s="1456"/>
    </row>
    <row r="9" spans="1:44" s="1348" customFormat="1" ht="13.5" thickBot="1">
      <c r="A9" s="1372"/>
      <c r="B9" s="1377"/>
      <c r="C9" s="1378">
        <v>100</v>
      </c>
      <c r="D9" s="1379">
        <f t="shared" ref="D9:S9" si="7">C9-$T$8</f>
        <v>99</v>
      </c>
      <c r="E9" s="1379">
        <f t="shared" si="7"/>
        <v>98</v>
      </c>
      <c r="F9" s="1379">
        <f t="shared" si="7"/>
        <v>97</v>
      </c>
      <c r="G9" s="1379">
        <f t="shared" si="7"/>
        <v>96</v>
      </c>
      <c r="H9" s="1379">
        <f t="shared" si="7"/>
        <v>95</v>
      </c>
      <c r="I9" s="1379">
        <f t="shared" si="7"/>
        <v>94</v>
      </c>
      <c r="J9" s="1379">
        <f t="shared" si="7"/>
        <v>93</v>
      </c>
      <c r="K9" s="1379">
        <f t="shared" si="7"/>
        <v>92</v>
      </c>
      <c r="L9" s="1379">
        <f t="shared" si="7"/>
        <v>91</v>
      </c>
      <c r="M9" s="1424">
        <f t="shared" si="7"/>
        <v>90</v>
      </c>
      <c r="N9" s="1424">
        <f t="shared" si="7"/>
        <v>89</v>
      </c>
      <c r="O9" s="1379">
        <f t="shared" si="7"/>
        <v>88</v>
      </c>
      <c r="P9" s="1379">
        <f t="shared" si="7"/>
        <v>87</v>
      </c>
      <c r="Q9" s="1379">
        <f t="shared" si="7"/>
        <v>86</v>
      </c>
      <c r="R9" s="1379">
        <f t="shared" si="7"/>
        <v>85</v>
      </c>
      <c r="S9" s="1457">
        <f t="shared" si="7"/>
        <v>84</v>
      </c>
      <c r="T9" s="1458"/>
      <c r="U9" s="1447"/>
      <c r="V9" s="1447"/>
      <c r="W9" s="1456"/>
      <c r="X9" s="1447"/>
      <c r="Y9" s="1447"/>
      <c r="Z9" s="1456"/>
      <c r="AA9" s="1456"/>
      <c r="AB9" s="1456"/>
      <c r="AC9" s="1456"/>
      <c r="AD9" s="1456"/>
      <c r="AE9" s="1456"/>
      <c r="AF9" s="1456"/>
      <c r="AG9" s="1456"/>
      <c r="AH9" s="1456"/>
      <c r="AI9" s="1456"/>
      <c r="AJ9" s="1456"/>
      <c r="AK9" s="1456"/>
      <c r="AL9" s="1456"/>
      <c r="AM9" s="1456"/>
      <c r="AN9" s="1456"/>
      <c r="AO9" s="1456"/>
      <c r="AP9" s="1456"/>
      <c r="AQ9" s="1456"/>
      <c r="AR9" s="1456"/>
    </row>
    <row r="10" spans="1:44" s="1348" customFormat="1">
      <c r="A10" s="1372"/>
      <c r="B10" s="1380" t="s">
        <v>1337</v>
      </c>
      <c r="C10" s="1381"/>
      <c r="D10" s="1382"/>
      <c r="E10" s="1382"/>
      <c r="F10" s="1382"/>
      <c r="G10" s="1382"/>
      <c r="H10" s="1382"/>
      <c r="I10" s="1382"/>
      <c r="J10" s="1382"/>
      <c r="K10" s="1382"/>
      <c r="L10" s="1382"/>
      <c r="M10" s="1425"/>
      <c r="N10" s="1426"/>
      <c r="O10" s="1427"/>
      <c r="P10" s="1428"/>
      <c r="Q10" s="1459"/>
      <c r="R10" s="1460"/>
      <c r="S10" s="1461"/>
      <c r="T10" s="1462"/>
      <c r="U10" s="1447"/>
      <c r="V10" s="1447"/>
      <c r="W10" s="1456"/>
      <c r="X10" s="1447"/>
      <c r="Y10" s="1447"/>
      <c r="Z10" s="1456"/>
      <c r="AA10" s="1456"/>
      <c r="AB10" s="1456"/>
      <c r="AC10" s="1456"/>
      <c r="AD10" s="1456"/>
      <c r="AE10" s="1456"/>
      <c r="AF10" s="1456"/>
      <c r="AG10" s="1456"/>
      <c r="AH10" s="1456"/>
      <c r="AI10" s="1456"/>
      <c r="AJ10" s="1456"/>
      <c r="AK10" s="1456"/>
      <c r="AL10" s="1456"/>
      <c r="AM10" s="1456"/>
      <c r="AN10" s="1456"/>
      <c r="AO10" s="1456"/>
      <c r="AP10" s="1456"/>
      <c r="AQ10" s="1456"/>
      <c r="AR10" s="1456"/>
    </row>
    <row r="11" spans="1:44" s="1348" customFormat="1" ht="13.5" thickBot="1">
      <c r="A11" s="1372"/>
      <c r="B11" s="1377"/>
      <c r="C11" s="1378">
        <v>100</v>
      </c>
      <c r="D11" s="1379">
        <f t="shared" ref="D11:M11" si="8">C11-$T$10</f>
        <v>100</v>
      </c>
      <c r="E11" s="1379">
        <f t="shared" si="8"/>
        <v>100</v>
      </c>
      <c r="F11" s="1379">
        <f t="shared" si="8"/>
        <v>100</v>
      </c>
      <c r="G11" s="1379">
        <f t="shared" si="8"/>
        <v>100</v>
      </c>
      <c r="H11" s="1379">
        <f t="shared" si="8"/>
        <v>100</v>
      </c>
      <c r="I11" s="1379">
        <f t="shared" si="8"/>
        <v>100</v>
      </c>
      <c r="J11" s="1379">
        <f t="shared" si="8"/>
        <v>100</v>
      </c>
      <c r="K11" s="1379">
        <f t="shared" si="8"/>
        <v>100</v>
      </c>
      <c r="L11" s="1379">
        <f t="shared" si="8"/>
        <v>100</v>
      </c>
      <c r="M11" s="1424">
        <f t="shared" si="8"/>
        <v>100</v>
      </c>
      <c r="N11" s="1424">
        <f t="shared" ref="N11:S11" si="9">M11-$T$10</f>
        <v>100</v>
      </c>
      <c r="O11" s="1379">
        <f t="shared" si="9"/>
        <v>100</v>
      </c>
      <c r="P11" s="1379">
        <f t="shared" si="9"/>
        <v>100</v>
      </c>
      <c r="Q11" s="1379">
        <f t="shared" si="9"/>
        <v>100</v>
      </c>
      <c r="R11" s="1379">
        <f t="shared" si="9"/>
        <v>100</v>
      </c>
      <c r="S11" s="1457">
        <f t="shared" si="9"/>
        <v>100</v>
      </c>
      <c r="T11" s="1458"/>
      <c r="U11" s="1447"/>
      <c r="V11" s="1447"/>
      <c r="W11" s="1456"/>
      <c r="X11" s="1447"/>
      <c r="Y11" s="1447"/>
      <c r="Z11" s="1456"/>
      <c r="AA11" s="1456"/>
      <c r="AB11" s="1456"/>
      <c r="AC11" s="1456"/>
      <c r="AD11" s="1456"/>
      <c r="AE11" s="1456"/>
      <c r="AF11" s="1456"/>
      <c r="AG11" s="1456"/>
      <c r="AH11" s="1456"/>
      <c r="AI11" s="1456"/>
      <c r="AJ11" s="1456"/>
      <c r="AK11" s="1456"/>
      <c r="AL11" s="1456"/>
      <c r="AM11" s="1456"/>
      <c r="AN11" s="1456"/>
      <c r="AO11" s="1456"/>
      <c r="AP11" s="1456"/>
      <c r="AQ11" s="1456"/>
      <c r="AR11" s="1456"/>
    </row>
    <row r="12" spans="1:44" s="1348" customFormat="1">
      <c r="A12" s="1372"/>
      <c r="B12" s="1380" t="s">
        <v>1338</v>
      </c>
      <c r="C12" s="1381"/>
      <c r="D12" s="1382"/>
      <c r="E12" s="1382"/>
      <c r="F12" s="1382"/>
      <c r="G12" s="1382"/>
      <c r="H12" s="1382"/>
      <c r="I12" s="1382"/>
      <c r="J12" s="1382"/>
      <c r="K12" s="1382"/>
      <c r="L12" s="1429"/>
      <c r="M12" s="1425"/>
      <c r="N12" s="1426"/>
      <c r="O12" s="1427"/>
      <c r="P12" s="1428"/>
      <c r="Q12" s="1459"/>
      <c r="R12" s="1460"/>
      <c r="S12" s="1461"/>
      <c r="T12" s="1462"/>
      <c r="U12" s="1447"/>
      <c r="V12" s="1447"/>
      <c r="W12" s="1456"/>
      <c r="X12" s="1447"/>
      <c r="Y12" s="1447"/>
      <c r="Z12" s="1456"/>
      <c r="AA12" s="1456"/>
      <c r="AB12" s="1456"/>
      <c r="AC12" s="1456"/>
      <c r="AD12" s="1456"/>
      <c r="AE12" s="1456"/>
      <c r="AF12" s="1456"/>
      <c r="AG12" s="1456"/>
      <c r="AH12" s="1456"/>
      <c r="AI12" s="1456"/>
      <c r="AJ12" s="1456"/>
      <c r="AK12" s="1456"/>
      <c r="AL12" s="1456"/>
      <c r="AM12" s="1456"/>
      <c r="AN12" s="1456"/>
      <c r="AO12" s="1456"/>
      <c r="AP12" s="1456"/>
      <c r="AQ12" s="1456"/>
      <c r="AR12" s="1456"/>
    </row>
    <row r="13" spans="1:44" s="1348" customFormat="1" ht="13.5" thickBot="1">
      <c r="A13" s="1372"/>
      <c r="B13" s="1370"/>
      <c r="C13" s="1383">
        <v>100</v>
      </c>
      <c r="D13" s="1384">
        <f t="shared" ref="D13:M13" si="10">C13-$T$12</f>
        <v>100</v>
      </c>
      <c r="E13" s="1384">
        <f t="shared" si="10"/>
        <v>100</v>
      </c>
      <c r="F13" s="1384">
        <f t="shared" si="10"/>
        <v>100</v>
      </c>
      <c r="G13" s="1384">
        <f t="shared" si="10"/>
        <v>100</v>
      </c>
      <c r="H13" s="1384">
        <f t="shared" si="10"/>
        <v>100</v>
      </c>
      <c r="I13" s="1384">
        <f t="shared" si="10"/>
        <v>100</v>
      </c>
      <c r="J13" s="1384">
        <f t="shared" si="10"/>
        <v>100</v>
      </c>
      <c r="K13" s="1384">
        <f t="shared" si="10"/>
        <v>100</v>
      </c>
      <c r="L13" s="1384">
        <f t="shared" si="10"/>
        <v>100</v>
      </c>
      <c r="M13" s="1430">
        <f t="shared" si="10"/>
        <v>100</v>
      </c>
      <c r="N13" s="1430">
        <f t="shared" ref="N13:S13" si="11">M13-$T$12</f>
        <v>100</v>
      </c>
      <c r="O13" s="1384">
        <f t="shared" si="11"/>
        <v>100</v>
      </c>
      <c r="P13" s="1384">
        <f t="shared" si="11"/>
        <v>100</v>
      </c>
      <c r="Q13" s="1384">
        <f t="shared" si="11"/>
        <v>100</v>
      </c>
      <c r="R13" s="1384">
        <f t="shared" si="11"/>
        <v>100</v>
      </c>
      <c r="S13" s="1463">
        <f t="shared" si="11"/>
        <v>100</v>
      </c>
      <c r="T13" s="1453"/>
      <c r="U13" s="1447"/>
      <c r="V13" s="1447"/>
      <c r="W13" s="1456"/>
      <c r="X13" s="1447"/>
      <c r="Y13" s="1447"/>
      <c r="Z13" s="1456"/>
      <c r="AA13" s="1456"/>
      <c r="AB13" s="1456"/>
      <c r="AC13" s="1456"/>
      <c r="AD13" s="1456"/>
      <c r="AE13" s="1456"/>
      <c r="AF13" s="1456"/>
      <c r="AG13" s="1456"/>
      <c r="AH13" s="1456"/>
      <c r="AI13" s="1456"/>
      <c r="AJ13" s="1456"/>
      <c r="AK13" s="1456"/>
      <c r="AL13" s="1456"/>
      <c r="AM13" s="1456"/>
      <c r="AN13" s="1456"/>
      <c r="AO13" s="1456"/>
      <c r="AP13" s="1456"/>
      <c r="AQ13" s="1456"/>
      <c r="AR13" s="1456"/>
    </row>
    <row r="14" spans="1:44" s="1348" customFormat="1">
      <c r="A14" s="1372"/>
      <c r="B14" s="1385" t="s">
        <v>1339</v>
      </c>
      <c r="C14" s="1386"/>
      <c r="D14" s="1376"/>
      <c r="E14" s="1376"/>
      <c r="F14" s="1376"/>
      <c r="G14" s="1376"/>
      <c r="H14" s="1376"/>
      <c r="I14" s="1376"/>
      <c r="J14" s="1376"/>
      <c r="K14" s="1376"/>
      <c r="L14" s="1376"/>
      <c r="M14" s="1423"/>
      <c r="N14" s="1431"/>
      <c r="O14" s="1432"/>
      <c r="P14" s="1433"/>
      <c r="Q14" s="1464"/>
      <c r="R14" s="1465"/>
      <c r="S14" s="1466"/>
      <c r="T14" s="1455"/>
      <c r="U14" s="1447"/>
      <c r="V14" s="1447"/>
      <c r="W14" s="1456"/>
      <c r="X14" s="1447"/>
      <c r="Y14" s="1447"/>
      <c r="Z14" s="1456"/>
      <c r="AA14" s="1456"/>
      <c r="AB14" s="1456"/>
      <c r="AC14" s="1456"/>
      <c r="AD14" s="1456"/>
      <c r="AE14" s="1456"/>
      <c r="AF14" s="1456"/>
      <c r="AG14" s="1456"/>
      <c r="AH14" s="1456"/>
      <c r="AI14" s="1456"/>
      <c r="AJ14" s="1456"/>
      <c r="AK14" s="1456"/>
      <c r="AL14" s="1456"/>
      <c r="AM14" s="1456"/>
      <c r="AN14" s="1456"/>
      <c r="AO14" s="1456"/>
      <c r="AP14" s="1456"/>
      <c r="AQ14" s="1456"/>
      <c r="AR14" s="1456"/>
    </row>
    <row r="15" spans="1:44" s="1348" customFormat="1" ht="13.5" thickBot="1">
      <c r="A15" s="1372"/>
      <c r="B15" s="1377"/>
      <c r="C15" s="1378">
        <v>100</v>
      </c>
      <c r="D15" s="1379">
        <f t="shared" ref="D15:M15" si="12">C15-$T$14</f>
        <v>100</v>
      </c>
      <c r="E15" s="1379">
        <f t="shared" si="12"/>
        <v>100</v>
      </c>
      <c r="F15" s="1379">
        <f t="shared" si="12"/>
        <v>100</v>
      </c>
      <c r="G15" s="1379">
        <f t="shared" si="12"/>
        <v>100</v>
      </c>
      <c r="H15" s="1379">
        <f t="shared" si="12"/>
        <v>100</v>
      </c>
      <c r="I15" s="1379">
        <f t="shared" si="12"/>
        <v>100</v>
      </c>
      <c r="J15" s="1379">
        <f t="shared" si="12"/>
        <v>100</v>
      </c>
      <c r="K15" s="1379">
        <f t="shared" si="12"/>
        <v>100</v>
      </c>
      <c r="L15" s="1379">
        <f t="shared" si="12"/>
        <v>100</v>
      </c>
      <c r="M15" s="1424">
        <f t="shared" si="12"/>
        <v>100</v>
      </c>
      <c r="N15" s="1424">
        <f t="shared" ref="N15:S15" si="13">M15-$T$14</f>
        <v>100</v>
      </c>
      <c r="O15" s="1379">
        <f t="shared" si="13"/>
        <v>100</v>
      </c>
      <c r="P15" s="1379">
        <f t="shared" si="13"/>
        <v>100</v>
      </c>
      <c r="Q15" s="1379">
        <f t="shared" si="13"/>
        <v>100</v>
      </c>
      <c r="R15" s="1379">
        <f t="shared" si="13"/>
        <v>100</v>
      </c>
      <c r="S15" s="1457">
        <f t="shared" si="13"/>
        <v>100</v>
      </c>
      <c r="T15" s="1458"/>
      <c r="U15" s="1447"/>
      <c r="V15" s="1447"/>
      <c r="W15" s="1456"/>
      <c r="Z15" s="1456"/>
      <c r="AA15" s="1456"/>
      <c r="AB15" s="1456"/>
      <c r="AC15" s="1456"/>
      <c r="AD15" s="1456"/>
      <c r="AE15" s="1456"/>
      <c r="AF15" s="1456"/>
      <c r="AG15" s="1456"/>
      <c r="AH15" s="1456"/>
      <c r="AI15" s="1456"/>
      <c r="AJ15" s="1456"/>
      <c r="AK15" s="1456"/>
      <c r="AL15" s="1456"/>
      <c r="AM15" s="1456"/>
      <c r="AN15" s="1456"/>
      <c r="AO15" s="1456"/>
      <c r="AP15" s="1456"/>
      <c r="AQ15" s="1456"/>
      <c r="AR15" s="1456"/>
    </row>
    <row r="16" spans="1:44" s="1348" customFormat="1">
      <c r="A16" s="1372"/>
      <c r="B16" s="1385" t="s">
        <v>1340</v>
      </c>
      <c r="C16" s="1386"/>
      <c r="D16" s="1376"/>
      <c r="E16" s="1376"/>
      <c r="F16" s="1376"/>
      <c r="G16" s="1376"/>
      <c r="H16" s="1376"/>
      <c r="I16" s="1376"/>
      <c r="J16" s="1376"/>
      <c r="K16" s="1376"/>
      <c r="L16" s="1376"/>
      <c r="M16" s="1423"/>
      <c r="N16" s="1431"/>
      <c r="O16" s="1432"/>
      <c r="P16" s="1433"/>
      <c r="Q16" s="1464"/>
      <c r="R16" s="1465"/>
      <c r="S16" s="1466"/>
      <c r="T16" s="1467"/>
      <c r="U16" s="1447"/>
      <c r="V16" s="1447"/>
      <c r="W16" s="1456"/>
      <c r="Z16" s="1456"/>
      <c r="AA16" s="1456"/>
      <c r="AB16" s="1456"/>
      <c r="AC16" s="1456"/>
      <c r="AD16" s="1456"/>
      <c r="AE16" s="1456"/>
      <c r="AF16" s="1456"/>
      <c r="AG16" s="1456"/>
      <c r="AH16" s="1456"/>
      <c r="AI16" s="1456"/>
      <c r="AJ16" s="1456"/>
      <c r="AK16" s="1456"/>
      <c r="AL16" s="1456"/>
      <c r="AM16" s="1456"/>
      <c r="AN16" s="1456"/>
      <c r="AO16" s="1456"/>
      <c r="AP16" s="1456"/>
      <c r="AQ16" s="1456"/>
      <c r="AR16" s="1456"/>
    </row>
    <row r="17" spans="1:45" s="1348" customFormat="1" ht="13.5" thickBot="1">
      <c r="A17" s="1372"/>
      <c r="B17" s="1377"/>
      <c r="C17" s="1387"/>
      <c r="D17" s="1388"/>
      <c r="E17" s="1388"/>
      <c r="F17" s="1388"/>
      <c r="G17" s="1388"/>
      <c r="H17" s="1388"/>
      <c r="I17" s="1388"/>
      <c r="J17" s="1388"/>
      <c r="K17" s="1388"/>
      <c r="L17" s="1388"/>
      <c r="M17" s="1434"/>
      <c r="N17" s="1434"/>
      <c r="O17" s="1388"/>
      <c r="P17" s="1388"/>
      <c r="Q17" s="1388"/>
      <c r="R17" s="1388"/>
      <c r="S17" s="1468"/>
      <c r="T17" s="1458"/>
      <c r="U17" s="1447"/>
      <c r="V17" s="1447"/>
      <c r="W17" s="1456"/>
      <c r="Z17" s="1456"/>
      <c r="AA17" s="1456"/>
      <c r="AB17" s="1456"/>
      <c r="AC17" s="1456"/>
      <c r="AD17" s="1456"/>
      <c r="AE17" s="1456"/>
      <c r="AF17" s="1456"/>
      <c r="AG17" s="1456"/>
      <c r="AH17" s="1456"/>
      <c r="AI17" s="1456"/>
      <c r="AJ17" s="1456"/>
      <c r="AK17" s="1456"/>
      <c r="AL17" s="1456"/>
      <c r="AM17" s="1456"/>
      <c r="AN17" s="1456"/>
      <c r="AO17" s="1456"/>
      <c r="AP17" s="1456"/>
      <c r="AQ17" s="1456"/>
      <c r="AR17" s="1456"/>
    </row>
    <row r="18" spans="1:45" s="1348" customFormat="1">
      <c r="A18" s="1372"/>
      <c r="B18" s="1385" t="s">
        <v>1341</v>
      </c>
      <c r="C18" s="1386"/>
      <c r="D18" s="1376"/>
      <c r="E18" s="1376"/>
      <c r="F18" s="1376"/>
      <c r="G18" s="1376"/>
      <c r="H18" s="1376"/>
      <c r="I18" s="1376"/>
      <c r="J18" s="1376"/>
      <c r="K18" s="1376"/>
      <c r="L18" s="1376"/>
      <c r="M18" s="1423"/>
      <c r="N18" s="1431"/>
      <c r="O18" s="1432"/>
      <c r="P18" s="1433"/>
      <c r="Q18" s="1464"/>
      <c r="R18" s="1465"/>
      <c r="S18" s="1466"/>
      <c r="T18" s="1467"/>
      <c r="U18" s="1447"/>
      <c r="V18" s="1447"/>
      <c r="W18" s="1456"/>
      <c r="Z18" s="1456"/>
      <c r="AA18" s="1456"/>
      <c r="AB18" s="1456"/>
      <c r="AC18" s="1456"/>
      <c r="AD18" s="1456"/>
      <c r="AE18" s="1456"/>
      <c r="AF18" s="1456"/>
      <c r="AG18" s="1456"/>
      <c r="AH18" s="1456"/>
      <c r="AI18" s="1456"/>
      <c r="AJ18" s="1456"/>
      <c r="AK18" s="1456"/>
      <c r="AL18" s="1456"/>
      <c r="AM18" s="1456"/>
      <c r="AN18" s="1456"/>
      <c r="AO18" s="1456"/>
      <c r="AP18" s="1456"/>
      <c r="AQ18" s="1456"/>
      <c r="AR18" s="1456"/>
    </row>
    <row r="19" spans="1:45" s="1348" customFormat="1" ht="13.5" thickBot="1">
      <c r="A19" s="1372"/>
      <c r="B19" s="1370"/>
      <c r="C19" s="1389"/>
      <c r="D19" s="1371"/>
      <c r="E19" s="1371"/>
      <c r="F19" s="1371"/>
      <c r="G19" s="1371"/>
      <c r="H19" s="1371"/>
      <c r="I19" s="1371"/>
      <c r="J19" s="1371"/>
      <c r="K19" s="1371"/>
      <c r="L19" s="1371"/>
      <c r="M19" s="1420"/>
      <c r="N19" s="1420"/>
      <c r="O19" s="1371"/>
      <c r="P19" s="1371"/>
      <c r="Q19" s="1371"/>
      <c r="R19" s="1371"/>
      <c r="S19" s="1452"/>
      <c r="T19" s="1453"/>
      <c r="U19" s="1447"/>
      <c r="V19" s="1447"/>
      <c r="W19" s="1456"/>
      <c r="Z19" s="1456"/>
      <c r="AA19" s="1456"/>
      <c r="AB19" s="1456"/>
      <c r="AC19" s="1456"/>
      <c r="AD19" s="1456"/>
      <c r="AE19" s="1456"/>
      <c r="AF19" s="1456"/>
      <c r="AG19" s="1456"/>
      <c r="AH19" s="1456"/>
      <c r="AI19" s="1456"/>
      <c r="AJ19" s="1456"/>
      <c r="AK19" s="1456"/>
      <c r="AL19" s="1456"/>
      <c r="AM19" s="1456"/>
      <c r="AN19" s="1456"/>
      <c r="AO19" s="1456"/>
      <c r="AP19" s="1456"/>
      <c r="AQ19" s="1456"/>
      <c r="AR19" s="1456"/>
    </row>
    <row r="20" spans="1:45" s="1348" customFormat="1">
      <c r="A20" s="1390" t="s">
        <v>1342</v>
      </c>
      <c r="B20" s="1391" t="s">
        <v>1343</v>
      </c>
      <c r="C20" s="1392" t="s">
        <v>1273</v>
      </c>
      <c r="D20" s="1393" t="s">
        <v>1274</v>
      </c>
      <c r="E20" s="1393" t="s">
        <v>1320</v>
      </c>
      <c r="F20" s="1393"/>
      <c r="G20" s="1393"/>
      <c r="H20" s="1393"/>
      <c r="I20" s="1393"/>
      <c r="J20" s="1393"/>
      <c r="K20" s="1393"/>
      <c r="L20" s="1435"/>
      <c r="M20" s="1436"/>
      <c r="N20" s="1437"/>
      <c r="O20" s="1438"/>
      <c r="P20" s="1439"/>
      <c r="Q20" s="1469"/>
      <c r="R20" s="1470"/>
      <c r="S20" s="1471"/>
      <c r="T20" s="1471"/>
      <c r="U20" s="1471"/>
      <c r="V20" s="1471"/>
      <c r="W20" s="1471"/>
      <c r="X20" s="1471"/>
      <c r="Y20" s="1471"/>
      <c r="Z20" s="1471"/>
      <c r="AA20" s="1471"/>
      <c r="AB20" s="1471"/>
      <c r="AC20" s="1471"/>
      <c r="AD20" s="1471"/>
      <c r="AE20" s="1471"/>
      <c r="AF20" s="1471"/>
      <c r="AG20" s="1471"/>
      <c r="AH20" s="1471"/>
      <c r="AI20" s="1471"/>
      <c r="AJ20" s="1471"/>
      <c r="AK20" s="1471"/>
      <c r="AL20" s="1471"/>
      <c r="AM20" s="1471"/>
      <c r="AN20" s="1471"/>
      <c r="AO20" s="1471"/>
      <c r="AP20" s="1471"/>
      <c r="AQ20" s="1471"/>
      <c r="AR20" s="1471"/>
      <c r="AS20" s="1471"/>
    </row>
    <row r="21" spans="1:45" s="1348" customFormat="1" ht="13.5" thickBot="1">
      <c r="A21" s="1394"/>
      <c r="B21" s="1395"/>
      <c r="C21" s="1396">
        <v>100</v>
      </c>
      <c r="D21" s="1397">
        <v>98</v>
      </c>
      <c r="E21" s="1397">
        <v>96</v>
      </c>
      <c r="F21" s="1397"/>
      <c r="G21" s="1397"/>
      <c r="H21" s="1397"/>
      <c r="I21" s="1397"/>
      <c r="J21" s="1397"/>
      <c r="K21" s="1397"/>
      <c r="L21" s="1397"/>
      <c r="M21" s="1440"/>
      <c r="N21" s="1440"/>
      <c r="O21" s="1397"/>
      <c r="P21" s="1397"/>
      <c r="Q21" s="1397"/>
      <c r="R21" s="1397"/>
      <c r="S21" s="1472"/>
      <c r="T21" s="1472"/>
      <c r="U21" s="1472"/>
      <c r="V21" s="1472"/>
      <c r="W21" s="1472"/>
      <c r="X21" s="1472"/>
      <c r="Y21" s="1472"/>
      <c r="Z21" s="1472"/>
      <c r="AA21" s="1472"/>
      <c r="AB21" s="1472"/>
      <c r="AC21" s="1472"/>
      <c r="AD21" s="1472"/>
      <c r="AE21" s="1472"/>
      <c r="AF21" s="1472"/>
      <c r="AG21" s="1472"/>
      <c r="AH21" s="1472"/>
      <c r="AI21" s="1472"/>
      <c r="AJ21" s="1472"/>
      <c r="AK21" s="1472"/>
      <c r="AL21" s="1472"/>
      <c r="AM21" s="1472"/>
      <c r="AN21" s="1472"/>
      <c r="AO21" s="1472"/>
      <c r="AP21" s="1472"/>
      <c r="AQ21" s="1472"/>
      <c r="AR21" s="1472"/>
      <c r="AS21" s="1472"/>
    </row>
    <row r="22" spans="1:45">
      <c r="A22" s="1398"/>
      <c r="B22" s="1357"/>
      <c r="C22" s="1357"/>
      <c r="D22" s="1357"/>
      <c r="E22" s="1357"/>
      <c r="F22" s="1399" t="s">
        <v>1344</v>
      </c>
      <c r="G22" s="1400"/>
      <c r="H22" s="1400"/>
      <c r="I22" s="1400"/>
      <c r="J22" s="1441"/>
      <c r="K22" s="1357"/>
      <c r="L22" s="1357"/>
      <c r="M22" s="1357"/>
      <c r="N22" s="1357"/>
      <c r="O22" s="1357"/>
      <c r="P22" s="1357"/>
      <c r="Q22" s="1357"/>
      <c r="R22" s="1443"/>
      <c r="S22" s="1398"/>
      <c r="T22" s="1398"/>
      <c r="U22" s="1444"/>
      <c r="V22" s="1447"/>
      <c r="W22" s="1456"/>
      <c r="X22" s="1348"/>
      <c r="Y22" s="1348"/>
      <c r="Z22" s="1456"/>
    </row>
    <row r="23" spans="1:45" ht="16.5" thickBot="1">
      <c r="A23" s="400" t="s">
        <v>1345</v>
      </c>
      <c r="B23" s="1401">
        <f ca="1">IF(F23="——",IF(C23="万元",T25,S25),IF(C23="万元",T25-H23,S25-H23))</f>
        <v>4242</v>
      </c>
      <c r="C23" s="1402" t="str">
        <f>'数据-取费表'!B3</f>
        <v>万元</v>
      </c>
      <c r="D23" s="1357"/>
      <c r="E23" s="1357"/>
      <c r="F23" s="1403" t="s">
        <v>121</v>
      </c>
      <c r="G23" s="1404"/>
      <c r="H23" s="1361" t="e">
        <f ca="1">SUMIF(INDIRECT("'"&amp;J23&amp;"'"&amp;"!A:A"),"承租人权益价值",INDIRECT("'"&amp;J23&amp;"'"&amp;"!c:c"))</f>
        <v>#REF!</v>
      </c>
      <c r="I23" s="1361" t="str">
        <f>C2</f>
        <v>万元</v>
      </c>
      <c r="J23" s="1442"/>
      <c r="K23" s="1357"/>
      <c r="L23" s="1357"/>
      <c r="M23" s="1357"/>
      <c r="N23" s="1357"/>
      <c r="O23" s="1357"/>
      <c r="P23" s="1357"/>
      <c r="Q23" s="1357"/>
      <c r="R23" s="1443"/>
      <c r="S23" s="1398"/>
      <c r="T23" s="1398"/>
      <c r="V23" s="1447"/>
      <c r="W23" s="1456"/>
      <c r="X23" s="1348"/>
      <c r="Y23" s="1348"/>
      <c r="Z23" s="1456"/>
    </row>
    <row r="24" spans="1:45" ht="15.75">
      <c r="A24" s="1402" t="s">
        <v>1346</v>
      </c>
      <c r="B24" s="1401">
        <f ca="1">R25</f>
        <v>41406</v>
      </c>
      <c r="C24" s="1356"/>
      <c r="D24" s="1357"/>
      <c r="E24" s="1357"/>
      <c r="F24" s="1357"/>
      <c r="G24" s="1357"/>
      <c r="H24" s="1357"/>
      <c r="I24" s="1357"/>
      <c r="J24" s="1357"/>
      <c r="K24" s="1357"/>
      <c r="L24" s="1357"/>
      <c r="M24" s="1357"/>
      <c r="N24" s="1357"/>
      <c r="O24" s="1357"/>
      <c r="P24" s="1357"/>
      <c r="Q24" s="1357"/>
      <c r="R24" s="1443"/>
      <c r="S24" s="1405" t="s">
        <v>1347</v>
      </c>
      <c r="T24" s="1406" t="s">
        <v>1348</v>
      </c>
      <c r="U24" s="1473" t="s">
        <v>1349</v>
      </c>
      <c r="V24" s="1474"/>
      <c r="W24" s="1475" t="s">
        <v>1350</v>
      </c>
      <c r="X24" s="1473" t="s">
        <v>1351</v>
      </c>
      <c r="Y24" s="1474"/>
      <c r="Z24" s="1487" t="s">
        <v>1350</v>
      </c>
    </row>
    <row r="25" spans="1:45">
      <c r="A25" s="1358" t="s">
        <v>1352</v>
      </c>
      <c r="B25" s="1405">
        <f>SUM(B27:B10000)</f>
        <v>1024.48</v>
      </c>
      <c r="C25" s="3052" t="s">
        <v>121</v>
      </c>
      <c r="D25" s="3053"/>
      <c r="E25" s="3053"/>
      <c r="F25" s="3053"/>
      <c r="G25" s="3053"/>
      <c r="H25" s="3053"/>
      <c r="I25" s="3053"/>
      <c r="J25" s="3053"/>
      <c r="K25" s="3053"/>
      <c r="L25" s="3053"/>
      <c r="M25" s="3053"/>
      <c r="N25" s="3053"/>
      <c r="O25" s="3053"/>
      <c r="P25" s="3053"/>
      <c r="Q25" s="3054"/>
      <c r="R25" s="1476">
        <f ca="1">IF(C23="万元",ROUND(T25*10000/B25,0),ROUND(S25/B25,0))</f>
        <v>41406</v>
      </c>
      <c r="S25" s="1405">
        <f ca="1">SUM(S27:S10000)</f>
        <v>42423457</v>
      </c>
      <c r="T25" s="1405">
        <f ca="1">SUM(T27:T10000)</f>
        <v>4242</v>
      </c>
      <c r="U25" s="1477">
        <f ca="1">SUM(U27:U10000)</f>
        <v>35448797</v>
      </c>
      <c r="V25" s="1477">
        <f ca="1">SUM(V27:V10000)</f>
        <v>3545</v>
      </c>
      <c r="W25" s="1405"/>
      <c r="X25" s="1477">
        <f ca="1">SUM(X27:X10000)</f>
        <v>6974661</v>
      </c>
      <c r="Y25" s="1477">
        <f ca="1">SUM(Y27:Y10000)</f>
        <v>697</v>
      </c>
      <c r="Z25" s="1488">
        <f ca="1">收益法!J38</f>
        <v>0.16300000000000001</v>
      </c>
    </row>
    <row r="26" spans="1:45" s="1349" customFormat="1" ht="24">
      <c r="A26" s="1408" t="s">
        <v>1353</v>
      </c>
      <c r="B26" s="1408" t="s">
        <v>363</v>
      </c>
      <c r="C26" s="1408" t="s">
        <v>1334</v>
      </c>
      <c r="D26" s="1408" t="str">
        <f>B8</f>
        <v>装修</v>
      </c>
      <c r="E26" s="1408" t="s">
        <v>1334</v>
      </c>
      <c r="F26" s="1408" t="str">
        <f>B10</f>
        <v>修正项3</v>
      </c>
      <c r="G26" s="1408" t="s">
        <v>1334</v>
      </c>
      <c r="H26" s="1408" t="str">
        <f>B12</f>
        <v>修正项4</v>
      </c>
      <c r="I26" s="1408" t="s">
        <v>1334</v>
      </c>
      <c r="J26" s="1408" t="str">
        <f>B14</f>
        <v>修正项5</v>
      </c>
      <c r="K26" s="1408" t="s">
        <v>1334</v>
      </c>
      <c r="L26" s="1408" t="str">
        <f>B16</f>
        <v>修正项6</v>
      </c>
      <c r="M26" s="1408" t="s">
        <v>1334</v>
      </c>
      <c r="N26" s="1408" t="str">
        <f>B18</f>
        <v>修正项7</v>
      </c>
      <c r="O26" s="1408" t="s">
        <v>1334</v>
      </c>
      <c r="P26" s="1408" t="str">
        <f>B20</f>
        <v>楼层</v>
      </c>
      <c r="Q26" s="1408" t="s">
        <v>1334</v>
      </c>
      <c r="R26" s="1478" t="s">
        <v>1354</v>
      </c>
      <c r="S26" s="1408" t="s">
        <v>1355</v>
      </c>
      <c r="T26" s="1408" t="s">
        <v>1355</v>
      </c>
      <c r="U26" s="1479" t="s">
        <v>1356</v>
      </c>
      <c r="V26" s="1480" t="s">
        <v>1357</v>
      </c>
      <c r="W26" s="1481" t="s">
        <v>1358</v>
      </c>
      <c r="X26" s="1479" t="s">
        <v>1356</v>
      </c>
      <c r="Y26" s="1480" t="s">
        <v>1357</v>
      </c>
      <c r="Z26" s="1481" t="s">
        <v>1358</v>
      </c>
      <c r="AA26" s="1489"/>
      <c r="AB26" s="1489"/>
      <c r="AC26" s="1489"/>
      <c r="AD26" s="1489"/>
      <c r="AE26" s="1489"/>
      <c r="AF26" s="1489"/>
      <c r="AG26" s="1489"/>
      <c r="AH26" s="1489"/>
      <c r="AI26" s="1489"/>
      <c r="AJ26" s="1489"/>
      <c r="AK26" s="1489"/>
      <c r="AL26" s="1489"/>
      <c r="AM26" s="1489"/>
      <c r="AN26" s="1489"/>
      <c r="AO26" s="1489"/>
      <c r="AP26" s="1489"/>
      <c r="AQ26" s="1489"/>
      <c r="AR26" s="1489"/>
    </row>
    <row r="27" spans="1:45" s="1350" customFormat="1">
      <c r="A27" s="1409" t="s">
        <v>1359</v>
      </c>
      <c r="B27" s="1410">
        <f>'数据-取费表'!E5</f>
        <v>107.22</v>
      </c>
      <c r="C27" s="1410">
        <v>1</v>
      </c>
      <c r="D27" s="1411" t="s">
        <v>1283</v>
      </c>
      <c r="E27" s="1410">
        <v>1</v>
      </c>
      <c r="F27" s="1411"/>
      <c r="G27" s="1410">
        <v>1</v>
      </c>
      <c r="H27" s="1411"/>
      <c r="I27" s="1410">
        <v>1</v>
      </c>
      <c r="J27" s="1411"/>
      <c r="K27" s="1410">
        <v>1</v>
      </c>
      <c r="L27" s="1411"/>
      <c r="M27" s="1410">
        <v>1</v>
      </c>
      <c r="N27" s="1411"/>
      <c r="O27" s="1410">
        <v>1</v>
      </c>
      <c r="P27" s="1411" t="s">
        <v>1273</v>
      </c>
      <c r="Q27" s="1410">
        <v>1</v>
      </c>
      <c r="R27" s="1482">
        <f ca="1">结果表!G20</f>
        <v>41724</v>
      </c>
      <c r="S27" s="1410">
        <f ca="1">ROUND(R27*B27,0)</f>
        <v>4473647</v>
      </c>
      <c r="T27" s="1410">
        <f ca="1">ROUND(R27*B27/10000,0)</f>
        <v>447</v>
      </c>
      <c r="U27" s="1483">
        <f ca="1">ROUND(W27*B27,0)</f>
        <v>3743694</v>
      </c>
      <c r="V27" s="1483">
        <f ca="1">ROUND(W27*B27/10000,0)</f>
        <v>374</v>
      </c>
      <c r="W27" s="1484">
        <f ca="1">R27-Z27</f>
        <v>34916</v>
      </c>
      <c r="X27" s="1483">
        <f ca="1">ROUND(Z27*B27,0)</f>
        <v>729954</v>
      </c>
      <c r="Y27" s="1483">
        <f ca="1">ROUND(T27*Z25,0)</f>
        <v>73</v>
      </c>
      <c r="Z27" s="1484">
        <f ca="1">ROUND(Y27/B27*10000,0)</f>
        <v>6808</v>
      </c>
      <c r="AA27" s="1490"/>
      <c r="AB27" s="1490"/>
      <c r="AC27" s="1490"/>
      <c r="AD27" s="1490"/>
      <c r="AE27" s="1490"/>
      <c r="AF27" s="1490"/>
      <c r="AG27" s="1490"/>
      <c r="AH27" s="1490"/>
      <c r="AI27" s="1490"/>
      <c r="AJ27" s="1490"/>
      <c r="AK27" s="1490"/>
      <c r="AL27" s="1490"/>
      <c r="AM27" s="1490"/>
      <c r="AN27" s="1490"/>
      <c r="AO27" s="1490"/>
      <c r="AP27" s="1490"/>
      <c r="AQ27" s="1490"/>
      <c r="AR27" s="1490"/>
    </row>
    <row r="28" spans="1:45">
      <c r="A28" s="1412" t="s">
        <v>2385</v>
      </c>
      <c r="B28" s="1413">
        <v>83.75</v>
      </c>
      <c r="C28" s="1405">
        <f t="shared" ref="C28:C91" si="14">IF(B28="",1,(LOOKUP(B28,$6:$6,$7:$7)-LOOKUP($B$27,$6:$6,$7:$7)+100)/100)</f>
        <v>0.99</v>
      </c>
      <c r="D28" s="1411" t="s">
        <v>1283</v>
      </c>
      <c r="E28" s="1405">
        <f t="shared" ref="E28:E91" si="15">(SUMIF($8:$8,D28,$9:$9)-SUMIF($8:$8,$D$27,$9:$9)+100)/100</f>
        <v>1</v>
      </c>
      <c r="F28" s="1411"/>
      <c r="G28" s="1405">
        <f t="shared" ref="G28:G91" si="16">(SUMIF($10:$10,F28,$11:$11)-SUMIF($10:$10,$F$27,$11:$11)+100)/100</f>
        <v>1</v>
      </c>
      <c r="H28" s="1411"/>
      <c r="I28" s="1405">
        <f t="shared" ref="I28:I91" si="17">(SUMIF($12:$12,H28,$13:$13)-SUMIF($12:$12,$H$27,$13:$13)+100)/100</f>
        <v>1</v>
      </c>
      <c r="J28" s="1411"/>
      <c r="K28" s="1405">
        <f t="shared" ref="K28:K91" si="18">(SUMIF($14:$14,J28,$15:$15)-SUMIF($14:$14,$J$27,$15:$15)+100)/100</f>
        <v>1</v>
      </c>
      <c r="L28" s="1411"/>
      <c r="M28" s="1405">
        <f t="shared" ref="M28:M91" si="19">(SUMIF($16:$16,L28,$17:$17)-SUMIF($16:$16,$L$27,$17:$17)+100)/100</f>
        <v>1</v>
      </c>
      <c r="N28" s="1411"/>
      <c r="O28" s="1405">
        <f t="shared" ref="O28:O91" si="20">(SUMIF($18:$18,N28,$19:$19)-SUMIF($18:$18,$N$27,$19:$19)+100)/100</f>
        <v>1</v>
      </c>
      <c r="P28" s="1411" t="s">
        <v>1273</v>
      </c>
      <c r="Q28" s="1405">
        <f t="shared" ref="Q28:Q91" si="21">(SUMIF($20:$20,P28,$21:$21)-SUMIF($20:$20,$P$27,$21:$21)+100)/100</f>
        <v>1</v>
      </c>
      <c r="R28" s="1476">
        <f ca="1">IF(B28="",0,ROUND($R$27*C28*E28*G28*I28*K28*M28*O28*Q28,0))</f>
        <v>41307</v>
      </c>
      <c r="S28" s="1358">
        <f ca="1">ROUND(R28*B28,0)</f>
        <v>3459461</v>
      </c>
      <c r="T28" s="1485">
        <f ca="1">ROUND(R28*B28/10000,0)</f>
        <v>346</v>
      </c>
      <c r="U28" s="1483">
        <f t="shared" ref="U28:U91" ca="1" si="22">ROUND(W28*B28,0)</f>
        <v>2889291</v>
      </c>
      <c r="V28" s="1483">
        <f t="shared" ref="V28:V37" ca="1" si="23">ROUND(W28*B28/10000,0)</f>
        <v>289</v>
      </c>
      <c r="W28" s="2750">
        <f t="shared" ref="W28:W37" ca="1" si="24">R28-Z28</f>
        <v>34499</v>
      </c>
      <c r="X28" s="1483">
        <f t="shared" ref="X28:X91" ca="1" si="25">ROUND(Z28*B28,0)</f>
        <v>570170</v>
      </c>
      <c r="Y28" s="1483">
        <f t="shared" ref="Y28:Y91" ca="1" si="26">ROUND(Z28*B28/10000,0)</f>
        <v>57</v>
      </c>
      <c r="Z28" s="1486">
        <f ca="1">Z27</f>
        <v>6808</v>
      </c>
    </row>
    <row r="29" spans="1:45">
      <c r="A29" s="1412" t="s">
        <v>1360</v>
      </c>
      <c r="B29" s="1413">
        <v>89.85</v>
      </c>
      <c r="C29" s="1405">
        <f t="shared" si="14"/>
        <v>0.99</v>
      </c>
      <c r="D29" s="1411" t="s">
        <v>1283</v>
      </c>
      <c r="E29" s="1405">
        <f t="shared" si="15"/>
        <v>1</v>
      </c>
      <c r="F29" s="1411"/>
      <c r="G29" s="1405">
        <f t="shared" si="16"/>
        <v>1</v>
      </c>
      <c r="H29" s="1411"/>
      <c r="I29" s="1405">
        <f t="shared" si="17"/>
        <v>1</v>
      </c>
      <c r="J29" s="1411"/>
      <c r="K29" s="1405">
        <f t="shared" si="18"/>
        <v>1</v>
      </c>
      <c r="L29" s="1411"/>
      <c r="M29" s="1405">
        <f t="shared" si="19"/>
        <v>1</v>
      </c>
      <c r="N29" s="1411"/>
      <c r="O29" s="1405">
        <f t="shared" si="20"/>
        <v>1</v>
      </c>
      <c r="P29" s="1411" t="s">
        <v>1273</v>
      </c>
      <c r="Q29" s="1405">
        <f t="shared" si="21"/>
        <v>1</v>
      </c>
      <c r="R29" s="1476">
        <f t="shared" ref="R29:R92" ca="1" si="27">IF(B29="",0,ROUND($R$27*C29*E29*G29*I29*K29*M29*O29*Q29,0))</f>
        <v>41307</v>
      </c>
      <c r="S29" s="1358">
        <f t="shared" ref="S29:S92" ca="1" si="28">ROUND(R29*B29,0)</f>
        <v>3711434</v>
      </c>
      <c r="T29" s="1485">
        <f t="shared" ref="T29:T92" ca="1" si="29">ROUND(R29*B29/10000,0)</f>
        <v>371</v>
      </c>
      <c r="U29" s="1483">
        <f t="shared" ca="1" si="22"/>
        <v>3099735</v>
      </c>
      <c r="V29" s="1483">
        <f t="shared" ca="1" si="23"/>
        <v>310</v>
      </c>
      <c r="W29" s="2750">
        <f t="shared" ca="1" si="24"/>
        <v>34499</v>
      </c>
      <c r="X29" s="1483">
        <f t="shared" ca="1" si="25"/>
        <v>611699</v>
      </c>
      <c r="Y29" s="1483">
        <f t="shared" ca="1" si="26"/>
        <v>61</v>
      </c>
      <c r="Z29" s="1486">
        <f t="shared" ref="Z29:Z37" ca="1" si="30">Z28</f>
        <v>6808</v>
      </c>
    </row>
    <row r="30" spans="1:45">
      <c r="A30" s="1412" t="s">
        <v>2384</v>
      </c>
      <c r="B30" s="1413">
        <v>83.75</v>
      </c>
      <c r="C30" s="1405">
        <f t="shared" si="14"/>
        <v>0.99</v>
      </c>
      <c r="D30" s="1411" t="s">
        <v>1283</v>
      </c>
      <c r="E30" s="1405">
        <f t="shared" si="15"/>
        <v>1</v>
      </c>
      <c r="F30" s="1411"/>
      <c r="G30" s="1405">
        <f t="shared" si="16"/>
        <v>1</v>
      </c>
      <c r="H30" s="1411"/>
      <c r="I30" s="1405">
        <f t="shared" si="17"/>
        <v>1</v>
      </c>
      <c r="J30" s="1411"/>
      <c r="K30" s="1405">
        <f t="shared" si="18"/>
        <v>1</v>
      </c>
      <c r="L30" s="1411"/>
      <c r="M30" s="1405">
        <f t="shared" si="19"/>
        <v>1</v>
      </c>
      <c r="N30" s="1411"/>
      <c r="O30" s="1405">
        <f t="shared" si="20"/>
        <v>1</v>
      </c>
      <c r="P30" s="1411" t="s">
        <v>1273</v>
      </c>
      <c r="Q30" s="1405">
        <f t="shared" si="21"/>
        <v>1</v>
      </c>
      <c r="R30" s="1476">
        <f t="shared" ca="1" si="27"/>
        <v>41307</v>
      </c>
      <c r="S30" s="1358">
        <f t="shared" ca="1" si="28"/>
        <v>3459461</v>
      </c>
      <c r="T30" s="1485">
        <f t="shared" ca="1" si="29"/>
        <v>346</v>
      </c>
      <c r="U30" s="1483">
        <f t="shared" ca="1" si="22"/>
        <v>2889291</v>
      </c>
      <c r="V30" s="1483">
        <f t="shared" ca="1" si="23"/>
        <v>289</v>
      </c>
      <c r="W30" s="2750">
        <f t="shared" ca="1" si="24"/>
        <v>34499</v>
      </c>
      <c r="X30" s="1483">
        <f t="shared" ca="1" si="25"/>
        <v>570170</v>
      </c>
      <c r="Y30" s="1483">
        <f t="shared" ca="1" si="26"/>
        <v>57</v>
      </c>
      <c r="Z30" s="1486">
        <f t="shared" ca="1" si="30"/>
        <v>6808</v>
      </c>
    </row>
    <row r="31" spans="1:45">
      <c r="A31" s="1412" t="s">
        <v>1362</v>
      </c>
      <c r="B31" s="1413">
        <v>89.85</v>
      </c>
      <c r="C31" s="1405">
        <f t="shared" si="14"/>
        <v>0.99</v>
      </c>
      <c r="D31" s="1411" t="s">
        <v>1283</v>
      </c>
      <c r="E31" s="1405">
        <f t="shared" si="15"/>
        <v>1</v>
      </c>
      <c r="F31" s="1411"/>
      <c r="G31" s="1405">
        <f t="shared" si="16"/>
        <v>1</v>
      </c>
      <c r="H31" s="1411"/>
      <c r="I31" s="1405">
        <f t="shared" si="17"/>
        <v>1</v>
      </c>
      <c r="J31" s="1411"/>
      <c r="K31" s="1405">
        <f t="shared" si="18"/>
        <v>1</v>
      </c>
      <c r="L31" s="1411"/>
      <c r="M31" s="1405">
        <f t="shared" si="19"/>
        <v>1</v>
      </c>
      <c r="N31" s="1411"/>
      <c r="O31" s="1405">
        <f t="shared" si="20"/>
        <v>1</v>
      </c>
      <c r="P31" s="1411" t="s">
        <v>1273</v>
      </c>
      <c r="Q31" s="1405">
        <f t="shared" si="21"/>
        <v>1</v>
      </c>
      <c r="R31" s="1476">
        <f t="shared" ca="1" si="27"/>
        <v>41307</v>
      </c>
      <c r="S31" s="1358">
        <f t="shared" ca="1" si="28"/>
        <v>3711434</v>
      </c>
      <c r="T31" s="1485">
        <f t="shared" ca="1" si="29"/>
        <v>371</v>
      </c>
      <c r="U31" s="1483">
        <f t="shared" ca="1" si="22"/>
        <v>3099735</v>
      </c>
      <c r="V31" s="1483">
        <f t="shared" ca="1" si="23"/>
        <v>310</v>
      </c>
      <c r="W31" s="2750">
        <f t="shared" ca="1" si="24"/>
        <v>34499</v>
      </c>
      <c r="X31" s="1483">
        <f t="shared" ca="1" si="25"/>
        <v>611699</v>
      </c>
      <c r="Y31" s="1483">
        <f t="shared" ca="1" si="26"/>
        <v>61</v>
      </c>
      <c r="Z31" s="1486">
        <f t="shared" ca="1" si="30"/>
        <v>6808</v>
      </c>
    </row>
    <row r="32" spans="1:45">
      <c r="A32" s="1412" t="s">
        <v>1363</v>
      </c>
      <c r="B32" s="1413">
        <v>83.75</v>
      </c>
      <c r="C32" s="1405">
        <f t="shared" si="14"/>
        <v>0.99</v>
      </c>
      <c r="D32" s="1411" t="s">
        <v>1283</v>
      </c>
      <c r="E32" s="1405">
        <f t="shared" si="15"/>
        <v>1</v>
      </c>
      <c r="F32" s="1411"/>
      <c r="G32" s="1405">
        <f t="shared" si="16"/>
        <v>1</v>
      </c>
      <c r="H32" s="1411"/>
      <c r="I32" s="1405">
        <f t="shared" si="17"/>
        <v>1</v>
      </c>
      <c r="J32" s="1411"/>
      <c r="K32" s="1405">
        <f t="shared" si="18"/>
        <v>1</v>
      </c>
      <c r="L32" s="1411"/>
      <c r="M32" s="1405">
        <f t="shared" si="19"/>
        <v>1</v>
      </c>
      <c r="N32" s="1411"/>
      <c r="O32" s="1405">
        <f t="shared" si="20"/>
        <v>1</v>
      </c>
      <c r="P32" s="1411" t="s">
        <v>1273</v>
      </c>
      <c r="Q32" s="1405">
        <f t="shared" si="21"/>
        <v>1</v>
      </c>
      <c r="R32" s="1476">
        <f t="shared" ca="1" si="27"/>
        <v>41307</v>
      </c>
      <c r="S32" s="1358">
        <f t="shared" ca="1" si="28"/>
        <v>3459461</v>
      </c>
      <c r="T32" s="1485">
        <f t="shared" ca="1" si="29"/>
        <v>346</v>
      </c>
      <c r="U32" s="1483">
        <f t="shared" ca="1" si="22"/>
        <v>2889291</v>
      </c>
      <c r="V32" s="1483">
        <f t="shared" ca="1" si="23"/>
        <v>289</v>
      </c>
      <c r="W32" s="2750">
        <f t="shared" ca="1" si="24"/>
        <v>34499</v>
      </c>
      <c r="X32" s="1483">
        <f t="shared" ca="1" si="25"/>
        <v>570170</v>
      </c>
      <c r="Y32" s="1483">
        <f t="shared" ca="1" si="26"/>
        <v>57</v>
      </c>
      <c r="Z32" s="1486">
        <f t="shared" ca="1" si="30"/>
        <v>6808</v>
      </c>
    </row>
    <row r="33" spans="1:26">
      <c r="A33" s="1412" t="s">
        <v>1364</v>
      </c>
      <c r="B33" s="1413">
        <v>83.75</v>
      </c>
      <c r="C33" s="1405">
        <f t="shared" si="14"/>
        <v>0.99</v>
      </c>
      <c r="D33" s="1411" t="s">
        <v>1283</v>
      </c>
      <c r="E33" s="1405">
        <f t="shared" si="15"/>
        <v>1</v>
      </c>
      <c r="F33" s="1411"/>
      <c r="G33" s="1405">
        <f t="shared" si="16"/>
        <v>1</v>
      </c>
      <c r="H33" s="1411"/>
      <c r="I33" s="1405">
        <f t="shared" si="17"/>
        <v>1</v>
      </c>
      <c r="J33" s="1411"/>
      <c r="K33" s="1405">
        <f t="shared" si="18"/>
        <v>1</v>
      </c>
      <c r="L33" s="1411"/>
      <c r="M33" s="1405">
        <f t="shared" si="19"/>
        <v>1</v>
      </c>
      <c r="N33" s="1411"/>
      <c r="O33" s="1405">
        <f t="shared" si="20"/>
        <v>1</v>
      </c>
      <c r="P33" s="1411" t="s">
        <v>1273</v>
      </c>
      <c r="Q33" s="1405">
        <f t="shared" si="21"/>
        <v>1</v>
      </c>
      <c r="R33" s="1476">
        <f t="shared" ca="1" si="27"/>
        <v>41307</v>
      </c>
      <c r="S33" s="1358">
        <f t="shared" ca="1" si="28"/>
        <v>3459461</v>
      </c>
      <c r="T33" s="1485">
        <f t="shared" ca="1" si="29"/>
        <v>346</v>
      </c>
      <c r="U33" s="1483">
        <f t="shared" ca="1" si="22"/>
        <v>2889291</v>
      </c>
      <c r="V33" s="1483">
        <f t="shared" ca="1" si="23"/>
        <v>289</v>
      </c>
      <c r="W33" s="2750">
        <f t="shared" ca="1" si="24"/>
        <v>34499</v>
      </c>
      <c r="X33" s="1483">
        <f t="shared" ca="1" si="25"/>
        <v>570170</v>
      </c>
      <c r="Y33" s="1483">
        <f t="shared" ca="1" si="26"/>
        <v>57</v>
      </c>
      <c r="Z33" s="1486">
        <f t="shared" ca="1" si="30"/>
        <v>6808</v>
      </c>
    </row>
    <row r="34" spans="1:26">
      <c r="A34" s="1412" t="s">
        <v>1365</v>
      </c>
      <c r="B34" s="1413">
        <v>89.85</v>
      </c>
      <c r="C34" s="1405">
        <f t="shared" si="14"/>
        <v>0.99</v>
      </c>
      <c r="D34" s="1411" t="s">
        <v>1283</v>
      </c>
      <c r="E34" s="1405">
        <f t="shared" si="15"/>
        <v>1</v>
      </c>
      <c r="F34" s="1411"/>
      <c r="G34" s="1405">
        <f t="shared" si="16"/>
        <v>1</v>
      </c>
      <c r="H34" s="1411"/>
      <c r="I34" s="1405">
        <f t="shared" si="17"/>
        <v>1</v>
      </c>
      <c r="J34" s="1411"/>
      <c r="K34" s="1405">
        <f t="shared" si="18"/>
        <v>1</v>
      </c>
      <c r="L34" s="1411"/>
      <c r="M34" s="1405">
        <f t="shared" si="19"/>
        <v>1</v>
      </c>
      <c r="N34" s="1411"/>
      <c r="O34" s="1405">
        <f t="shared" si="20"/>
        <v>1</v>
      </c>
      <c r="P34" s="1411" t="s">
        <v>1273</v>
      </c>
      <c r="Q34" s="1405">
        <f t="shared" si="21"/>
        <v>1</v>
      </c>
      <c r="R34" s="1476">
        <f t="shared" ca="1" si="27"/>
        <v>41307</v>
      </c>
      <c r="S34" s="1358">
        <f t="shared" ca="1" si="28"/>
        <v>3711434</v>
      </c>
      <c r="T34" s="1485">
        <f t="shared" ca="1" si="29"/>
        <v>371</v>
      </c>
      <c r="U34" s="1483">
        <f t="shared" ca="1" si="22"/>
        <v>3099735</v>
      </c>
      <c r="V34" s="1483">
        <f t="shared" ca="1" si="23"/>
        <v>310</v>
      </c>
      <c r="W34" s="2750">
        <f t="shared" ca="1" si="24"/>
        <v>34499</v>
      </c>
      <c r="X34" s="1483">
        <f t="shared" ca="1" si="25"/>
        <v>611699</v>
      </c>
      <c r="Y34" s="1483">
        <f t="shared" ca="1" si="26"/>
        <v>61</v>
      </c>
      <c r="Z34" s="1486">
        <f ca="1">Z33</f>
        <v>6808</v>
      </c>
    </row>
    <row r="35" spans="1:26">
      <c r="A35" s="1412" t="s">
        <v>1367</v>
      </c>
      <c r="B35" s="1413">
        <v>145.21</v>
      </c>
      <c r="C35" s="1405">
        <f t="shared" si="14"/>
        <v>1</v>
      </c>
      <c r="D35" s="1411" t="s">
        <v>1283</v>
      </c>
      <c r="E35" s="1405">
        <f t="shared" si="15"/>
        <v>1</v>
      </c>
      <c r="F35" s="1411"/>
      <c r="G35" s="1405">
        <f t="shared" si="16"/>
        <v>1</v>
      </c>
      <c r="H35" s="1411"/>
      <c r="I35" s="1405">
        <f t="shared" si="17"/>
        <v>1</v>
      </c>
      <c r="J35" s="1411"/>
      <c r="K35" s="1405">
        <f t="shared" si="18"/>
        <v>1</v>
      </c>
      <c r="L35" s="1411"/>
      <c r="M35" s="1405">
        <f t="shared" si="19"/>
        <v>1</v>
      </c>
      <c r="N35" s="1411"/>
      <c r="O35" s="1405">
        <f t="shared" si="20"/>
        <v>1</v>
      </c>
      <c r="P35" s="1411" t="s">
        <v>1273</v>
      </c>
      <c r="Q35" s="1405">
        <f t="shared" si="21"/>
        <v>1</v>
      </c>
      <c r="R35" s="1476">
        <f t="shared" ca="1" si="27"/>
        <v>41724</v>
      </c>
      <c r="S35" s="1358">
        <f t="shared" ca="1" si="28"/>
        <v>6058742</v>
      </c>
      <c r="T35" s="1485">
        <f t="shared" ca="1" si="29"/>
        <v>606</v>
      </c>
      <c r="U35" s="1483">
        <f t="shared" ca="1" si="22"/>
        <v>5070152</v>
      </c>
      <c r="V35" s="1483">
        <f t="shared" ca="1" si="23"/>
        <v>507</v>
      </c>
      <c r="W35" s="2750">
        <f t="shared" ca="1" si="24"/>
        <v>34916</v>
      </c>
      <c r="X35" s="1483">
        <f t="shared" ca="1" si="25"/>
        <v>988590</v>
      </c>
      <c r="Y35" s="1483">
        <f t="shared" ca="1" si="26"/>
        <v>99</v>
      </c>
      <c r="Z35" s="1486">
        <f t="shared" ca="1" si="30"/>
        <v>6808</v>
      </c>
    </row>
    <row r="36" spans="1:26">
      <c r="A36" s="1412" t="s">
        <v>1368</v>
      </c>
      <c r="B36" s="1413">
        <v>83.75</v>
      </c>
      <c r="C36" s="1405">
        <f t="shared" si="14"/>
        <v>0.99</v>
      </c>
      <c r="D36" s="1411" t="s">
        <v>1283</v>
      </c>
      <c r="E36" s="1405">
        <f t="shared" si="15"/>
        <v>1</v>
      </c>
      <c r="F36" s="1411"/>
      <c r="G36" s="1405">
        <f t="shared" si="16"/>
        <v>1</v>
      </c>
      <c r="H36" s="1411"/>
      <c r="I36" s="1405">
        <f t="shared" si="17"/>
        <v>1</v>
      </c>
      <c r="J36" s="1411"/>
      <c r="K36" s="1405">
        <f t="shared" si="18"/>
        <v>1</v>
      </c>
      <c r="L36" s="1411"/>
      <c r="M36" s="1405">
        <f t="shared" si="19"/>
        <v>1</v>
      </c>
      <c r="N36" s="1411"/>
      <c r="O36" s="1405">
        <f t="shared" si="20"/>
        <v>1</v>
      </c>
      <c r="P36" s="1411" t="s">
        <v>1273</v>
      </c>
      <c r="Q36" s="1405">
        <f t="shared" si="21"/>
        <v>1</v>
      </c>
      <c r="R36" s="1476">
        <f t="shared" ca="1" si="27"/>
        <v>41307</v>
      </c>
      <c r="S36" s="1358">
        <f t="shared" ca="1" si="28"/>
        <v>3459461</v>
      </c>
      <c r="T36" s="1485">
        <f t="shared" ca="1" si="29"/>
        <v>346</v>
      </c>
      <c r="U36" s="1483">
        <f t="shared" ca="1" si="22"/>
        <v>2889291</v>
      </c>
      <c r="V36" s="1483">
        <f t="shared" ca="1" si="23"/>
        <v>289</v>
      </c>
      <c r="W36" s="2750">
        <f t="shared" ca="1" si="24"/>
        <v>34499</v>
      </c>
      <c r="X36" s="1483">
        <f t="shared" ca="1" si="25"/>
        <v>570170</v>
      </c>
      <c r="Y36" s="1483">
        <f t="shared" ca="1" si="26"/>
        <v>57</v>
      </c>
      <c r="Z36" s="1486">
        <f t="shared" ca="1" si="30"/>
        <v>6808</v>
      </c>
    </row>
    <row r="37" spans="1:26">
      <c r="A37" s="1412" t="s">
        <v>1369</v>
      </c>
      <c r="B37" s="1413">
        <v>83.75</v>
      </c>
      <c r="C37" s="1405">
        <f t="shared" si="14"/>
        <v>0.99</v>
      </c>
      <c r="D37" s="1411" t="s">
        <v>1283</v>
      </c>
      <c r="E37" s="1405">
        <f t="shared" si="15"/>
        <v>1</v>
      </c>
      <c r="F37" s="1411"/>
      <c r="G37" s="1405">
        <f t="shared" si="16"/>
        <v>1</v>
      </c>
      <c r="H37" s="1411"/>
      <c r="I37" s="1405">
        <f t="shared" si="17"/>
        <v>1</v>
      </c>
      <c r="J37" s="1411"/>
      <c r="K37" s="1405">
        <f t="shared" si="18"/>
        <v>1</v>
      </c>
      <c r="L37" s="1411"/>
      <c r="M37" s="1405">
        <f t="shared" si="19"/>
        <v>1</v>
      </c>
      <c r="N37" s="1411"/>
      <c r="O37" s="1405">
        <f t="shared" si="20"/>
        <v>1</v>
      </c>
      <c r="P37" s="1411" t="s">
        <v>1273</v>
      </c>
      <c r="Q37" s="1405">
        <f t="shared" si="21"/>
        <v>1</v>
      </c>
      <c r="R37" s="1476">
        <f t="shared" ca="1" si="27"/>
        <v>41307</v>
      </c>
      <c r="S37" s="1358">
        <f t="shared" ca="1" si="28"/>
        <v>3459461</v>
      </c>
      <c r="T37" s="1485">
        <f t="shared" ca="1" si="29"/>
        <v>346</v>
      </c>
      <c r="U37" s="1483">
        <f t="shared" ca="1" si="22"/>
        <v>2889291</v>
      </c>
      <c r="V37" s="1483">
        <f t="shared" ca="1" si="23"/>
        <v>289</v>
      </c>
      <c r="W37" s="2750">
        <f t="shared" ca="1" si="24"/>
        <v>34499</v>
      </c>
      <c r="X37" s="1483">
        <f t="shared" ca="1" si="25"/>
        <v>570170</v>
      </c>
      <c r="Y37" s="1483">
        <f t="shared" ca="1" si="26"/>
        <v>57</v>
      </c>
      <c r="Z37" s="1486">
        <f t="shared" ca="1" si="30"/>
        <v>6808</v>
      </c>
    </row>
    <row r="38" spans="1:26">
      <c r="A38" s="1414"/>
      <c r="B38" s="1415"/>
      <c r="C38" s="1405">
        <f t="shared" si="14"/>
        <v>1</v>
      </c>
      <c r="D38" s="1411"/>
      <c r="E38" s="1405">
        <f t="shared" si="15"/>
        <v>0</v>
      </c>
      <c r="F38" s="1411"/>
      <c r="G38" s="1405">
        <f t="shared" si="16"/>
        <v>1</v>
      </c>
      <c r="H38" s="1411"/>
      <c r="I38" s="1405">
        <f t="shared" si="17"/>
        <v>1</v>
      </c>
      <c r="J38" s="1411"/>
      <c r="K38" s="1405">
        <f t="shared" si="18"/>
        <v>1</v>
      </c>
      <c r="L38" s="1411"/>
      <c r="M38" s="1405">
        <f t="shared" si="19"/>
        <v>1</v>
      </c>
      <c r="N38" s="1411"/>
      <c r="O38" s="1405">
        <f t="shared" si="20"/>
        <v>1</v>
      </c>
      <c r="P38" s="1411"/>
      <c r="Q38" s="1405">
        <f t="shared" si="21"/>
        <v>0</v>
      </c>
      <c r="R38" s="1476">
        <f t="shared" si="27"/>
        <v>0</v>
      </c>
      <c r="S38" s="1358">
        <f t="shared" si="28"/>
        <v>0</v>
      </c>
      <c r="T38" s="1485">
        <f t="shared" si="29"/>
        <v>0</v>
      </c>
      <c r="U38" s="1483">
        <f t="shared" si="22"/>
        <v>0</v>
      </c>
      <c r="V38" s="1483">
        <f t="shared" ref="V38:V91" si="31">ROUND(W38*B38/10000,0)</f>
        <v>0</v>
      </c>
      <c r="W38" s="1486"/>
      <c r="X38" s="1483">
        <f t="shared" si="25"/>
        <v>0</v>
      </c>
      <c r="Y38" s="1483">
        <f t="shared" si="26"/>
        <v>0</v>
      </c>
      <c r="Z38" s="1486"/>
    </row>
    <row r="39" spans="1:26">
      <c r="A39" s="1414"/>
      <c r="B39" s="1415"/>
      <c r="C39" s="1405">
        <f t="shared" si="14"/>
        <v>1</v>
      </c>
      <c r="D39" s="1411"/>
      <c r="E39" s="1405">
        <f t="shared" si="15"/>
        <v>0</v>
      </c>
      <c r="F39" s="1411"/>
      <c r="G39" s="1405">
        <f t="shared" si="16"/>
        <v>1</v>
      </c>
      <c r="H39" s="1411"/>
      <c r="I39" s="1405">
        <f t="shared" si="17"/>
        <v>1</v>
      </c>
      <c r="J39" s="1411"/>
      <c r="K39" s="1405">
        <f t="shared" si="18"/>
        <v>1</v>
      </c>
      <c r="L39" s="1411"/>
      <c r="M39" s="1405">
        <f t="shared" si="19"/>
        <v>1</v>
      </c>
      <c r="N39" s="1411"/>
      <c r="O39" s="1405">
        <f t="shared" si="20"/>
        <v>1</v>
      </c>
      <c r="P39" s="1411"/>
      <c r="Q39" s="1405">
        <f t="shared" si="21"/>
        <v>0</v>
      </c>
      <c r="R39" s="1476">
        <f t="shared" si="27"/>
        <v>0</v>
      </c>
      <c r="S39" s="1358">
        <f t="shared" si="28"/>
        <v>0</v>
      </c>
      <c r="T39" s="1485">
        <f t="shared" si="29"/>
        <v>0</v>
      </c>
      <c r="U39" s="1483">
        <f t="shared" si="22"/>
        <v>0</v>
      </c>
      <c r="V39" s="1483">
        <f t="shared" si="31"/>
        <v>0</v>
      </c>
      <c r="W39" s="1486"/>
      <c r="X39" s="1483">
        <f t="shared" si="25"/>
        <v>0</v>
      </c>
      <c r="Y39" s="1483">
        <f t="shared" si="26"/>
        <v>0</v>
      </c>
      <c r="Z39" s="1486"/>
    </row>
    <row r="40" spans="1:26">
      <c r="A40" s="1414"/>
      <c r="B40" s="1415"/>
      <c r="C40" s="1405">
        <f t="shared" si="14"/>
        <v>1</v>
      </c>
      <c r="D40" s="1411"/>
      <c r="E40" s="1405">
        <f t="shared" si="15"/>
        <v>0</v>
      </c>
      <c r="F40" s="1411"/>
      <c r="G40" s="1405">
        <f t="shared" si="16"/>
        <v>1</v>
      </c>
      <c r="H40" s="1411"/>
      <c r="I40" s="1405">
        <f t="shared" si="17"/>
        <v>1</v>
      </c>
      <c r="J40" s="1411"/>
      <c r="K40" s="1405">
        <f t="shared" si="18"/>
        <v>1</v>
      </c>
      <c r="L40" s="1411"/>
      <c r="M40" s="1405">
        <f t="shared" si="19"/>
        <v>1</v>
      </c>
      <c r="N40" s="1411"/>
      <c r="O40" s="1405">
        <f t="shared" si="20"/>
        <v>1</v>
      </c>
      <c r="P40" s="1411"/>
      <c r="Q40" s="1405">
        <f t="shared" si="21"/>
        <v>0</v>
      </c>
      <c r="R40" s="1476">
        <f t="shared" si="27"/>
        <v>0</v>
      </c>
      <c r="S40" s="1358">
        <f t="shared" si="28"/>
        <v>0</v>
      </c>
      <c r="T40" s="1485">
        <f t="shared" si="29"/>
        <v>0</v>
      </c>
      <c r="U40" s="1483">
        <f t="shared" si="22"/>
        <v>0</v>
      </c>
      <c r="V40" s="1483">
        <f t="shared" si="31"/>
        <v>0</v>
      </c>
      <c r="W40" s="1486"/>
      <c r="X40" s="1483">
        <f t="shared" si="25"/>
        <v>0</v>
      </c>
      <c r="Y40" s="1483">
        <f t="shared" si="26"/>
        <v>0</v>
      </c>
      <c r="Z40" s="1486"/>
    </row>
    <row r="41" spans="1:26">
      <c r="A41" s="1414"/>
      <c r="B41" s="1415"/>
      <c r="C41" s="1405">
        <f t="shared" si="14"/>
        <v>1</v>
      </c>
      <c r="D41" s="1411"/>
      <c r="E41" s="1405">
        <f t="shared" si="15"/>
        <v>0</v>
      </c>
      <c r="F41" s="1411"/>
      <c r="G41" s="1405">
        <f t="shared" si="16"/>
        <v>1</v>
      </c>
      <c r="H41" s="1411"/>
      <c r="I41" s="1405">
        <f t="shared" si="17"/>
        <v>1</v>
      </c>
      <c r="J41" s="1411"/>
      <c r="K41" s="1405">
        <f t="shared" si="18"/>
        <v>1</v>
      </c>
      <c r="L41" s="1411"/>
      <c r="M41" s="1405">
        <f t="shared" si="19"/>
        <v>1</v>
      </c>
      <c r="N41" s="1411"/>
      <c r="O41" s="1405">
        <f t="shared" si="20"/>
        <v>1</v>
      </c>
      <c r="P41" s="1411"/>
      <c r="Q41" s="1405">
        <f t="shared" si="21"/>
        <v>0</v>
      </c>
      <c r="R41" s="1476">
        <f t="shared" si="27"/>
        <v>0</v>
      </c>
      <c r="S41" s="1358">
        <f t="shared" si="28"/>
        <v>0</v>
      </c>
      <c r="T41" s="1485">
        <f t="shared" si="29"/>
        <v>0</v>
      </c>
      <c r="U41" s="1483">
        <f t="shared" si="22"/>
        <v>0</v>
      </c>
      <c r="V41" s="1483">
        <f t="shared" si="31"/>
        <v>0</v>
      </c>
      <c r="W41" s="1486"/>
      <c r="X41" s="1483">
        <f t="shared" si="25"/>
        <v>0</v>
      </c>
      <c r="Y41" s="1483">
        <f t="shared" si="26"/>
        <v>0</v>
      </c>
      <c r="Z41" s="1486"/>
    </row>
    <row r="42" spans="1:26">
      <c r="A42" s="1414"/>
      <c r="B42" s="1415"/>
      <c r="C42" s="1405">
        <f t="shared" si="14"/>
        <v>1</v>
      </c>
      <c r="D42" s="1411"/>
      <c r="E42" s="1405">
        <f t="shared" si="15"/>
        <v>0</v>
      </c>
      <c r="F42" s="1411"/>
      <c r="G42" s="1405">
        <f t="shared" si="16"/>
        <v>1</v>
      </c>
      <c r="H42" s="1411"/>
      <c r="I42" s="1405">
        <f t="shared" si="17"/>
        <v>1</v>
      </c>
      <c r="J42" s="1411"/>
      <c r="K42" s="1405">
        <f t="shared" si="18"/>
        <v>1</v>
      </c>
      <c r="L42" s="1411"/>
      <c r="M42" s="1405">
        <f t="shared" si="19"/>
        <v>1</v>
      </c>
      <c r="N42" s="1411"/>
      <c r="O42" s="1405">
        <f t="shared" si="20"/>
        <v>1</v>
      </c>
      <c r="P42" s="1411"/>
      <c r="Q42" s="1405">
        <f t="shared" si="21"/>
        <v>0</v>
      </c>
      <c r="R42" s="1476">
        <f t="shared" si="27"/>
        <v>0</v>
      </c>
      <c r="S42" s="1358">
        <f t="shared" si="28"/>
        <v>0</v>
      </c>
      <c r="T42" s="1485">
        <f t="shared" si="29"/>
        <v>0</v>
      </c>
      <c r="U42" s="1483">
        <f t="shared" si="22"/>
        <v>0</v>
      </c>
      <c r="V42" s="1483">
        <f t="shared" si="31"/>
        <v>0</v>
      </c>
      <c r="W42" s="1486"/>
      <c r="X42" s="1483">
        <f t="shared" si="25"/>
        <v>0</v>
      </c>
      <c r="Y42" s="1483">
        <f t="shared" si="26"/>
        <v>0</v>
      </c>
      <c r="Z42" s="1486"/>
    </row>
    <row r="43" spans="1:26">
      <c r="A43" s="1414"/>
      <c r="B43" s="1415"/>
      <c r="C43" s="1405">
        <f t="shared" si="14"/>
        <v>1</v>
      </c>
      <c r="D43" s="1411"/>
      <c r="E43" s="1405">
        <f t="shared" si="15"/>
        <v>0</v>
      </c>
      <c r="F43" s="1411"/>
      <c r="G43" s="1405">
        <f t="shared" si="16"/>
        <v>1</v>
      </c>
      <c r="H43" s="1411"/>
      <c r="I43" s="1405">
        <f t="shared" si="17"/>
        <v>1</v>
      </c>
      <c r="J43" s="1411"/>
      <c r="K43" s="1405">
        <f t="shared" si="18"/>
        <v>1</v>
      </c>
      <c r="L43" s="1411"/>
      <c r="M43" s="1405">
        <f t="shared" si="19"/>
        <v>1</v>
      </c>
      <c r="N43" s="1411"/>
      <c r="O43" s="1405">
        <f t="shared" si="20"/>
        <v>1</v>
      </c>
      <c r="P43" s="1411"/>
      <c r="Q43" s="1405">
        <f t="shared" si="21"/>
        <v>0</v>
      </c>
      <c r="R43" s="1476">
        <f t="shared" si="27"/>
        <v>0</v>
      </c>
      <c r="S43" s="1358">
        <f t="shared" si="28"/>
        <v>0</v>
      </c>
      <c r="T43" s="1485">
        <f t="shared" si="29"/>
        <v>0</v>
      </c>
      <c r="U43" s="1483">
        <f t="shared" si="22"/>
        <v>0</v>
      </c>
      <c r="V43" s="1483">
        <f t="shared" si="31"/>
        <v>0</v>
      </c>
      <c r="W43" s="1486"/>
      <c r="X43" s="1483">
        <f t="shared" si="25"/>
        <v>0</v>
      </c>
      <c r="Y43" s="1483">
        <f t="shared" si="26"/>
        <v>0</v>
      </c>
      <c r="Z43" s="1486"/>
    </row>
    <row r="44" spans="1:26">
      <c r="A44" s="1414"/>
      <c r="B44" s="1415"/>
      <c r="C44" s="1405">
        <f t="shared" si="14"/>
        <v>1</v>
      </c>
      <c r="D44" s="1411"/>
      <c r="E44" s="1405">
        <f t="shared" si="15"/>
        <v>0</v>
      </c>
      <c r="F44" s="1411"/>
      <c r="G44" s="1405">
        <f t="shared" si="16"/>
        <v>1</v>
      </c>
      <c r="H44" s="1411"/>
      <c r="I44" s="1405">
        <f t="shared" si="17"/>
        <v>1</v>
      </c>
      <c r="J44" s="1411"/>
      <c r="K44" s="1405">
        <f t="shared" si="18"/>
        <v>1</v>
      </c>
      <c r="L44" s="1411"/>
      <c r="M44" s="1405">
        <f t="shared" si="19"/>
        <v>1</v>
      </c>
      <c r="N44" s="1411"/>
      <c r="O44" s="1405">
        <f t="shared" si="20"/>
        <v>1</v>
      </c>
      <c r="P44" s="1411"/>
      <c r="Q44" s="1405">
        <f t="shared" si="21"/>
        <v>0</v>
      </c>
      <c r="R44" s="1476">
        <f t="shared" si="27"/>
        <v>0</v>
      </c>
      <c r="S44" s="1358">
        <f t="shared" si="28"/>
        <v>0</v>
      </c>
      <c r="T44" s="1485">
        <f t="shared" si="29"/>
        <v>0</v>
      </c>
      <c r="U44" s="1483">
        <f t="shared" si="22"/>
        <v>0</v>
      </c>
      <c r="V44" s="1483">
        <f t="shared" si="31"/>
        <v>0</v>
      </c>
      <c r="W44" s="1486"/>
      <c r="X44" s="1483">
        <f t="shared" si="25"/>
        <v>0</v>
      </c>
      <c r="Y44" s="1483">
        <f t="shared" si="26"/>
        <v>0</v>
      </c>
      <c r="Z44" s="1486"/>
    </row>
    <row r="45" spans="1:26">
      <c r="A45" s="1414"/>
      <c r="B45" s="1415"/>
      <c r="C45" s="1405">
        <f t="shared" si="14"/>
        <v>1</v>
      </c>
      <c r="D45" s="1411"/>
      <c r="E45" s="1405">
        <f t="shared" si="15"/>
        <v>0</v>
      </c>
      <c r="F45" s="1411"/>
      <c r="G45" s="1405">
        <f t="shared" si="16"/>
        <v>1</v>
      </c>
      <c r="H45" s="1411"/>
      <c r="I45" s="1405">
        <f t="shared" si="17"/>
        <v>1</v>
      </c>
      <c r="J45" s="1411"/>
      <c r="K45" s="1405">
        <f t="shared" si="18"/>
        <v>1</v>
      </c>
      <c r="L45" s="1411"/>
      <c r="M45" s="1405">
        <f t="shared" si="19"/>
        <v>1</v>
      </c>
      <c r="N45" s="1411"/>
      <c r="O45" s="1405">
        <f t="shared" si="20"/>
        <v>1</v>
      </c>
      <c r="P45" s="1411"/>
      <c r="Q45" s="1405">
        <f t="shared" si="21"/>
        <v>0</v>
      </c>
      <c r="R45" s="1476">
        <f t="shared" si="27"/>
        <v>0</v>
      </c>
      <c r="S45" s="1358">
        <f t="shared" si="28"/>
        <v>0</v>
      </c>
      <c r="T45" s="1485">
        <f t="shared" si="29"/>
        <v>0</v>
      </c>
      <c r="U45" s="1483">
        <f t="shared" si="22"/>
        <v>0</v>
      </c>
      <c r="V45" s="1483">
        <f t="shared" si="31"/>
        <v>0</v>
      </c>
      <c r="W45" s="1486"/>
      <c r="X45" s="1483">
        <f t="shared" si="25"/>
        <v>0</v>
      </c>
      <c r="Y45" s="1483">
        <f t="shared" si="26"/>
        <v>0</v>
      </c>
      <c r="Z45" s="1486"/>
    </row>
    <row r="46" spans="1:26">
      <c r="A46" s="1414"/>
      <c r="B46" s="1415"/>
      <c r="C46" s="1405">
        <f t="shared" si="14"/>
        <v>1</v>
      </c>
      <c r="D46" s="1411"/>
      <c r="E46" s="1405">
        <f t="shared" si="15"/>
        <v>0</v>
      </c>
      <c r="F46" s="1411"/>
      <c r="G46" s="1405">
        <f t="shared" si="16"/>
        <v>1</v>
      </c>
      <c r="H46" s="1411"/>
      <c r="I46" s="1405">
        <f t="shared" si="17"/>
        <v>1</v>
      </c>
      <c r="J46" s="1411"/>
      <c r="K46" s="1405">
        <f t="shared" si="18"/>
        <v>1</v>
      </c>
      <c r="L46" s="1411"/>
      <c r="M46" s="1405">
        <f t="shared" si="19"/>
        <v>1</v>
      </c>
      <c r="N46" s="1411"/>
      <c r="O46" s="1405">
        <f t="shared" si="20"/>
        <v>1</v>
      </c>
      <c r="P46" s="1411"/>
      <c r="Q46" s="1405">
        <f t="shared" si="21"/>
        <v>0</v>
      </c>
      <c r="R46" s="1476">
        <f t="shared" si="27"/>
        <v>0</v>
      </c>
      <c r="S46" s="1358">
        <f t="shared" si="28"/>
        <v>0</v>
      </c>
      <c r="T46" s="1485">
        <f t="shared" si="29"/>
        <v>0</v>
      </c>
      <c r="U46" s="1483">
        <f t="shared" si="22"/>
        <v>0</v>
      </c>
      <c r="V46" s="1483">
        <f t="shared" si="31"/>
        <v>0</v>
      </c>
      <c r="W46" s="1486"/>
      <c r="X46" s="1483">
        <f t="shared" si="25"/>
        <v>0</v>
      </c>
      <c r="Y46" s="1483">
        <f t="shared" si="26"/>
        <v>0</v>
      </c>
      <c r="Z46" s="1486"/>
    </row>
    <row r="47" spans="1:26">
      <c r="A47" s="1414"/>
      <c r="B47" s="1415"/>
      <c r="C47" s="1405">
        <f t="shared" si="14"/>
        <v>1</v>
      </c>
      <c r="D47" s="1411"/>
      <c r="E47" s="1405">
        <f t="shared" si="15"/>
        <v>0</v>
      </c>
      <c r="F47" s="1411"/>
      <c r="G47" s="1405">
        <f t="shared" si="16"/>
        <v>1</v>
      </c>
      <c r="H47" s="1411"/>
      <c r="I47" s="1405">
        <f t="shared" si="17"/>
        <v>1</v>
      </c>
      <c r="J47" s="1411"/>
      <c r="K47" s="1405">
        <f t="shared" si="18"/>
        <v>1</v>
      </c>
      <c r="L47" s="1411"/>
      <c r="M47" s="1405">
        <f t="shared" si="19"/>
        <v>1</v>
      </c>
      <c r="N47" s="1411"/>
      <c r="O47" s="1405">
        <f t="shared" si="20"/>
        <v>1</v>
      </c>
      <c r="P47" s="1411"/>
      <c r="Q47" s="1405">
        <f t="shared" si="21"/>
        <v>0</v>
      </c>
      <c r="R47" s="1476">
        <f t="shared" si="27"/>
        <v>0</v>
      </c>
      <c r="S47" s="1358">
        <f t="shared" si="28"/>
        <v>0</v>
      </c>
      <c r="T47" s="1485">
        <f t="shared" si="29"/>
        <v>0</v>
      </c>
      <c r="U47" s="1483">
        <f t="shared" si="22"/>
        <v>0</v>
      </c>
      <c r="V47" s="1483">
        <f t="shared" si="31"/>
        <v>0</v>
      </c>
      <c r="W47" s="1486"/>
      <c r="X47" s="1483">
        <f t="shared" si="25"/>
        <v>0</v>
      </c>
      <c r="Y47" s="1483">
        <f t="shared" si="26"/>
        <v>0</v>
      </c>
      <c r="Z47" s="1486"/>
    </row>
    <row r="48" spans="1:26">
      <c r="A48" s="1414"/>
      <c r="B48" s="1415"/>
      <c r="C48" s="1405">
        <f t="shared" si="14"/>
        <v>1</v>
      </c>
      <c r="D48" s="1411"/>
      <c r="E48" s="1405">
        <f t="shared" si="15"/>
        <v>0</v>
      </c>
      <c r="F48" s="1411"/>
      <c r="G48" s="1405">
        <f t="shared" si="16"/>
        <v>1</v>
      </c>
      <c r="H48" s="1411"/>
      <c r="I48" s="1405">
        <f t="shared" si="17"/>
        <v>1</v>
      </c>
      <c r="J48" s="1411"/>
      <c r="K48" s="1405">
        <f t="shared" si="18"/>
        <v>1</v>
      </c>
      <c r="L48" s="1411"/>
      <c r="M48" s="1405">
        <f t="shared" si="19"/>
        <v>1</v>
      </c>
      <c r="N48" s="1411"/>
      <c r="O48" s="1405">
        <f t="shared" si="20"/>
        <v>1</v>
      </c>
      <c r="P48" s="1411"/>
      <c r="Q48" s="1405">
        <f t="shared" si="21"/>
        <v>0</v>
      </c>
      <c r="R48" s="1476">
        <f t="shared" si="27"/>
        <v>0</v>
      </c>
      <c r="S48" s="1358">
        <f t="shared" si="28"/>
        <v>0</v>
      </c>
      <c r="T48" s="1485">
        <f t="shared" si="29"/>
        <v>0</v>
      </c>
      <c r="U48" s="1483">
        <f t="shared" si="22"/>
        <v>0</v>
      </c>
      <c r="V48" s="1483">
        <f t="shared" si="31"/>
        <v>0</v>
      </c>
      <c r="W48" s="1486"/>
      <c r="X48" s="1483">
        <f t="shared" si="25"/>
        <v>0</v>
      </c>
      <c r="Y48" s="1483">
        <f t="shared" si="26"/>
        <v>0</v>
      </c>
      <c r="Z48" s="1486"/>
    </row>
    <row r="49" spans="1:26">
      <c r="A49" s="1414"/>
      <c r="B49" s="1415"/>
      <c r="C49" s="1405">
        <f t="shared" si="14"/>
        <v>1</v>
      </c>
      <c r="D49" s="1411"/>
      <c r="E49" s="1405">
        <f t="shared" si="15"/>
        <v>0</v>
      </c>
      <c r="F49" s="1411"/>
      <c r="G49" s="1405">
        <f t="shared" si="16"/>
        <v>1</v>
      </c>
      <c r="H49" s="1411"/>
      <c r="I49" s="1405">
        <f t="shared" si="17"/>
        <v>1</v>
      </c>
      <c r="J49" s="1411"/>
      <c r="K49" s="1405">
        <f t="shared" si="18"/>
        <v>1</v>
      </c>
      <c r="L49" s="1411"/>
      <c r="M49" s="1405">
        <f t="shared" si="19"/>
        <v>1</v>
      </c>
      <c r="N49" s="1411"/>
      <c r="O49" s="1405">
        <f t="shared" si="20"/>
        <v>1</v>
      </c>
      <c r="P49" s="1411"/>
      <c r="Q49" s="1405">
        <f t="shared" si="21"/>
        <v>0</v>
      </c>
      <c r="R49" s="1476">
        <f t="shared" si="27"/>
        <v>0</v>
      </c>
      <c r="S49" s="1358">
        <f t="shared" si="28"/>
        <v>0</v>
      </c>
      <c r="T49" s="1485">
        <f t="shared" si="29"/>
        <v>0</v>
      </c>
      <c r="U49" s="1483">
        <f t="shared" si="22"/>
        <v>0</v>
      </c>
      <c r="V49" s="1483">
        <f t="shared" si="31"/>
        <v>0</v>
      </c>
      <c r="W49" s="1486"/>
      <c r="X49" s="1483">
        <f t="shared" si="25"/>
        <v>0</v>
      </c>
      <c r="Y49" s="1483">
        <f t="shared" si="26"/>
        <v>0</v>
      </c>
      <c r="Z49" s="1486"/>
    </row>
    <row r="50" spans="1:26">
      <c r="A50" s="1414"/>
      <c r="B50" s="1415"/>
      <c r="C50" s="1405">
        <f t="shared" si="14"/>
        <v>1</v>
      </c>
      <c r="D50" s="1411"/>
      <c r="E50" s="1405">
        <f t="shared" si="15"/>
        <v>0</v>
      </c>
      <c r="F50" s="1411"/>
      <c r="G50" s="1405">
        <f t="shared" si="16"/>
        <v>1</v>
      </c>
      <c r="H50" s="1411"/>
      <c r="I50" s="1405">
        <f t="shared" si="17"/>
        <v>1</v>
      </c>
      <c r="J50" s="1411"/>
      <c r="K50" s="1405">
        <f t="shared" si="18"/>
        <v>1</v>
      </c>
      <c r="L50" s="1411"/>
      <c r="M50" s="1405">
        <f t="shared" si="19"/>
        <v>1</v>
      </c>
      <c r="N50" s="1411"/>
      <c r="O50" s="1405">
        <f t="shared" si="20"/>
        <v>1</v>
      </c>
      <c r="P50" s="1411"/>
      <c r="Q50" s="1405">
        <f t="shared" si="21"/>
        <v>0</v>
      </c>
      <c r="R50" s="1476">
        <f t="shared" si="27"/>
        <v>0</v>
      </c>
      <c r="S50" s="1358">
        <f t="shared" si="28"/>
        <v>0</v>
      </c>
      <c r="T50" s="1485">
        <f t="shared" si="29"/>
        <v>0</v>
      </c>
      <c r="U50" s="1483">
        <f t="shared" si="22"/>
        <v>0</v>
      </c>
      <c r="V50" s="1483">
        <f t="shared" si="31"/>
        <v>0</v>
      </c>
      <c r="W50" s="1486"/>
      <c r="X50" s="1483">
        <f t="shared" si="25"/>
        <v>0</v>
      </c>
      <c r="Y50" s="1483">
        <f t="shared" si="26"/>
        <v>0</v>
      </c>
      <c r="Z50" s="1486"/>
    </row>
    <row r="51" spans="1:26">
      <c r="A51" s="1414"/>
      <c r="B51" s="1415"/>
      <c r="C51" s="1405">
        <f t="shared" si="14"/>
        <v>1</v>
      </c>
      <c r="D51" s="1411"/>
      <c r="E51" s="1405">
        <f t="shared" si="15"/>
        <v>0</v>
      </c>
      <c r="F51" s="1411"/>
      <c r="G51" s="1405">
        <f t="shared" si="16"/>
        <v>1</v>
      </c>
      <c r="H51" s="1411"/>
      <c r="I51" s="1405">
        <f t="shared" si="17"/>
        <v>1</v>
      </c>
      <c r="J51" s="1411"/>
      <c r="K51" s="1405">
        <f t="shared" si="18"/>
        <v>1</v>
      </c>
      <c r="L51" s="1411"/>
      <c r="M51" s="1405">
        <f t="shared" si="19"/>
        <v>1</v>
      </c>
      <c r="N51" s="1411"/>
      <c r="O51" s="1405">
        <f t="shared" si="20"/>
        <v>1</v>
      </c>
      <c r="P51" s="1411"/>
      <c r="Q51" s="1405">
        <f t="shared" si="21"/>
        <v>0</v>
      </c>
      <c r="R51" s="1476">
        <f t="shared" si="27"/>
        <v>0</v>
      </c>
      <c r="S51" s="1358">
        <f t="shared" si="28"/>
        <v>0</v>
      </c>
      <c r="T51" s="1485">
        <f t="shared" si="29"/>
        <v>0</v>
      </c>
      <c r="U51" s="1483">
        <f t="shared" si="22"/>
        <v>0</v>
      </c>
      <c r="V51" s="1483">
        <f t="shared" si="31"/>
        <v>0</v>
      </c>
      <c r="W51" s="1486"/>
      <c r="X51" s="1483">
        <f t="shared" si="25"/>
        <v>0</v>
      </c>
      <c r="Y51" s="1483">
        <f t="shared" si="26"/>
        <v>0</v>
      </c>
      <c r="Z51" s="1486"/>
    </row>
    <row r="52" spans="1:26">
      <c r="A52" s="1414"/>
      <c r="B52" s="1415"/>
      <c r="C52" s="1405">
        <f t="shared" si="14"/>
        <v>1</v>
      </c>
      <c r="D52" s="1411"/>
      <c r="E52" s="1405">
        <f t="shared" si="15"/>
        <v>0</v>
      </c>
      <c r="F52" s="1411"/>
      <c r="G52" s="1405">
        <f t="shared" si="16"/>
        <v>1</v>
      </c>
      <c r="H52" s="1411"/>
      <c r="I52" s="1405">
        <f t="shared" si="17"/>
        <v>1</v>
      </c>
      <c r="J52" s="1411"/>
      <c r="K52" s="1405">
        <f t="shared" si="18"/>
        <v>1</v>
      </c>
      <c r="L52" s="1411"/>
      <c r="M52" s="1405">
        <f t="shared" si="19"/>
        <v>1</v>
      </c>
      <c r="N52" s="1411"/>
      <c r="O52" s="1405">
        <f t="shared" si="20"/>
        <v>1</v>
      </c>
      <c r="P52" s="1411"/>
      <c r="Q52" s="1405">
        <f t="shared" si="21"/>
        <v>0</v>
      </c>
      <c r="R52" s="1476">
        <f t="shared" si="27"/>
        <v>0</v>
      </c>
      <c r="S52" s="1358">
        <f t="shared" si="28"/>
        <v>0</v>
      </c>
      <c r="T52" s="1485">
        <f t="shared" si="29"/>
        <v>0</v>
      </c>
      <c r="U52" s="1483">
        <f t="shared" si="22"/>
        <v>0</v>
      </c>
      <c r="V52" s="1483">
        <f t="shared" si="31"/>
        <v>0</v>
      </c>
      <c r="W52" s="1486"/>
      <c r="X52" s="1483">
        <f t="shared" si="25"/>
        <v>0</v>
      </c>
      <c r="Y52" s="1483">
        <f t="shared" si="26"/>
        <v>0</v>
      </c>
      <c r="Z52" s="1486"/>
    </row>
    <row r="53" spans="1:26">
      <c r="A53" s="1414"/>
      <c r="B53" s="1415"/>
      <c r="C53" s="1405">
        <f t="shared" si="14"/>
        <v>1</v>
      </c>
      <c r="D53" s="1411"/>
      <c r="E53" s="1405">
        <f t="shared" si="15"/>
        <v>0</v>
      </c>
      <c r="F53" s="1411"/>
      <c r="G53" s="1405">
        <f t="shared" si="16"/>
        <v>1</v>
      </c>
      <c r="H53" s="1411"/>
      <c r="I53" s="1405">
        <f t="shared" si="17"/>
        <v>1</v>
      </c>
      <c r="J53" s="1411"/>
      <c r="K53" s="1405">
        <f t="shared" si="18"/>
        <v>1</v>
      </c>
      <c r="L53" s="1411"/>
      <c r="M53" s="1405">
        <f t="shared" si="19"/>
        <v>1</v>
      </c>
      <c r="N53" s="1411"/>
      <c r="O53" s="1405">
        <f t="shared" si="20"/>
        <v>1</v>
      </c>
      <c r="P53" s="1411"/>
      <c r="Q53" s="1405">
        <f t="shared" si="21"/>
        <v>0</v>
      </c>
      <c r="R53" s="1476">
        <f t="shared" si="27"/>
        <v>0</v>
      </c>
      <c r="S53" s="1358">
        <f t="shared" si="28"/>
        <v>0</v>
      </c>
      <c r="T53" s="1485">
        <f t="shared" si="29"/>
        <v>0</v>
      </c>
      <c r="U53" s="1483">
        <f t="shared" si="22"/>
        <v>0</v>
      </c>
      <c r="V53" s="1483">
        <f t="shared" si="31"/>
        <v>0</v>
      </c>
      <c r="W53" s="1486"/>
      <c r="X53" s="1483">
        <f t="shared" si="25"/>
        <v>0</v>
      </c>
      <c r="Y53" s="1483">
        <f t="shared" si="26"/>
        <v>0</v>
      </c>
      <c r="Z53" s="1486"/>
    </row>
    <row r="54" spans="1:26">
      <c r="A54" s="1414"/>
      <c r="B54" s="1415"/>
      <c r="C54" s="1405">
        <f t="shared" si="14"/>
        <v>1</v>
      </c>
      <c r="D54" s="1411"/>
      <c r="E54" s="1405">
        <f t="shared" si="15"/>
        <v>0</v>
      </c>
      <c r="F54" s="1411"/>
      <c r="G54" s="1405">
        <f t="shared" si="16"/>
        <v>1</v>
      </c>
      <c r="H54" s="1411"/>
      <c r="I54" s="1405">
        <f t="shared" si="17"/>
        <v>1</v>
      </c>
      <c r="J54" s="1411"/>
      <c r="K54" s="1405">
        <f t="shared" si="18"/>
        <v>1</v>
      </c>
      <c r="L54" s="1411"/>
      <c r="M54" s="1405">
        <f t="shared" si="19"/>
        <v>1</v>
      </c>
      <c r="N54" s="1411"/>
      <c r="O54" s="1405">
        <f t="shared" si="20"/>
        <v>1</v>
      </c>
      <c r="P54" s="1411"/>
      <c r="Q54" s="1405">
        <f t="shared" si="21"/>
        <v>0</v>
      </c>
      <c r="R54" s="1476">
        <f t="shared" si="27"/>
        <v>0</v>
      </c>
      <c r="S54" s="1358">
        <f t="shared" si="28"/>
        <v>0</v>
      </c>
      <c r="T54" s="1485">
        <f t="shared" si="29"/>
        <v>0</v>
      </c>
      <c r="U54" s="1483">
        <f t="shared" si="22"/>
        <v>0</v>
      </c>
      <c r="V54" s="1483">
        <f t="shared" si="31"/>
        <v>0</v>
      </c>
      <c r="W54" s="1486"/>
      <c r="X54" s="1483">
        <f t="shared" si="25"/>
        <v>0</v>
      </c>
      <c r="Y54" s="1483">
        <f t="shared" si="26"/>
        <v>0</v>
      </c>
      <c r="Z54" s="1486"/>
    </row>
    <row r="55" spans="1:26">
      <c r="A55" s="1414"/>
      <c r="B55" s="1415"/>
      <c r="C55" s="1405">
        <f t="shared" si="14"/>
        <v>1</v>
      </c>
      <c r="D55" s="1411"/>
      <c r="E55" s="1405">
        <f t="shared" si="15"/>
        <v>0</v>
      </c>
      <c r="F55" s="1411"/>
      <c r="G55" s="1405">
        <f t="shared" si="16"/>
        <v>1</v>
      </c>
      <c r="H55" s="1411"/>
      <c r="I55" s="1405">
        <f t="shared" si="17"/>
        <v>1</v>
      </c>
      <c r="J55" s="1411"/>
      <c r="K55" s="1405">
        <f t="shared" si="18"/>
        <v>1</v>
      </c>
      <c r="L55" s="1411"/>
      <c r="M55" s="1405">
        <f t="shared" si="19"/>
        <v>1</v>
      </c>
      <c r="N55" s="1411"/>
      <c r="O55" s="1405">
        <f t="shared" si="20"/>
        <v>1</v>
      </c>
      <c r="P55" s="1411"/>
      <c r="Q55" s="1405">
        <f t="shared" si="21"/>
        <v>0</v>
      </c>
      <c r="R55" s="1476">
        <f t="shared" si="27"/>
        <v>0</v>
      </c>
      <c r="S55" s="1358">
        <f t="shared" si="28"/>
        <v>0</v>
      </c>
      <c r="T55" s="1485">
        <f t="shared" si="29"/>
        <v>0</v>
      </c>
      <c r="U55" s="1483">
        <f t="shared" si="22"/>
        <v>0</v>
      </c>
      <c r="V55" s="1483">
        <f t="shared" si="31"/>
        <v>0</v>
      </c>
      <c r="W55" s="1486"/>
      <c r="X55" s="1483">
        <f t="shared" si="25"/>
        <v>0</v>
      </c>
      <c r="Y55" s="1483">
        <f t="shared" si="26"/>
        <v>0</v>
      </c>
      <c r="Z55" s="1486"/>
    </row>
    <row r="56" spans="1:26">
      <c r="A56" s="1414"/>
      <c r="B56" s="1415"/>
      <c r="C56" s="1405">
        <f t="shared" si="14"/>
        <v>1</v>
      </c>
      <c r="D56" s="1411"/>
      <c r="E56" s="1405">
        <f t="shared" si="15"/>
        <v>0</v>
      </c>
      <c r="F56" s="1411"/>
      <c r="G56" s="1405">
        <f t="shared" si="16"/>
        <v>1</v>
      </c>
      <c r="H56" s="1411"/>
      <c r="I56" s="1405">
        <f t="shared" si="17"/>
        <v>1</v>
      </c>
      <c r="J56" s="1411"/>
      <c r="K56" s="1405">
        <f t="shared" si="18"/>
        <v>1</v>
      </c>
      <c r="L56" s="1411"/>
      <c r="M56" s="1405">
        <f t="shared" si="19"/>
        <v>1</v>
      </c>
      <c r="N56" s="1411"/>
      <c r="O56" s="1405">
        <f t="shared" si="20"/>
        <v>1</v>
      </c>
      <c r="P56" s="1411"/>
      <c r="Q56" s="1405">
        <f t="shared" si="21"/>
        <v>0</v>
      </c>
      <c r="R56" s="1476">
        <f t="shared" si="27"/>
        <v>0</v>
      </c>
      <c r="S56" s="1358">
        <f t="shared" si="28"/>
        <v>0</v>
      </c>
      <c r="T56" s="1485">
        <f t="shared" si="29"/>
        <v>0</v>
      </c>
      <c r="U56" s="1483">
        <f t="shared" si="22"/>
        <v>0</v>
      </c>
      <c r="V56" s="1483">
        <f t="shared" si="31"/>
        <v>0</v>
      </c>
      <c r="W56" s="1486"/>
      <c r="X56" s="1483">
        <f t="shared" si="25"/>
        <v>0</v>
      </c>
      <c r="Y56" s="1483">
        <f t="shared" si="26"/>
        <v>0</v>
      </c>
      <c r="Z56" s="1486"/>
    </row>
    <row r="57" spans="1:26">
      <c r="A57" s="1414"/>
      <c r="B57" s="1415"/>
      <c r="C57" s="1405">
        <f t="shared" si="14"/>
        <v>1</v>
      </c>
      <c r="D57" s="1411"/>
      <c r="E57" s="1405">
        <f t="shared" si="15"/>
        <v>0</v>
      </c>
      <c r="F57" s="1411"/>
      <c r="G57" s="1405">
        <f t="shared" si="16"/>
        <v>1</v>
      </c>
      <c r="H57" s="1411"/>
      <c r="I57" s="1405">
        <f t="shared" si="17"/>
        <v>1</v>
      </c>
      <c r="J57" s="1411"/>
      <c r="K57" s="1405">
        <f t="shared" si="18"/>
        <v>1</v>
      </c>
      <c r="L57" s="1411"/>
      <c r="M57" s="1405">
        <f t="shared" si="19"/>
        <v>1</v>
      </c>
      <c r="N57" s="1411"/>
      <c r="O57" s="1405">
        <f t="shared" si="20"/>
        <v>1</v>
      </c>
      <c r="P57" s="1411"/>
      <c r="Q57" s="1405">
        <f t="shared" si="21"/>
        <v>0</v>
      </c>
      <c r="R57" s="1476">
        <f t="shared" si="27"/>
        <v>0</v>
      </c>
      <c r="S57" s="1358">
        <f t="shared" si="28"/>
        <v>0</v>
      </c>
      <c r="T57" s="1485">
        <f t="shared" si="29"/>
        <v>0</v>
      </c>
      <c r="U57" s="1483">
        <f t="shared" si="22"/>
        <v>0</v>
      </c>
      <c r="V57" s="1483">
        <f t="shared" si="31"/>
        <v>0</v>
      </c>
      <c r="W57" s="1486"/>
      <c r="X57" s="1483">
        <f t="shared" si="25"/>
        <v>0</v>
      </c>
      <c r="Y57" s="1483">
        <f t="shared" si="26"/>
        <v>0</v>
      </c>
      <c r="Z57" s="1486"/>
    </row>
    <row r="58" spans="1:26">
      <c r="A58" s="1414"/>
      <c r="B58" s="1415"/>
      <c r="C58" s="1405">
        <f t="shared" si="14"/>
        <v>1</v>
      </c>
      <c r="D58" s="1411"/>
      <c r="E58" s="1405">
        <f t="shared" si="15"/>
        <v>0</v>
      </c>
      <c r="F58" s="1411"/>
      <c r="G58" s="1405">
        <f t="shared" si="16"/>
        <v>1</v>
      </c>
      <c r="H58" s="1411"/>
      <c r="I58" s="1405">
        <f t="shared" si="17"/>
        <v>1</v>
      </c>
      <c r="J58" s="1411"/>
      <c r="K58" s="1405">
        <f t="shared" si="18"/>
        <v>1</v>
      </c>
      <c r="L58" s="1411"/>
      <c r="M58" s="1405">
        <f t="shared" si="19"/>
        <v>1</v>
      </c>
      <c r="N58" s="1411"/>
      <c r="O58" s="1405">
        <f t="shared" si="20"/>
        <v>1</v>
      </c>
      <c r="P58" s="1411"/>
      <c r="Q58" s="1405">
        <f t="shared" si="21"/>
        <v>0</v>
      </c>
      <c r="R58" s="1476">
        <f t="shared" si="27"/>
        <v>0</v>
      </c>
      <c r="S58" s="1358">
        <f t="shared" si="28"/>
        <v>0</v>
      </c>
      <c r="T58" s="1485">
        <f t="shared" si="29"/>
        <v>0</v>
      </c>
      <c r="U58" s="1483">
        <f t="shared" si="22"/>
        <v>0</v>
      </c>
      <c r="V58" s="1483">
        <f t="shared" si="31"/>
        <v>0</v>
      </c>
      <c r="W58" s="1486"/>
      <c r="X58" s="1483">
        <f t="shared" si="25"/>
        <v>0</v>
      </c>
      <c r="Y58" s="1483">
        <f t="shared" si="26"/>
        <v>0</v>
      </c>
      <c r="Z58" s="1486"/>
    </row>
    <row r="59" spans="1:26">
      <c r="A59" s="1414"/>
      <c r="B59" s="1415"/>
      <c r="C59" s="1405">
        <f t="shared" si="14"/>
        <v>1</v>
      </c>
      <c r="D59" s="1411"/>
      <c r="E59" s="1405">
        <f t="shared" si="15"/>
        <v>0</v>
      </c>
      <c r="F59" s="1411"/>
      <c r="G59" s="1405">
        <f t="shared" si="16"/>
        <v>1</v>
      </c>
      <c r="H59" s="1411"/>
      <c r="I59" s="1405">
        <f t="shared" si="17"/>
        <v>1</v>
      </c>
      <c r="J59" s="1411"/>
      <c r="K59" s="1405">
        <f t="shared" si="18"/>
        <v>1</v>
      </c>
      <c r="L59" s="1411"/>
      <c r="M59" s="1405">
        <f t="shared" si="19"/>
        <v>1</v>
      </c>
      <c r="N59" s="1411"/>
      <c r="O59" s="1405">
        <f t="shared" si="20"/>
        <v>1</v>
      </c>
      <c r="P59" s="1411"/>
      <c r="Q59" s="1405">
        <f t="shared" si="21"/>
        <v>0</v>
      </c>
      <c r="R59" s="1476">
        <f t="shared" si="27"/>
        <v>0</v>
      </c>
      <c r="S59" s="1358">
        <f t="shared" si="28"/>
        <v>0</v>
      </c>
      <c r="T59" s="1485">
        <f t="shared" si="29"/>
        <v>0</v>
      </c>
      <c r="U59" s="1483">
        <f t="shared" si="22"/>
        <v>0</v>
      </c>
      <c r="V59" s="1483">
        <f t="shared" si="31"/>
        <v>0</v>
      </c>
      <c r="W59" s="1486"/>
      <c r="X59" s="1483">
        <f t="shared" si="25"/>
        <v>0</v>
      </c>
      <c r="Y59" s="1483">
        <f t="shared" si="26"/>
        <v>0</v>
      </c>
      <c r="Z59" s="1486"/>
    </row>
    <row r="60" spans="1:26">
      <c r="A60" s="1414"/>
      <c r="B60" s="1415"/>
      <c r="C60" s="1405">
        <f t="shared" si="14"/>
        <v>1</v>
      </c>
      <c r="D60" s="1411"/>
      <c r="E60" s="1405">
        <f t="shared" si="15"/>
        <v>0</v>
      </c>
      <c r="F60" s="1411"/>
      <c r="G60" s="1405">
        <f t="shared" si="16"/>
        <v>1</v>
      </c>
      <c r="H60" s="1411"/>
      <c r="I60" s="1405">
        <f t="shared" si="17"/>
        <v>1</v>
      </c>
      <c r="J60" s="1411"/>
      <c r="K60" s="1405">
        <f t="shared" si="18"/>
        <v>1</v>
      </c>
      <c r="L60" s="1411"/>
      <c r="M60" s="1405">
        <f t="shared" si="19"/>
        <v>1</v>
      </c>
      <c r="N60" s="1411"/>
      <c r="O60" s="1405">
        <f t="shared" si="20"/>
        <v>1</v>
      </c>
      <c r="P60" s="1411"/>
      <c r="Q60" s="1405">
        <f t="shared" si="21"/>
        <v>0</v>
      </c>
      <c r="R60" s="1476">
        <f t="shared" si="27"/>
        <v>0</v>
      </c>
      <c r="S60" s="1358">
        <f t="shared" si="28"/>
        <v>0</v>
      </c>
      <c r="T60" s="1485">
        <f t="shared" si="29"/>
        <v>0</v>
      </c>
      <c r="U60" s="1483">
        <f t="shared" si="22"/>
        <v>0</v>
      </c>
      <c r="V60" s="1483">
        <f t="shared" si="31"/>
        <v>0</v>
      </c>
      <c r="W60" s="1486"/>
      <c r="X60" s="1483">
        <f t="shared" si="25"/>
        <v>0</v>
      </c>
      <c r="Y60" s="1483">
        <f t="shared" si="26"/>
        <v>0</v>
      </c>
      <c r="Z60" s="1486"/>
    </row>
    <row r="61" spans="1:26">
      <c r="A61" s="1414"/>
      <c r="B61" s="1415"/>
      <c r="C61" s="1405">
        <f t="shared" si="14"/>
        <v>1</v>
      </c>
      <c r="D61" s="1411"/>
      <c r="E61" s="1405">
        <f t="shared" si="15"/>
        <v>0</v>
      </c>
      <c r="F61" s="1411"/>
      <c r="G61" s="1405">
        <f t="shared" si="16"/>
        <v>1</v>
      </c>
      <c r="H61" s="1411"/>
      <c r="I61" s="1405">
        <f t="shared" si="17"/>
        <v>1</v>
      </c>
      <c r="J61" s="1411"/>
      <c r="K61" s="1405">
        <f t="shared" si="18"/>
        <v>1</v>
      </c>
      <c r="L61" s="1411"/>
      <c r="M61" s="1405">
        <f t="shared" si="19"/>
        <v>1</v>
      </c>
      <c r="N61" s="1411"/>
      <c r="O61" s="1405">
        <f t="shared" si="20"/>
        <v>1</v>
      </c>
      <c r="P61" s="1411"/>
      <c r="Q61" s="1405">
        <f t="shared" si="21"/>
        <v>0</v>
      </c>
      <c r="R61" s="1476">
        <f t="shared" si="27"/>
        <v>0</v>
      </c>
      <c r="S61" s="1358">
        <f t="shared" si="28"/>
        <v>0</v>
      </c>
      <c r="T61" s="1485">
        <f t="shared" si="29"/>
        <v>0</v>
      </c>
      <c r="U61" s="1483">
        <f t="shared" si="22"/>
        <v>0</v>
      </c>
      <c r="V61" s="1483">
        <f t="shared" si="31"/>
        <v>0</v>
      </c>
      <c r="W61" s="1486"/>
      <c r="X61" s="1483">
        <f t="shared" si="25"/>
        <v>0</v>
      </c>
      <c r="Y61" s="1483">
        <f t="shared" si="26"/>
        <v>0</v>
      </c>
      <c r="Z61" s="1486"/>
    </row>
    <row r="62" spans="1:26">
      <c r="A62" s="1414"/>
      <c r="B62" s="1415"/>
      <c r="C62" s="1405">
        <f t="shared" si="14"/>
        <v>1</v>
      </c>
      <c r="D62" s="1411"/>
      <c r="E62" s="1405">
        <f t="shared" si="15"/>
        <v>0</v>
      </c>
      <c r="F62" s="1411"/>
      <c r="G62" s="1405">
        <f t="shared" si="16"/>
        <v>1</v>
      </c>
      <c r="H62" s="1411"/>
      <c r="I62" s="1405">
        <f t="shared" si="17"/>
        <v>1</v>
      </c>
      <c r="J62" s="1411"/>
      <c r="K62" s="1405">
        <f t="shared" si="18"/>
        <v>1</v>
      </c>
      <c r="L62" s="1411"/>
      <c r="M62" s="1405">
        <f t="shared" si="19"/>
        <v>1</v>
      </c>
      <c r="N62" s="1411"/>
      <c r="O62" s="1405">
        <f t="shared" si="20"/>
        <v>1</v>
      </c>
      <c r="P62" s="1411"/>
      <c r="Q62" s="1405">
        <f t="shared" si="21"/>
        <v>0</v>
      </c>
      <c r="R62" s="1476">
        <f t="shared" si="27"/>
        <v>0</v>
      </c>
      <c r="S62" s="1358">
        <f t="shared" si="28"/>
        <v>0</v>
      </c>
      <c r="T62" s="1485">
        <f t="shared" si="29"/>
        <v>0</v>
      </c>
      <c r="U62" s="1483">
        <f t="shared" si="22"/>
        <v>0</v>
      </c>
      <c r="V62" s="1483">
        <f t="shared" si="31"/>
        <v>0</v>
      </c>
      <c r="W62" s="1486"/>
      <c r="X62" s="1483">
        <f t="shared" si="25"/>
        <v>0</v>
      </c>
      <c r="Y62" s="1483">
        <f t="shared" si="26"/>
        <v>0</v>
      </c>
      <c r="Z62" s="1486"/>
    </row>
    <row r="63" spans="1:26">
      <c r="A63" s="1414"/>
      <c r="B63" s="1415"/>
      <c r="C63" s="1405">
        <f t="shared" si="14"/>
        <v>1</v>
      </c>
      <c r="D63" s="1411"/>
      <c r="E63" s="1405">
        <f t="shared" si="15"/>
        <v>0</v>
      </c>
      <c r="F63" s="1411"/>
      <c r="G63" s="1405">
        <f t="shared" si="16"/>
        <v>1</v>
      </c>
      <c r="H63" s="1411"/>
      <c r="I63" s="1405">
        <f t="shared" si="17"/>
        <v>1</v>
      </c>
      <c r="J63" s="1411"/>
      <c r="K63" s="1405">
        <f t="shared" si="18"/>
        <v>1</v>
      </c>
      <c r="L63" s="1411"/>
      <c r="M63" s="1405">
        <f t="shared" si="19"/>
        <v>1</v>
      </c>
      <c r="N63" s="1411"/>
      <c r="O63" s="1405">
        <f t="shared" si="20"/>
        <v>1</v>
      </c>
      <c r="P63" s="1411"/>
      <c r="Q63" s="1405">
        <f t="shared" si="21"/>
        <v>0</v>
      </c>
      <c r="R63" s="1476">
        <f t="shared" si="27"/>
        <v>0</v>
      </c>
      <c r="S63" s="1358">
        <f t="shared" si="28"/>
        <v>0</v>
      </c>
      <c r="T63" s="1485">
        <f t="shared" si="29"/>
        <v>0</v>
      </c>
      <c r="U63" s="1483">
        <f t="shared" si="22"/>
        <v>0</v>
      </c>
      <c r="V63" s="1483">
        <f t="shared" si="31"/>
        <v>0</v>
      </c>
      <c r="W63" s="1486"/>
      <c r="X63" s="1483">
        <f t="shared" si="25"/>
        <v>0</v>
      </c>
      <c r="Y63" s="1483">
        <f t="shared" si="26"/>
        <v>0</v>
      </c>
      <c r="Z63" s="1486"/>
    </row>
    <row r="64" spans="1:26">
      <c r="A64" s="1414"/>
      <c r="B64" s="1415"/>
      <c r="C64" s="1405">
        <f t="shared" si="14"/>
        <v>1</v>
      </c>
      <c r="D64" s="1411"/>
      <c r="E64" s="1405">
        <f t="shared" si="15"/>
        <v>0</v>
      </c>
      <c r="F64" s="1411"/>
      <c r="G64" s="1405">
        <f t="shared" si="16"/>
        <v>1</v>
      </c>
      <c r="H64" s="1411"/>
      <c r="I64" s="1405">
        <f t="shared" si="17"/>
        <v>1</v>
      </c>
      <c r="J64" s="1411"/>
      <c r="K64" s="1405">
        <f t="shared" si="18"/>
        <v>1</v>
      </c>
      <c r="L64" s="1411"/>
      <c r="M64" s="1405">
        <f t="shared" si="19"/>
        <v>1</v>
      </c>
      <c r="N64" s="1411"/>
      <c r="O64" s="1405">
        <f t="shared" si="20"/>
        <v>1</v>
      </c>
      <c r="P64" s="1411"/>
      <c r="Q64" s="1405">
        <f t="shared" si="21"/>
        <v>0</v>
      </c>
      <c r="R64" s="1476">
        <f t="shared" si="27"/>
        <v>0</v>
      </c>
      <c r="S64" s="1358">
        <f t="shared" si="28"/>
        <v>0</v>
      </c>
      <c r="T64" s="1485">
        <f t="shared" si="29"/>
        <v>0</v>
      </c>
      <c r="U64" s="1483">
        <f t="shared" si="22"/>
        <v>0</v>
      </c>
      <c r="V64" s="1483">
        <f t="shared" si="31"/>
        <v>0</v>
      </c>
      <c r="W64" s="1486"/>
      <c r="X64" s="1483">
        <f t="shared" si="25"/>
        <v>0</v>
      </c>
      <c r="Y64" s="1483">
        <f t="shared" si="26"/>
        <v>0</v>
      </c>
      <c r="Z64" s="1486"/>
    </row>
    <row r="65" spans="1:26">
      <c r="A65" s="1414"/>
      <c r="B65" s="1415"/>
      <c r="C65" s="1405">
        <f t="shared" si="14"/>
        <v>1</v>
      </c>
      <c r="D65" s="1411"/>
      <c r="E65" s="1405">
        <f t="shared" si="15"/>
        <v>0</v>
      </c>
      <c r="F65" s="1411"/>
      <c r="G65" s="1405">
        <f t="shared" si="16"/>
        <v>1</v>
      </c>
      <c r="H65" s="1411"/>
      <c r="I65" s="1405">
        <f t="shared" si="17"/>
        <v>1</v>
      </c>
      <c r="J65" s="1411"/>
      <c r="K65" s="1405">
        <f t="shared" si="18"/>
        <v>1</v>
      </c>
      <c r="L65" s="1411"/>
      <c r="M65" s="1405">
        <f t="shared" si="19"/>
        <v>1</v>
      </c>
      <c r="N65" s="1411"/>
      <c r="O65" s="1405">
        <f t="shared" si="20"/>
        <v>1</v>
      </c>
      <c r="P65" s="1411"/>
      <c r="Q65" s="1405">
        <f t="shared" si="21"/>
        <v>0</v>
      </c>
      <c r="R65" s="1476">
        <f t="shared" si="27"/>
        <v>0</v>
      </c>
      <c r="S65" s="1358">
        <f t="shared" si="28"/>
        <v>0</v>
      </c>
      <c r="T65" s="1485">
        <f t="shared" si="29"/>
        <v>0</v>
      </c>
      <c r="U65" s="1483">
        <f t="shared" si="22"/>
        <v>0</v>
      </c>
      <c r="V65" s="1483">
        <f t="shared" si="31"/>
        <v>0</v>
      </c>
      <c r="W65" s="1486"/>
      <c r="X65" s="1483">
        <f t="shared" si="25"/>
        <v>0</v>
      </c>
      <c r="Y65" s="1483">
        <f t="shared" si="26"/>
        <v>0</v>
      </c>
      <c r="Z65" s="1486"/>
    </row>
    <row r="66" spans="1:26">
      <c r="A66" s="1414"/>
      <c r="B66" s="1415"/>
      <c r="C66" s="1405">
        <f t="shared" si="14"/>
        <v>1</v>
      </c>
      <c r="D66" s="1411"/>
      <c r="E66" s="1405">
        <f t="shared" si="15"/>
        <v>0</v>
      </c>
      <c r="F66" s="1411"/>
      <c r="G66" s="1405">
        <f t="shared" si="16"/>
        <v>1</v>
      </c>
      <c r="H66" s="1411"/>
      <c r="I66" s="1405">
        <f t="shared" si="17"/>
        <v>1</v>
      </c>
      <c r="J66" s="1411"/>
      <c r="K66" s="1405">
        <f t="shared" si="18"/>
        <v>1</v>
      </c>
      <c r="L66" s="1411"/>
      <c r="M66" s="1405">
        <f t="shared" si="19"/>
        <v>1</v>
      </c>
      <c r="N66" s="1411"/>
      <c r="O66" s="1405">
        <f t="shared" si="20"/>
        <v>1</v>
      </c>
      <c r="P66" s="1411"/>
      <c r="Q66" s="1405">
        <f t="shared" si="21"/>
        <v>0</v>
      </c>
      <c r="R66" s="1476">
        <f t="shared" si="27"/>
        <v>0</v>
      </c>
      <c r="S66" s="1358">
        <f t="shared" si="28"/>
        <v>0</v>
      </c>
      <c r="T66" s="1485">
        <f t="shared" si="29"/>
        <v>0</v>
      </c>
      <c r="U66" s="1483">
        <f t="shared" si="22"/>
        <v>0</v>
      </c>
      <c r="V66" s="1483">
        <f t="shared" si="31"/>
        <v>0</v>
      </c>
      <c r="W66" s="1486"/>
      <c r="X66" s="1483">
        <f t="shared" si="25"/>
        <v>0</v>
      </c>
      <c r="Y66" s="1483">
        <f t="shared" si="26"/>
        <v>0</v>
      </c>
      <c r="Z66" s="1486"/>
    </row>
    <row r="67" spans="1:26">
      <c r="A67" s="1414"/>
      <c r="B67" s="1415"/>
      <c r="C67" s="1405">
        <f t="shared" si="14"/>
        <v>1</v>
      </c>
      <c r="D67" s="1411"/>
      <c r="E67" s="1405">
        <f t="shared" si="15"/>
        <v>0</v>
      </c>
      <c r="F67" s="1411"/>
      <c r="G67" s="1405">
        <f t="shared" si="16"/>
        <v>1</v>
      </c>
      <c r="H67" s="1411"/>
      <c r="I67" s="1405">
        <f t="shared" si="17"/>
        <v>1</v>
      </c>
      <c r="J67" s="1411"/>
      <c r="K67" s="1405">
        <f t="shared" si="18"/>
        <v>1</v>
      </c>
      <c r="L67" s="1411"/>
      <c r="M67" s="1405">
        <f t="shared" si="19"/>
        <v>1</v>
      </c>
      <c r="N67" s="1411"/>
      <c r="O67" s="1405">
        <f t="shared" si="20"/>
        <v>1</v>
      </c>
      <c r="P67" s="1411"/>
      <c r="Q67" s="1405">
        <f t="shared" si="21"/>
        <v>0</v>
      </c>
      <c r="R67" s="1476">
        <f t="shared" si="27"/>
        <v>0</v>
      </c>
      <c r="S67" s="1358">
        <f t="shared" si="28"/>
        <v>0</v>
      </c>
      <c r="T67" s="1485">
        <f t="shared" si="29"/>
        <v>0</v>
      </c>
      <c r="U67" s="1483">
        <f t="shared" si="22"/>
        <v>0</v>
      </c>
      <c r="V67" s="1483">
        <f t="shared" si="31"/>
        <v>0</v>
      </c>
      <c r="W67" s="1486"/>
      <c r="X67" s="1483">
        <f t="shared" si="25"/>
        <v>0</v>
      </c>
      <c r="Y67" s="1483">
        <f t="shared" si="26"/>
        <v>0</v>
      </c>
      <c r="Z67" s="1486"/>
    </row>
    <row r="68" spans="1:26">
      <c r="A68" s="1414"/>
      <c r="B68" s="1415"/>
      <c r="C68" s="1405">
        <f t="shared" si="14"/>
        <v>1</v>
      </c>
      <c r="D68" s="1411"/>
      <c r="E68" s="1405">
        <f t="shared" si="15"/>
        <v>0</v>
      </c>
      <c r="F68" s="1411"/>
      <c r="G68" s="1405">
        <f t="shared" si="16"/>
        <v>1</v>
      </c>
      <c r="H68" s="1411"/>
      <c r="I68" s="1405">
        <f t="shared" si="17"/>
        <v>1</v>
      </c>
      <c r="J68" s="1411"/>
      <c r="K68" s="1405">
        <f t="shared" si="18"/>
        <v>1</v>
      </c>
      <c r="L68" s="1411"/>
      <c r="M68" s="1405">
        <f t="shared" si="19"/>
        <v>1</v>
      </c>
      <c r="N68" s="1411"/>
      <c r="O68" s="1405">
        <f t="shared" si="20"/>
        <v>1</v>
      </c>
      <c r="P68" s="1411"/>
      <c r="Q68" s="1405">
        <f t="shared" si="21"/>
        <v>0</v>
      </c>
      <c r="R68" s="1476">
        <f t="shared" si="27"/>
        <v>0</v>
      </c>
      <c r="S68" s="1358">
        <f t="shared" si="28"/>
        <v>0</v>
      </c>
      <c r="T68" s="1485">
        <f t="shared" si="29"/>
        <v>0</v>
      </c>
      <c r="U68" s="1483">
        <f t="shared" si="22"/>
        <v>0</v>
      </c>
      <c r="V68" s="1483">
        <f t="shared" si="31"/>
        <v>0</v>
      </c>
      <c r="W68" s="1486"/>
      <c r="X68" s="1483">
        <f t="shared" si="25"/>
        <v>0</v>
      </c>
      <c r="Y68" s="1483">
        <f t="shared" si="26"/>
        <v>0</v>
      </c>
      <c r="Z68" s="1486"/>
    </row>
    <row r="69" spans="1:26">
      <c r="A69" s="1414"/>
      <c r="B69" s="1415"/>
      <c r="C69" s="1405">
        <f t="shared" si="14"/>
        <v>1</v>
      </c>
      <c r="D69" s="1411"/>
      <c r="E69" s="1405">
        <f t="shared" si="15"/>
        <v>0</v>
      </c>
      <c r="F69" s="1411"/>
      <c r="G69" s="1405">
        <f t="shared" si="16"/>
        <v>1</v>
      </c>
      <c r="H69" s="1411"/>
      <c r="I69" s="1405">
        <f t="shared" si="17"/>
        <v>1</v>
      </c>
      <c r="J69" s="1411"/>
      <c r="K69" s="1405">
        <f t="shared" si="18"/>
        <v>1</v>
      </c>
      <c r="L69" s="1411"/>
      <c r="M69" s="1405">
        <f t="shared" si="19"/>
        <v>1</v>
      </c>
      <c r="N69" s="1411"/>
      <c r="O69" s="1405">
        <f t="shared" si="20"/>
        <v>1</v>
      </c>
      <c r="P69" s="1411"/>
      <c r="Q69" s="1405">
        <f t="shared" si="21"/>
        <v>0</v>
      </c>
      <c r="R69" s="1476">
        <f t="shared" si="27"/>
        <v>0</v>
      </c>
      <c r="S69" s="1358">
        <f t="shared" si="28"/>
        <v>0</v>
      </c>
      <c r="T69" s="1485">
        <f t="shared" si="29"/>
        <v>0</v>
      </c>
      <c r="U69" s="1483">
        <f t="shared" si="22"/>
        <v>0</v>
      </c>
      <c r="V69" s="1483">
        <f t="shared" si="31"/>
        <v>0</v>
      </c>
      <c r="W69" s="1486"/>
      <c r="X69" s="1483">
        <f t="shared" si="25"/>
        <v>0</v>
      </c>
      <c r="Y69" s="1483">
        <f t="shared" si="26"/>
        <v>0</v>
      </c>
      <c r="Z69" s="1486"/>
    </row>
    <row r="70" spans="1:26">
      <c r="A70" s="1414"/>
      <c r="B70" s="1415"/>
      <c r="C70" s="1405">
        <f t="shared" si="14"/>
        <v>1</v>
      </c>
      <c r="D70" s="1411"/>
      <c r="E70" s="1405">
        <f t="shared" si="15"/>
        <v>0</v>
      </c>
      <c r="F70" s="1411"/>
      <c r="G70" s="1405">
        <f t="shared" si="16"/>
        <v>1</v>
      </c>
      <c r="H70" s="1411"/>
      <c r="I70" s="1405">
        <f t="shared" si="17"/>
        <v>1</v>
      </c>
      <c r="J70" s="1411"/>
      <c r="K70" s="1405">
        <f t="shared" si="18"/>
        <v>1</v>
      </c>
      <c r="L70" s="1411"/>
      <c r="M70" s="1405">
        <f t="shared" si="19"/>
        <v>1</v>
      </c>
      <c r="N70" s="1411"/>
      <c r="O70" s="1405">
        <f t="shared" si="20"/>
        <v>1</v>
      </c>
      <c r="P70" s="1411"/>
      <c r="Q70" s="1405">
        <f t="shared" si="21"/>
        <v>0</v>
      </c>
      <c r="R70" s="1476">
        <f t="shared" si="27"/>
        <v>0</v>
      </c>
      <c r="S70" s="1358">
        <f t="shared" si="28"/>
        <v>0</v>
      </c>
      <c r="T70" s="1485">
        <f t="shared" si="29"/>
        <v>0</v>
      </c>
      <c r="U70" s="1483">
        <f t="shared" si="22"/>
        <v>0</v>
      </c>
      <c r="V70" s="1483">
        <f t="shared" si="31"/>
        <v>0</v>
      </c>
      <c r="W70" s="1486"/>
      <c r="X70" s="1483">
        <f t="shared" si="25"/>
        <v>0</v>
      </c>
      <c r="Y70" s="1483">
        <f t="shared" si="26"/>
        <v>0</v>
      </c>
      <c r="Z70" s="1486"/>
    </row>
    <row r="71" spans="1:26">
      <c r="A71" s="1414"/>
      <c r="B71" s="1415"/>
      <c r="C71" s="1405">
        <f t="shared" si="14"/>
        <v>1</v>
      </c>
      <c r="D71" s="1411"/>
      <c r="E71" s="1405">
        <f t="shared" si="15"/>
        <v>0</v>
      </c>
      <c r="F71" s="1411"/>
      <c r="G71" s="1405">
        <f t="shared" si="16"/>
        <v>1</v>
      </c>
      <c r="H71" s="1411"/>
      <c r="I71" s="1405">
        <f t="shared" si="17"/>
        <v>1</v>
      </c>
      <c r="J71" s="1411"/>
      <c r="K71" s="1405">
        <f t="shared" si="18"/>
        <v>1</v>
      </c>
      <c r="L71" s="1411"/>
      <c r="M71" s="1405">
        <f t="shared" si="19"/>
        <v>1</v>
      </c>
      <c r="N71" s="1411"/>
      <c r="O71" s="1405">
        <f t="shared" si="20"/>
        <v>1</v>
      </c>
      <c r="P71" s="1411"/>
      <c r="Q71" s="1405">
        <f t="shared" si="21"/>
        <v>0</v>
      </c>
      <c r="R71" s="1476">
        <f t="shared" si="27"/>
        <v>0</v>
      </c>
      <c r="S71" s="1358">
        <f t="shared" si="28"/>
        <v>0</v>
      </c>
      <c r="T71" s="1485">
        <f t="shared" si="29"/>
        <v>0</v>
      </c>
      <c r="U71" s="1483">
        <f t="shared" si="22"/>
        <v>0</v>
      </c>
      <c r="V71" s="1483">
        <f t="shared" si="31"/>
        <v>0</v>
      </c>
      <c r="W71" s="1486"/>
      <c r="X71" s="1483">
        <f t="shared" si="25"/>
        <v>0</v>
      </c>
      <c r="Y71" s="1483">
        <f t="shared" si="26"/>
        <v>0</v>
      </c>
      <c r="Z71" s="1486"/>
    </row>
    <row r="72" spans="1:26">
      <c r="A72" s="1414"/>
      <c r="B72" s="1415"/>
      <c r="C72" s="1405">
        <f t="shared" si="14"/>
        <v>1</v>
      </c>
      <c r="D72" s="1411"/>
      <c r="E72" s="1405">
        <f t="shared" si="15"/>
        <v>0</v>
      </c>
      <c r="F72" s="1411"/>
      <c r="G72" s="1405">
        <f t="shared" si="16"/>
        <v>1</v>
      </c>
      <c r="H72" s="1411"/>
      <c r="I72" s="1405">
        <f t="shared" si="17"/>
        <v>1</v>
      </c>
      <c r="J72" s="1411"/>
      <c r="K72" s="1405">
        <f t="shared" si="18"/>
        <v>1</v>
      </c>
      <c r="L72" s="1411"/>
      <c r="M72" s="1405">
        <f t="shared" si="19"/>
        <v>1</v>
      </c>
      <c r="N72" s="1411"/>
      <c r="O72" s="1405">
        <f t="shared" si="20"/>
        <v>1</v>
      </c>
      <c r="P72" s="1411"/>
      <c r="Q72" s="1405">
        <f t="shared" si="21"/>
        <v>0</v>
      </c>
      <c r="R72" s="1476">
        <f t="shared" si="27"/>
        <v>0</v>
      </c>
      <c r="S72" s="1358">
        <f t="shared" si="28"/>
        <v>0</v>
      </c>
      <c r="T72" s="1485">
        <f t="shared" si="29"/>
        <v>0</v>
      </c>
      <c r="U72" s="1483">
        <f t="shared" si="22"/>
        <v>0</v>
      </c>
      <c r="V72" s="1483">
        <f t="shared" si="31"/>
        <v>0</v>
      </c>
      <c r="W72" s="1486"/>
      <c r="X72" s="1483">
        <f t="shared" si="25"/>
        <v>0</v>
      </c>
      <c r="Y72" s="1483">
        <f t="shared" si="26"/>
        <v>0</v>
      </c>
      <c r="Z72" s="1486"/>
    </row>
    <row r="73" spans="1:26">
      <c r="A73" s="1414"/>
      <c r="B73" s="1415"/>
      <c r="C73" s="1405">
        <f t="shared" si="14"/>
        <v>1</v>
      </c>
      <c r="D73" s="1411"/>
      <c r="E73" s="1405">
        <f t="shared" si="15"/>
        <v>0</v>
      </c>
      <c r="F73" s="1411"/>
      <c r="G73" s="1405">
        <f t="shared" si="16"/>
        <v>1</v>
      </c>
      <c r="H73" s="1411"/>
      <c r="I73" s="1405">
        <f t="shared" si="17"/>
        <v>1</v>
      </c>
      <c r="J73" s="1411"/>
      <c r="K73" s="1405">
        <f t="shared" si="18"/>
        <v>1</v>
      </c>
      <c r="L73" s="1411"/>
      <c r="M73" s="1405">
        <f t="shared" si="19"/>
        <v>1</v>
      </c>
      <c r="N73" s="1411"/>
      <c r="O73" s="1405">
        <f t="shared" si="20"/>
        <v>1</v>
      </c>
      <c r="P73" s="1411"/>
      <c r="Q73" s="1405">
        <f t="shared" si="21"/>
        <v>0</v>
      </c>
      <c r="R73" s="1476">
        <f t="shared" si="27"/>
        <v>0</v>
      </c>
      <c r="S73" s="1358">
        <f t="shared" si="28"/>
        <v>0</v>
      </c>
      <c r="T73" s="1485">
        <f t="shared" si="29"/>
        <v>0</v>
      </c>
      <c r="U73" s="1483">
        <f t="shared" si="22"/>
        <v>0</v>
      </c>
      <c r="V73" s="1483">
        <f t="shared" si="31"/>
        <v>0</v>
      </c>
      <c r="W73" s="1486"/>
      <c r="X73" s="1483">
        <f t="shared" si="25"/>
        <v>0</v>
      </c>
      <c r="Y73" s="1483">
        <f t="shared" si="26"/>
        <v>0</v>
      </c>
      <c r="Z73" s="1486"/>
    </row>
    <row r="74" spans="1:26">
      <c r="A74" s="1414"/>
      <c r="B74" s="1415"/>
      <c r="C74" s="1405">
        <f t="shared" si="14"/>
        <v>1</v>
      </c>
      <c r="D74" s="1411"/>
      <c r="E74" s="1405">
        <f t="shared" si="15"/>
        <v>0</v>
      </c>
      <c r="F74" s="1411"/>
      <c r="G74" s="1405">
        <f t="shared" si="16"/>
        <v>1</v>
      </c>
      <c r="H74" s="1411"/>
      <c r="I74" s="1405">
        <f t="shared" si="17"/>
        <v>1</v>
      </c>
      <c r="J74" s="1411"/>
      <c r="K74" s="1405">
        <f t="shared" si="18"/>
        <v>1</v>
      </c>
      <c r="L74" s="1411"/>
      <c r="M74" s="1405">
        <f t="shared" si="19"/>
        <v>1</v>
      </c>
      <c r="N74" s="1411"/>
      <c r="O74" s="1405">
        <f t="shared" si="20"/>
        <v>1</v>
      </c>
      <c r="P74" s="1411"/>
      <c r="Q74" s="1405">
        <f t="shared" si="21"/>
        <v>0</v>
      </c>
      <c r="R74" s="1476">
        <f t="shared" si="27"/>
        <v>0</v>
      </c>
      <c r="S74" s="1358">
        <f t="shared" si="28"/>
        <v>0</v>
      </c>
      <c r="T74" s="1485">
        <f t="shared" si="29"/>
        <v>0</v>
      </c>
      <c r="U74" s="1483">
        <f t="shared" si="22"/>
        <v>0</v>
      </c>
      <c r="V74" s="1483">
        <f t="shared" si="31"/>
        <v>0</v>
      </c>
      <c r="W74" s="1486"/>
      <c r="X74" s="1483">
        <f t="shared" si="25"/>
        <v>0</v>
      </c>
      <c r="Y74" s="1483">
        <f t="shared" si="26"/>
        <v>0</v>
      </c>
      <c r="Z74" s="1486"/>
    </row>
    <row r="75" spans="1:26">
      <c r="A75" s="1414"/>
      <c r="B75" s="1415"/>
      <c r="C75" s="1405">
        <f t="shared" si="14"/>
        <v>1</v>
      </c>
      <c r="D75" s="1411"/>
      <c r="E75" s="1405">
        <f t="shared" si="15"/>
        <v>0</v>
      </c>
      <c r="F75" s="1411"/>
      <c r="G75" s="1405">
        <f t="shared" si="16"/>
        <v>1</v>
      </c>
      <c r="H75" s="1411"/>
      <c r="I75" s="1405">
        <f t="shared" si="17"/>
        <v>1</v>
      </c>
      <c r="J75" s="1411"/>
      <c r="K75" s="1405">
        <f t="shared" si="18"/>
        <v>1</v>
      </c>
      <c r="L75" s="1411"/>
      <c r="M75" s="1405">
        <f t="shared" si="19"/>
        <v>1</v>
      </c>
      <c r="N75" s="1411"/>
      <c r="O75" s="1405">
        <f t="shared" si="20"/>
        <v>1</v>
      </c>
      <c r="P75" s="1411"/>
      <c r="Q75" s="1405">
        <f t="shared" si="21"/>
        <v>0</v>
      </c>
      <c r="R75" s="1476">
        <f t="shared" si="27"/>
        <v>0</v>
      </c>
      <c r="S75" s="1358">
        <f t="shared" si="28"/>
        <v>0</v>
      </c>
      <c r="T75" s="1485">
        <f t="shared" si="29"/>
        <v>0</v>
      </c>
      <c r="U75" s="1483">
        <f t="shared" si="22"/>
        <v>0</v>
      </c>
      <c r="V75" s="1483">
        <f t="shared" si="31"/>
        <v>0</v>
      </c>
      <c r="W75" s="1486"/>
      <c r="X75" s="1483">
        <f t="shared" si="25"/>
        <v>0</v>
      </c>
      <c r="Y75" s="1483">
        <f t="shared" si="26"/>
        <v>0</v>
      </c>
      <c r="Z75" s="1486"/>
    </row>
    <row r="76" spans="1:26">
      <c r="A76" s="1414"/>
      <c r="B76" s="1415"/>
      <c r="C76" s="1405">
        <f t="shared" si="14"/>
        <v>1</v>
      </c>
      <c r="D76" s="1411"/>
      <c r="E76" s="1405">
        <f t="shared" si="15"/>
        <v>0</v>
      </c>
      <c r="F76" s="1411"/>
      <c r="G76" s="1405">
        <f t="shared" si="16"/>
        <v>1</v>
      </c>
      <c r="H76" s="1411"/>
      <c r="I76" s="1405">
        <f t="shared" si="17"/>
        <v>1</v>
      </c>
      <c r="J76" s="1411"/>
      <c r="K76" s="1405">
        <f t="shared" si="18"/>
        <v>1</v>
      </c>
      <c r="L76" s="1411"/>
      <c r="M76" s="1405">
        <f t="shared" si="19"/>
        <v>1</v>
      </c>
      <c r="N76" s="1411"/>
      <c r="O76" s="1405">
        <f t="shared" si="20"/>
        <v>1</v>
      </c>
      <c r="P76" s="1411"/>
      <c r="Q76" s="1405">
        <f t="shared" si="21"/>
        <v>0</v>
      </c>
      <c r="R76" s="1476">
        <f t="shared" si="27"/>
        <v>0</v>
      </c>
      <c r="S76" s="1358">
        <f t="shared" si="28"/>
        <v>0</v>
      </c>
      <c r="T76" s="1485">
        <f t="shared" si="29"/>
        <v>0</v>
      </c>
      <c r="U76" s="1483">
        <f t="shared" si="22"/>
        <v>0</v>
      </c>
      <c r="V76" s="1483">
        <f t="shared" si="31"/>
        <v>0</v>
      </c>
      <c r="W76" s="1486"/>
      <c r="X76" s="1483">
        <f t="shared" si="25"/>
        <v>0</v>
      </c>
      <c r="Y76" s="1483">
        <f t="shared" si="26"/>
        <v>0</v>
      </c>
      <c r="Z76" s="1486"/>
    </row>
    <row r="77" spans="1:26">
      <c r="A77" s="1414"/>
      <c r="B77" s="1415"/>
      <c r="C77" s="1405">
        <f t="shared" si="14"/>
        <v>1</v>
      </c>
      <c r="D77" s="1411"/>
      <c r="E77" s="1405">
        <f t="shared" si="15"/>
        <v>0</v>
      </c>
      <c r="F77" s="1411"/>
      <c r="G77" s="1405">
        <f t="shared" si="16"/>
        <v>1</v>
      </c>
      <c r="H77" s="1411"/>
      <c r="I77" s="1405">
        <f t="shared" si="17"/>
        <v>1</v>
      </c>
      <c r="J77" s="1411"/>
      <c r="K77" s="1405">
        <f t="shared" si="18"/>
        <v>1</v>
      </c>
      <c r="L77" s="1411"/>
      <c r="M77" s="1405">
        <f t="shared" si="19"/>
        <v>1</v>
      </c>
      <c r="N77" s="1411"/>
      <c r="O77" s="1405">
        <f t="shared" si="20"/>
        <v>1</v>
      </c>
      <c r="P77" s="1411"/>
      <c r="Q77" s="1405">
        <f t="shared" si="21"/>
        <v>0</v>
      </c>
      <c r="R77" s="1476">
        <f t="shared" si="27"/>
        <v>0</v>
      </c>
      <c r="S77" s="1358">
        <f t="shared" si="28"/>
        <v>0</v>
      </c>
      <c r="T77" s="1485">
        <f t="shared" si="29"/>
        <v>0</v>
      </c>
      <c r="U77" s="1483">
        <f t="shared" si="22"/>
        <v>0</v>
      </c>
      <c r="V77" s="1483">
        <f t="shared" si="31"/>
        <v>0</v>
      </c>
      <c r="W77" s="1486"/>
      <c r="X77" s="1483">
        <f t="shared" si="25"/>
        <v>0</v>
      </c>
      <c r="Y77" s="1483">
        <f t="shared" si="26"/>
        <v>0</v>
      </c>
      <c r="Z77" s="1486"/>
    </row>
    <row r="78" spans="1:26">
      <c r="A78" s="1414"/>
      <c r="B78" s="1415"/>
      <c r="C78" s="1405">
        <f t="shared" si="14"/>
        <v>1</v>
      </c>
      <c r="D78" s="1411"/>
      <c r="E78" s="1405">
        <f t="shared" si="15"/>
        <v>0</v>
      </c>
      <c r="F78" s="1411"/>
      <c r="G78" s="1405">
        <f t="shared" si="16"/>
        <v>1</v>
      </c>
      <c r="H78" s="1411"/>
      <c r="I78" s="1405">
        <f t="shared" si="17"/>
        <v>1</v>
      </c>
      <c r="J78" s="1411"/>
      <c r="K78" s="1405">
        <f t="shared" si="18"/>
        <v>1</v>
      </c>
      <c r="L78" s="1411"/>
      <c r="M78" s="1405">
        <f t="shared" si="19"/>
        <v>1</v>
      </c>
      <c r="N78" s="1411"/>
      <c r="O78" s="1405">
        <f t="shared" si="20"/>
        <v>1</v>
      </c>
      <c r="P78" s="1411"/>
      <c r="Q78" s="1405">
        <f t="shared" si="21"/>
        <v>0</v>
      </c>
      <c r="R78" s="1476">
        <f t="shared" si="27"/>
        <v>0</v>
      </c>
      <c r="S78" s="1358">
        <f t="shared" si="28"/>
        <v>0</v>
      </c>
      <c r="T78" s="1485">
        <f t="shared" si="29"/>
        <v>0</v>
      </c>
      <c r="U78" s="1483">
        <f t="shared" si="22"/>
        <v>0</v>
      </c>
      <c r="V78" s="1483">
        <f t="shared" si="31"/>
        <v>0</v>
      </c>
      <c r="W78" s="1486"/>
      <c r="X78" s="1483">
        <f t="shared" si="25"/>
        <v>0</v>
      </c>
      <c r="Y78" s="1483">
        <f t="shared" si="26"/>
        <v>0</v>
      </c>
      <c r="Z78" s="1486"/>
    </row>
    <row r="79" spans="1:26">
      <c r="A79" s="1414"/>
      <c r="B79" s="1415"/>
      <c r="C79" s="1405">
        <f t="shared" si="14"/>
        <v>1</v>
      </c>
      <c r="D79" s="1411"/>
      <c r="E79" s="1405">
        <f t="shared" si="15"/>
        <v>0</v>
      </c>
      <c r="F79" s="1411"/>
      <c r="G79" s="1405">
        <f t="shared" si="16"/>
        <v>1</v>
      </c>
      <c r="H79" s="1411"/>
      <c r="I79" s="1405">
        <f t="shared" si="17"/>
        <v>1</v>
      </c>
      <c r="J79" s="1411"/>
      <c r="K79" s="1405">
        <f t="shared" si="18"/>
        <v>1</v>
      </c>
      <c r="L79" s="1411"/>
      <c r="M79" s="1405">
        <f t="shared" si="19"/>
        <v>1</v>
      </c>
      <c r="N79" s="1411"/>
      <c r="O79" s="1405">
        <f t="shared" si="20"/>
        <v>1</v>
      </c>
      <c r="P79" s="1411"/>
      <c r="Q79" s="1405">
        <f t="shared" si="21"/>
        <v>0</v>
      </c>
      <c r="R79" s="1476">
        <f t="shared" si="27"/>
        <v>0</v>
      </c>
      <c r="S79" s="1358">
        <f t="shared" si="28"/>
        <v>0</v>
      </c>
      <c r="T79" s="1485">
        <f t="shared" si="29"/>
        <v>0</v>
      </c>
      <c r="U79" s="1483">
        <f t="shared" si="22"/>
        <v>0</v>
      </c>
      <c r="V79" s="1483">
        <f t="shared" si="31"/>
        <v>0</v>
      </c>
      <c r="W79" s="1486"/>
      <c r="X79" s="1483">
        <f t="shared" si="25"/>
        <v>0</v>
      </c>
      <c r="Y79" s="1483">
        <f t="shared" si="26"/>
        <v>0</v>
      </c>
      <c r="Z79" s="1486"/>
    </row>
    <row r="80" spans="1:26">
      <c r="A80" s="1414"/>
      <c r="B80" s="1415"/>
      <c r="C80" s="1405">
        <f t="shared" si="14"/>
        <v>1</v>
      </c>
      <c r="D80" s="1411"/>
      <c r="E80" s="1405">
        <f t="shared" si="15"/>
        <v>0</v>
      </c>
      <c r="F80" s="1411"/>
      <c r="G80" s="1405">
        <f t="shared" si="16"/>
        <v>1</v>
      </c>
      <c r="H80" s="1411"/>
      <c r="I80" s="1405">
        <f t="shared" si="17"/>
        <v>1</v>
      </c>
      <c r="J80" s="1411"/>
      <c r="K80" s="1405">
        <f t="shared" si="18"/>
        <v>1</v>
      </c>
      <c r="L80" s="1411"/>
      <c r="M80" s="1405">
        <f t="shared" si="19"/>
        <v>1</v>
      </c>
      <c r="N80" s="1411"/>
      <c r="O80" s="1405">
        <f t="shared" si="20"/>
        <v>1</v>
      </c>
      <c r="P80" s="1411"/>
      <c r="Q80" s="1405">
        <f t="shared" si="21"/>
        <v>0</v>
      </c>
      <c r="R80" s="1476">
        <f t="shared" si="27"/>
        <v>0</v>
      </c>
      <c r="S80" s="1358">
        <f t="shared" si="28"/>
        <v>0</v>
      </c>
      <c r="T80" s="1485">
        <f t="shared" si="29"/>
        <v>0</v>
      </c>
      <c r="U80" s="1483">
        <f t="shared" si="22"/>
        <v>0</v>
      </c>
      <c r="V80" s="1483">
        <f t="shared" si="31"/>
        <v>0</v>
      </c>
      <c r="W80" s="1486"/>
      <c r="X80" s="1483">
        <f t="shared" si="25"/>
        <v>0</v>
      </c>
      <c r="Y80" s="1483">
        <f t="shared" si="26"/>
        <v>0</v>
      </c>
      <c r="Z80" s="1486"/>
    </row>
    <row r="81" spans="1:26">
      <c r="A81" s="1414"/>
      <c r="B81" s="1415"/>
      <c r="C81" s="1405">
        <f t="shared" si="14"/>
        <v>1</v>
      </c>
      <c r="D81" s="1411"/>
      <c r="E81" s="1405">
        <f t="shared" si="15"/>
        <v>0</v>
      </c>
      <c r="F81" s="1411"/>
      <c r="G81" s="1405">
        <f t="shared" si="16"/>
        <v>1</v>
      </c>
      <c r="H81" s="1411"/>
      <c r="I81" s="1405">
        <f t="shared" si="17"/>
        <v>1</v>
      </c>
      <c r="J81" s="1411"/>
      <c r="K81" s="1405">
        <f t="shared" si="18"/>
        <v>1</v>
      </c>
      <c r="L81" s="1411"/>
      <c r="M81" s="1405">
        <f t="shared" si="19"/>
        <v>1</v>
      </c>
      <c r="N81" s="1411"/>
      <c r="O81" s="1405">
        <f t="shared" si="20"/>
        <v>1</v>
      </c>
      <c r="P81" s="1411"/>
      <c r="Q81" s="1405">
        <f t="shared" si="21"/>
        <v>0</v>
      </c>
      <c r="R81" s="1476">
        <f t="shared" si="27"/>
        <v>0</v>
      </c>
      <c r="S81" s="1358">
        <f t="shared" si="28"/>
        <v>0</v>
      </c>
      <c r="T81" s="1485">
        <f t="shared" si="29"/>
        <v>0</v>
      </c>
      <c r="U81" s="1483">
        <f t="shared" si="22"/>
        <v>0</v>
      </c>
      <c r="V81" s="1483">
        <f t="shared" si="31"/>
        <v>0</v>
      </c>
      <c r="W81" s="1486"/>
      <c r="X81" s="1483">
        <f t="shared" si="25"/>
        <v>0</v>
      </c>
      <c r="Y81" s="1483">
        <f t="shared" si="26"/>
        <v>0</v>
      </c>
      <c r="Z81" s="1486"/>
    </row>
    <row r="82" spans="1:26">
      <c r="A82" s="1414"/>
      <c r="B82" s="1415"/>
      <c r="C82" s="1405">
        <f t="shared" si="14"/>
        <v>1</v>
      </c>
      <c r="D82" s="1411"/>
      <c r="E82" s="1405">
        <f t="shared" si="15"/>
        <v>0</v>
      </c>
      <c r="F82" s="1411"/>
      <c r="G82" s="1405">
        <f t="shared" si="16"/>
        <v>1</v>
      </c>
      <c r="H82" s="1411"/>
      <c r="I82" s="1405">
        <f t="shared" si="17"/>
        <v>1</v>
      </c>
      <c r="J82" s="1411"/>
      <c r="K82" s="1405">
        <f t="shared" si="18"/>
        <v>1</v>
      </c>
      <c r="L82" s="1411"/>
      <c r="M82" s="1405">
        <f t="shared" si="19"/>
        <v>1</v>
      </c>
      <c r="N82" s="1411"/>
      <c r="O82" s="1405">
        <f t="shared" si="20"/>
        <v>1</v>
      </c>
      <c r="P82" s="1411"/>
      <c r="Q82" s="1405">
        <f t="shared" si="21"/>
        <v>0</v>
      </c>
      <c r="R82" s="1476">
        <f t="shared" si="27"/>
        <v>0</v>
      </c>
      <c r="S82" s="1358">
        <f t="shared" si="28"/>
        <v>0</v>
      </c>
      <c r="T82" s="1485">
        <f t="shared" si="29"/>
        <v>0</v>
      </c>
      <c r="U82" s="1483">
        <f t="shared" si="22"/>
        <v>0</v>
      </c>
      <c r="V82" s="1483">
        <f t="shared" si="31"/>
        <v>0</v>
      </c>
      <c r="W82" s="1486"/>
      <c r="X82" s="1483">
        <f t="shared" si="25"/>
        <v>0</v>
      </c>
      <c r="Y82" s="1483">
        <f t="shared" si="26"/>
        <v>0</v>
      </c>
      <c r="Z82" s="1486"/>
    </row>
    <row r="83" spans="1:26">
      <c r="A83" s="1414"/>
      <c r="B83" s="1415"/>
      <c r="C83" s="1405">
        <f t="shared" si="14"/>
        <v>1</v>
      </c>
      <c r="D83" s="1411"/>
      <c r="E83" s="1405">
        <f t="shared" si="15"/>
        <v>0</v>
      </c>
      <c r="F83" s="1411"/>
      <c r="G83" s="1405">
        <f t="shared" si="16"/>
        <v>1</v>
      </c>
      <c r="H83" s="1411"/>
      <c r="I83" s="1405">
        <f t="shared" si="17"/>
        <v>1</v>
      </c>
      <c r="J83" s="1411"/>
      <c r="K83" s="1405">
        <f t="shared" si="18"/>
        <v>1</v>
      </c>
      <c r="L83" s="1411"/>
      <c r="M83" s="1405">
        <f t="shared" si="19"/>
        <v>1</v>
      </c>
      <c r="N83" s="1411"/>
      <c r="O83" s="1405">
        <f t="shared" si="20"/>
        <v>1</v>
      </c>
      <c r="P83" s="1411"/>
      <c r="Q83" s="1405">
        <f t="shared" si="21"/>
        <v>0</v>
      </c>
      <c r="R83" s="1476">
        <f t="shared" si="27"/>
        <v>0</v>
      </c>
      <c r="S83" s="1358">
        <f t="shared" si="28"/>
        <v>0</v>
      </c>
      <c r="T83" s="1485">
        <f t="shared" si="29"/>
        <v>0</v>
      </c>
      <c r="U83" s="1483">
        <f t="shared" si="22"/>
        <v>0</v>
      </c>
      <c r="V83" s="1483">
        <f t="shared" si="31"/>
        <v>0</v>
      </c>
      <c r="W83" s="1486"/>
      <c r="X83" s="1483">
        <f t="shared" si="25"/>
        <v>0</v>
      </c>
      <c r="Y83" s="1483">
        <f t="shared" si="26"/>
        <v>0</v>
      </c>
      <c r="Z83" s="1486"/>
    </row>
    <row r="84" spans="1:26">
      <c r="A84" s="1414"/>
      <c r="B84" s="1415"/>
      <c r="C84" s="1405">
        <f t="shared" si="14"/>
        <v>1</v>
      </c>
      <c r="D84" s="1411"/>
      <c r="E84" s="1405">
        <f t="shared" si="15"/>
        <v>0</v>
      </c>
      <c r="F84" s="1411"/>
      <c r="G84" s="1405">
        <f t="shared" si="16"/>
        <v>1</v>
      </c>
      <c r="H84" s="1411"/>
      <c r="I84" s="1405">
        <f t="shared" si="17"/>
        <v>1</v>
      </c>
      <c r="J84" s="1411"/>
      <c r="K84" s="1405">
        <f t="shared" si="18"/>
        <v>1</v>
      </c>
      <c r="L84" s="1411"/>
      <c r="M84" s="1405">
        <f t="shared" si="19"/>
        <v>1</v>
      </c>
      <c r="N84" s="1411"/>
      <c r="O84" s="1405">
        <f t="shared" si="20"/>
        <v>1</v>
      </c>
      <c r="P84" s="1411"/>
      <c r="Q84" s="1405">
        <f t="shared" si="21"/>
        <v>0</v>
      </c>
      <c r="R84" s="1476">
        <f t="shared" si="27"/>
        <v>0</v>
      </c>
      <c r="S84" s="1358">
        <f t="shared" si="28"/>
        <v>0</v>
      </c>
      <c r="T84" s="1485">
        <f t="shared" si="29"/>
        <v>0</v>
      </c>
      <c r="U84" s="1483">
        <f t="shared" si="22"/>
        <v>0</v>
      </c>
      <c r="V84" s="1483">
        <f t="shared" si="31"/>
        <v>0</v>
      </c>
      <c r="W84" s="1486"/>
      <c r="X84" s="1483">
        <f t="shared" si="25"/>
        <v>0</v>
      </c>
      <c r="Y84" s="1483">
        <f t="shared" si="26"/>
        <v>0</v>
      </c>
      <c r="Z84" s="1486"/>
    </row>
    <row r="85" spans="1:26">
      <c r="A85" s="1414"/>
      <c r="B85" s="1415"/>
      <c r="C85" s="1405">
        <f t="shared" si="14"/>
        <v>1</v>
      </c>
      <c r="D85" s="1411"/>
      <c r="E85" s="1405">
        <f t="shared" si="15"/>
        <v>0</v>
      </c>
      <c r="F85" s="1411"/>
      <c r="G85" s="1405">
        <f t="shared" si="16"/>
        <v>1</v>
      </c>
      <c r="H85" s="1411"/>
      <c r="I85" s="1405">
        <f t="shared" si="17"/>
        <v>1</v>
      </c>
      <c r="J85" s="1411"/>
      <c r="K85" s="1405">
        <f t="shared" si="18"/>
        <v>1</v>
      </c>
      <c r="L85" s="1411"/>
      <c r="M85" s="1405">
        <f t="shared" si="19"/>
        <v>1</v>
      </c>
      <c r="N85" s="1411"/>
      <c r="O85" s="1405">
        <f t="shared" si="20"/>
        <v>1</v>
      </c>
      <c r="P85" s="1411"/>
      <c r="Q85" s="1405">
        <f t="shared" si="21"/>
        <v>0</v>
      </c>
      <c r="R85" s="1476">
        <f t="shared" si="27"/>
        <v>0</v>
      </c>
      <c r="S85" s="1358">
        <f t="shared" si="28"/>
        <v>0</v>
      </c>
      <c r="T85" s="1485">
        <f t="shared" si="29"/>
        <v>0</v>
      </c>
      <c r="U85" s="1483">
        <f t="shared" si="22"/>
        <v>0</v>
      </c>
      <c r="V85" s="1483">
        <f t="shared" si="31"/>
        <v>0</v>
      </c>
      <c r="W85" s="1486"/>
      <c r="X85" s="1483">
        <f t="shared" si="25"/>
        <v>0</v>
      </c>
      <c r="Y85" s="1483">
        <f t="shared" si="26"/>
        <v>0</v>
      </c>
      <c r="Z85" s="1486"/>
    </row>
    <row r="86" spans="1:26">
      <c r="A86" s="1414"/>
      <c r="B86" s="1415"/>
      <c r="C86" s="1405">
        <f t="shared" si="14"/>
        <v>1</v>
      </c>
      <c r="D86" s="1411"/>
      <c r="E86" s="1405">
        <f t="shared" si="15"/>
        <v>0</v>
      </c>
      <c r="F86" s="1411"/>
      <c r="G86" s="1405">
        <f t="shared" si="16"/>
        <v>1</v>
      </c>
      <c r="H86" s="1411"/>
      <c r="I86" s="1405">
        <f t="shared" si="17"/>
        <v>1</v>
      </c>
      <c r="J86" s="1411"/>
      <c r="K86" s="1405">
        <f t="shared" si="18"/>
        <v>1</v>
      </c>
      <c r="L86" s="1411"/>
      <c r="M86" s="1405">
        <f t="shared" si="19"/>
        <v>1</v>
      </c>
      <c r="N86" s="1411"/>
      <c r="O86" s="1405">
        <f t="shared" si="20"/>
        <v>1</v>
      </c>
      <c r="P86" s="1411"/>
      <c r="Q86" s="1405">
        <f t="shared" si="21"/>
        <v>0</v>
      </c>
      <c r="R86" s="1476">
        <f t="shared" si="27"/>
        <v>0</v>
      </c>
      <c r="S86" s="1358">
        <f t="shared" si="28"/>
        <v>0</v>
      </c>
      <c r="T86" s="1485">
        <f t="shared" si="29"/>
        <v>0</v>
      </c>
      <c r="U86" s="1483">
        <f t="shared" si="22"/>
        <v>0</v>
      </c>
      <c r="V86" s="1483">
        <f t="shared" si="31"/>
        <v>0</v>
      </c>
      <c r="W86" s="1486"/>
      <c r="X86" s="1483">
        <f t="shared" si="25"/>
        <v>0</v>
      </c>
      <c r="Y86" s="1483">
        <f t="shared" si="26"/>
        <v>0</v>
      </c>
      <c r="Z86" s="1486"/>
    </row>
    <row r="87" spans="1:26">
      <c r="A87" s="1414"/>
      <c r="B87" s="1415"/>
      <c r="C87" s="1405">
        <f t="shared" si="14"/>
        <v>1</v>
      </c>
      <c r="D87" s="1411"/>
      <c r="E87" s="1405">
        <f t="shared" si="15"/>
        <v>0</v>
      </c>
      <c r="F87" s="1411"/>
      <c r="G87" s="1405">
        <f t="shared" si="16"/>
        <v>1</v>
      </c>
      <c r="H87" s="1411"/>
      <c r="I87" s="1405">
        <f t="shared" si="17"/>
        <v>1</v>
      </c>
      <c r="J87" s="1411"/>
      <c r="K87" s="1405">
        <f t="shared" si="18"/>
        <v>1</v>
      </c>
      <c r="L87" s="1411"/>
      <c r="M87" s="1405">
        <f t="shared" si="19"/>
        <v>1</v>
      </c>
      <c r="N87" s="1411"/>
      <c r="O87" s="1405">
        <f t="shared" si="20"/>
        <v>1</v>
      </c>
      <c r="P87" s="1411"/>
      <c r="Q87" s="1405">
        <f t="shared" si="21"/>
        <v>0</v>
      </c>
      <c r="R87" s="1476">
        <f t="shared" si="27"/>
        <v>0</v>
      </c>
      <c r="S87" s="1358">
        <f t="shared" si="28"/>
        <v>0</v>
      </c>
      <c r="T87" s="1485">
        <f t="shared" si="29"/>
        <v>0</v>
      </c>
      <c r="U87" s="1483">
        <f t="shared" si="22"/>
        <v>0</v>
      </c>
      <c r="V87" s="1483">
        <f t="shared" si="31"/>
        <v>0</v>
      </c>
      <c r="W87" s="1486"/>
      <c r="X87" s="1483">
        <f t="shared" si="25"/>
        <v>0</v>
      </c>
      <c r="Y87" s="1483">
        <f t="shared" si="26"/>
        <v>0</v>
      </c>
      <c r="Z87" s="1486"/>
    </row>
    <row r="88" spans="1:26">
      <c r="A88" s="1414"/>
      <c r="B88" s="1415"/>
      <c r="C88" s="1405">
        <f t="shared" si="14"/>
        <v>1</v>
      </c>
      <c r="D88" s="1411"/>
      <c r="E88" s="1405">
        <f t="shared" si="15"/>
        <v>0</v>
      </c>
      <c r="F88" s="1411"/>
      <c r="G88" s="1405">
        <f t="shared" si="16"/>
        <v>1</v>
      </c>
      <c r="H88" s="1411"/>
      <c r="I88" s="1405">
        <f t="shared" si="17"/>
        <v>1</v>
      </c>
      <c r="J88" s="1411"/>
      <c r="K88" s="1405">
        <f t="shared" si="18"/>
        <v>1</v>
      </c>
      <c r="L88" s="1411"/>
      <c r="M88" s="1405">
        <f t="shared" si="19"/>
        <v>1</v>
      </c>
      <c r="N88" s="1411"/>
      <c r="O88" s="1405">
        <f t="shared" si="20"/>
        <v>1</v>
      </c>
      <c r="P88" s="1411"/>
      <c r="Q88" s="1405">
        <f t="shared" si="21"/>
        <v>0</v>
      </c>
      <c r="R88" s="1476">
        <f t="shared" si="27"/>
        <v>0</v>
      </c>
      <c r="S88" s="1358">
        <f t="shared" si="28"/>
        <v>0</v>
      </c>
      <c r="T88" s="1485">
        <f t="shared" si="29"/>
        <v>0</v>
      </c>
      <c r="U88" s="1483">
        <f t="shared" si="22"/>
        <v>0</v>
      </c>
      <c r="V88" s="1483">
        <f t="shared" si="31"/>
        <v>0</v>
      </c>
      <c r="W88" s="1486"/>
      <c r="X88" s="1483">
        <f t="shared" si="25"/>
        <v>0</v>
      </c>
      <c r="Y88" s="1483">
        <f t="shared" si="26"/>
        <v>0</v>
      </c>
      <c r="Z88" s="1486"/>
    </row>
    <row r="89" spans="1:26">
      <c r="A89" s="1414"/>
      <c r="B89" s="1415"/>
      <c r="C89" s="1405">
        <f t="shared" si="14"/>
        <v>1</v>
      </c>
      <c r="D89" s="1411"/>
      <c r="E89" s="1405">
        <f t="shared" si="15"/>
        <v>0</v>
      </c>
      <c r="F89" s="1411"/>
      <c r="G89" s="1405">
        <f t="shared" si="16"/>
        <v>1</v>
      </c>
      <c r="H89" s="1411"/>
      <c r="I89" s="1405">
        <f t="shared" si="17"/>
        <v>1</v>
      </c>
      <c r="J89" s="1411"/>
      <c r="K89" s="1405">
        <f t="shared" si="18"/>
        <v>1</v>
      </c>
      <c r="L89" s="1411"/>
      <c r="M89" s="1405">
        <f t="shared" si="19"/>
        <v>1</v>
      </c>
      <c r="N89" s="1411"/>
      <c r="O89" s="1405">
        <f t="shared" si="20"/>
        <v>1</v>
      </c>
      <c r="P89" s="1411"/>
      <c r="Q89" s="1405">
        <f t="shared" si="21"/>
        <v>0</v>
      </c>
      <c r="R89" s="1476">
        <f t="shared" si="27"/>
        <v>0</v>
      </c>
      <c r="S89" s="1358">
        <f t="shared" si="28"/>
        <v>0</v>
      </c>
      <c r="T89" s="1485">
        <f t="shared" si="29"/>
        <v>0</v>
      </c>
      <c r="U89" s="1483">
        <f t="shared" si="22"/>
        <v>0</v>
      </c>
      <c r="V89" s="1483">
        <f t="shared" si="31"/>
        <v>0</v>
      </c>
      <c r="W89" s="1486"/>
      <c r="X89" s="1483">
        <f t="shared" si="25"/>
        <v>0</v>
      </c>
      <c r="Y89" s="1483">
        <f t="shared" si="26"/>
        <v>0</v>
      </c>
      <c r="Z89" s="1486"/>
    </row>
    <row r="90" spans="1:26">
      <c r="A90" s="1414"/>
      <c r="B90" s="1415"/>
      <c r="C90" s="1405">
        <f t="shared" si="14"/>
        <v>1</v>
      </c>
      <c r="D90" s="1411"/>
      <c r="E90" s="1405">
        <f t="shared" si="15"/>
        <v>0</v>
      </c>
      <c r="F90" s="1411"/>
      <c r="G90" s="1405">
        <f t="shared" si="16"/>
        <v>1</v>
      </c>
      <c r="H90" s="1411"/>
      <c r="I90" s="1405">
        <f t="shared" si="17"/>
        <v>1</v>
      </c>
      <c r="J90" s="1411"/>
      <c r="K90" s="1405">
        <f t="shared" si="18"/>
        <v>1</v>
      </c>
      <c r="L90" s="1411"/>
      <c r="M90" s="1405">
        <f t="shared" si="19"/>
        <v>1</v>
      </c>
      <c r="N90" s="1411"/>
      <c r="O90" s="1405">
        <f t="shared" si="20"/>
        <v>1</v>
      </c>
      <c r="P90" s="1411"/>
      <c r="Q90" s="1405">
        <f t="shared" si="21"/>
        <v>0</v>
      </c>
      <c r="R90" s="1476">
        <f t="shared" si="27"/>
        <v>0</v>
      </c>
      <c r="S90" s="1358">
        <f t="shared" si="28"/>
        <v>0</v>
      </c>
      <c r="T90" s="1485">
        <f t="shared" si="29"/>
        <v>0</v>
      </c>
      <c r="U90" s="1483">
        <f t="shared" si="22"/>
        <v>0</v>
      </c>
      <c r="V90" s="1483">
        <f t="shared" si="31"/>
        <v>0</v>
      </c>
      <c r="W90" s="1486"/>
      <c r="X90" s="1483">
        <f t="shared" si="25"/>
        <v>0</v>
      </c>
      <c r="Y90" s="1483">
        <f t="shared" si="26"/>
        <v>0</v>
      </c>
      <c r="Z90" s="1486"/>
    </row>
    <row r="91" spans="1:26">
      <c r="A91" s="1414"/>
      <c r="B91" s="1415"/>
      <c r="C91" s="1405">
        <f t="shared" si="14"/>
        <v>1</v>
      </c>
      <c r="D91" s="1411"/>
      <c r="E91" s="1405">
        <f t="shared" si="15"/>
        <v>0</v>
      </c>
      <c r="F91" s="1411"/>
      <c r="G91" s="1405">
        <f t="shared" si="16"/>
        <v>1</v>
      </c>
      <c r="H91" s="1411"/>
      <c r="I91" s="1405">
        <f t="shared" si="17"/>
        <v>1</v>
      </c>
      <c r="J91" s="1411"/>
      <c r="K91" s="1405">
        <f t="shared" si="18"/>
        <v>1</v>
      </c>
      <c r="L91" s="1411"/>
      <c r="M91" s="1405">
        <f t="shared" si="19"/>
        <v>1</v>
      </c>
      <c r="N91" s="1411"/>
      <c r="O91" s="1405">
        <f t="shared" si="20"/>
        <v>1</v>
      </c>
      <c r="P91" s="1411"/>
      <c r="Q91" s="1405">
        <f t="shared" si="21"/>
        <v>0</v>
      </c>
      <c r="R91" s="1476">
        <f t="shared" si="27"/>
        <v>0</v>
      </c>
      <c r="S91" s="1358">
        <f t="shared" si="28"/>
        <v>0</v>
      </c>
      <c r="T91" s="1485">
        <f t="shared" si="29"/>
        <v>0</v>
      </c>
      <c r="U91" s="1483">
        <f t="shared" si="22"/>
        <v>0</v>
      </c>
      <c r="V91" s="1483">
        <f t="shared" si="31"/>
        <v>0</v>
      </c>
      <c r="W91" s="1486"/>
      <c r="X91" s="1483">
        <f t="shared" si="25"/>
        <v>0</v>
      </c>
      <c r="Y91" s="1483">
        <f t="shared" si="26"/>
        <v>0</v>
      </c>
      <c r="Z91" s="1486"/>
    </row>
    <row r="92" spans="1:26">
      <c r="A92" s="1414"/>
      <c r="B92" s="1415"/>
      <c r="C92" s="1405">
        <f t="shared" ref="C92:C155" si="32">IF(B92="",1,(LOOKUP(B92,$6:$6,$7:$7)-LOOKUP($B$27,$6:$6,$7:$7)+100)/100)</f>
        <v>1</v>
      </c>
      <c r="D92" s="1411"/>
      <c r="E92" s="1405">
        <f t="shared" ref="E92:E155" si="33">(SUMIF($8:$8,D92,$9:$9)-SUMIF($8:$8,$D$27,$9:$9)+100)/100</f>
        <v>0</v>
      </c>
      <c r="F92" s="1411"/>
      <c r="G92" s="1405">
        <f t="shared" ref="G92:G155" si="34">(SUMIF($10:$10,F92,$11:$11)-SUMIF($10:$10,$F$27,$11:$11)+100)/100</f>
        <v>1</v>
      </c>
      <c r="H92" s="1411"/>
      <c r="I92" s="1405">
        <f t="shared" ref="I92:I155" si="35">(SUMIF($12:$12,H92,$13:$13)-SUMIF($12:$12,$H$27,$13:$13)+100)/100</f>
        <v>1</v>
      </c>
      <c r="J92" s="1411"/>
      <c r="K92" s="1405">
        <f t="shared" ref="K92:K155" si="36">(SUMIF($14:$14,J92,$15:$15)-SUMIF($14:$14,$J$27,$15:$15)+100)/100</f>
        <v>1</v>
      </c>
      <c r="L92" s="1411"/>
      <c r="M92" s="1405">
        <f t="shared" ref="M92:M155" si="37">(SUMIF($16:$16,L92,$17:$17)-SUMIF($16:$16,$L$27,$17:$17)+100)/100</f>
        <v>1</v>
      </c>
      <c r="N92" s="1411"/>
      <c r="O92" s="1405">
        <f t="shared" ref="O92:O155" si="38">(SUMIF($18:$18,N92,$19:$19)-SUMIF($18:$18,$N$27,$19:$19)+100)/100</f>
        <v>1</v>
      </c>
      <c r="P92" s="1411"/>
      <c r="Q92" s="1405">
        <f t="shared" ref="Q92:Q155" si="39">(SUMIF($20:$20,P92,$21:$21)-SUMIF($20:$20,$P$27,$21:$21)+100)/100</f>
        <v>0</v>
      </c>
      <c r="R92" s="1476">
        <f t="shared" si="27"/>
        <v>0</v>
      </c>
      <c r="S92" s="1358">
        <f t="shared" si="28"/>
        <v>0</v>
      </c>
      <c r="T92" s="1485">
        <f t="shared" si="29"/>
        <v>0</v>
      </c>
      <c r="U92" s="1483">
        <f t="shared" ref="U92:U155" si="40">ROUND(W92*B92,0)</f>
        <v>0</v>
      </c>
      <c r="V92" s="1483">
        <f t="shared" ref="V92:V155" si="41">ROUND(W92*B92/10000,0)</f>
        <v>0</v>
      </c>
      <c r="W92" s="1486"/>
      <c r="X92" s="1483">
        <f t="shared" ref="X92:X155" si="42">ROUND(Z92*B92,0)</f>
        <v>0</v>
      </c>
      <c r="Y92" s="1483">
        <f t="shared" ref="Y92:Y155" si="43">ROUND(Z92*B92/10000,0)</f>
        <v>0</v>
      </c>
      <c r="Z92" s="1486"/>
    </row>
    <row r="93" spans="1:26">
      <c r="A93" s="1414"/>
      <c r="B93" s="1415"/>
      <c r="C93" s="1405">
        <f t="shared" si="32"/>
        <v>1</v>
      </c>
      <c r="D93" s="1411"/>
      <c r="E93" s="1405">
        <f t="shared" si="33"/>
        <v>0</v>
      </c>
      <c r="F93" s="1411"/>
      <c r="G93" s="1405">
        <f t="shared" si="34"/>
        <v>1</v>
      </c>
      <c r="H93" s="1411"/>
      <c r="I93" s="1405">
        <f t="shared" si="35"/>
        <v>1</v>
      </c>
      <c r="J93" s="1411"/>
      <c r="K93" s="1405">
        <f t="shared" si="36"/>
        <v>1</v>
      </c>
      <c r="L93" s="1411"/>
      <c r="M93" s="1405">
        <f t="shared" si="37"/>
        <v>1</v>
      </c>
      <c r="N93" s="1411"/>
      <c r="O93" s="1405">
        <f t="shared" si="38"/>
        <v>1</v>
      </c>
      <c r="P93" s="1411"/>
      <c r="Q93" s="1405">
        <f t="shared" si="39"/>
        <v>0</v>
      </c>
      <c r="R93" s="1476">
        <f t="shared" ref="R93:R156" si="44">IF(B93="",0,ROUND($R$27*C93*E93*G93*I93*K93*M93*O93*Q93,0))</f>
        <v>0</v>
      </c>
      <c r="S93" s="1358">
        <f t="shared" ref="S93:S156" si="45">ROUND(R93*B93,0)</f>
        <v>0</v>
      </c>
      <c r="T93" s="1485">
        <f t="shared" ref="T93:T156" si="46">ROUND(R93*B93/10000,0)</f>
        <v>0</v>
      </c>
      <c r="U93" s="1483">
        <f t="shared" si="40"/>
        <v>0</v>
      </c>
      <c r="V93" s="1483">
        <f t="shared" si="41"/>
        <v>0</v>
      </c>
      <c r="W93" s="1486"/>
      <c r="X93" s="1483">
        <f t="shared" si="42"/>
        <v>0</v>
      </c>
      <c r="Y93" s="1483">
        <f t="shared" si="43"/>
        <v>0</v>
      </c>
      <c r="Z93" s="1486"/>
    </row>
    <row r="94" spans="1:26">
      <c r="A94" s="1414"/>
      <c r="B94" s="1415"/>
      <c r="C94" s="1405">
        <f t="shared" si="32"/>
        <v>1</v>
      </c>
      <c r="D94" s="1411"/>
      <c r="E94" s="1405">
        <f t="shared" si="33"/>
        <v>0</v>
      </c>
      <c r="F94" s="1411"/>
      <c r="G94" s="1405">
        <f t="shared" si="34"/>
        <v>1</v>
      </c>
      <c r="H94" s="1411"/>
      <c r="I94" s="1405">
        <f t="shared" si="35"/>
        <v>1</v>
      </c>
      <c r="J94" s="1411"/>
      <c r="K94" s="1405">
        <f t="shared" si="36"/>
        <v>1</v>
      </c>
      <c r="L94" s="1411"/>
      <c r="M94" s="1405">
        <f t="shared" si="37"/>
        <v>1</v>
      </c>
      <c r="N94" s="1411"/>
      <c r="O94" s="1405">
        <f t="shared" si="38"/>
        <v>1</v>
      </c>
      <c r="P94" s="1411"/>
      <c r="Q94" s="1405">
        <f t="shared" si="39"/>
        <v>0</v>
      </c>
      <c r="R94" s="1476">
        <f t="shared" si="44"/>
        <v>0</v>
      </c>
      <c r="S94" s="1358">
        <f t="shared" si="45"/>
        <v>0</v>
      </c>
      <c r="T94" s="1485">
        <f t="shared" si="46"/>
        <v>0</v>
      </c>
      <c r="U94" s="1483">
        <f t="shared" si="40"/>
        <v>0</v>
      </c>
      <c r="V94" s="1483">
        <f t="shared" si="41"/>
        <v>0</v>
      </c>
      <c r="W94" s="1486"/>
      <c r="X94" s="1483">
        <f t="shared" si="42"/>
        <v>0</v>
      </c>
      <c r="Y94" s="1483">
        <f t="shared" si="43"/>
        <v>0</v>
      </c>
      <c r="Z94" s="1486"/>
    </row>
    <row r="95" spans="1:26">
      <c r="A95" s="1414"/>
      <c r="B95" s="1415"/>
      <c r="C95" s="1405">
        <f t="shared" si="32"/>
        <v>1</v>
      </c>
      <c r="D95" s="1411"/>
      <c r="E95" s="1405">
        <f t="shared" si="33"/>
        <v>0</v>
      </c>
      <c r="F95" s="1411"/>
      <c r="G95" s="1405">
        <f t="shared" si="34"/>
        <v>1</v>
      </c>
      <c r="H95" s="1411"/>
      <c r="I95" s="1405">
        <f t="shared" si="35"/>
        <v>1</v>
      </c>
      <c r="J95" s="1411"/>
      <c r="K95" s="1405">
        <f t="shared" si="36"/>
        <v>1</v>
      </c>
      <c r="L95" s="1411"/>
      <c r="M95" s="1405">
        <f t="shared" si="37"/>
        <v>1</v>
      </c>
      <c r="N95" s="1411"/>
      <c r="O95" s="1405">
        <f t="shared" si="38"/>
        <v>1</v>
      </c>
      <c r="P95" s="1411"/>
      <c r="Q95" s="1405">
        <f t="shared" si="39"/>
        <v>0</v>
      </c>
      <c r="R95" s="1476">
        <f t="shared" si="44"/>
        <v>0</v>
      </c>
      <c r="S95" s="1358">
        <f t="shared" si="45"/>
        <v>0</v>
      </c>
      <c r="T95" s="1485">
        <f t="shared" si="46"/>
        <v>0</v>
      </c>
      <c r="U95" s="1483">
        <f t="shared" si="40"/>
        <v>0</v>
      </c>
      <c r="V95" s="1483">
        <f t="shared" si="41"/>
        <v>0</v>
      </c>
      <c r="W95" s="1486"/>
      <c r="X95" s="1483">
        <f t="shared" si="42"/>
        <v>0</v>
      </c>
      <c r="Y95" s="1483">
        <f t="shared" si="43"/>
        <v>0</v>
      </c>
      <c r="Z95" s="1486"/>
    </row>
    <row r="96" spans="1:26">
      <c r="A96" s="1414"/>
      <c r="B96" s="1415"/>
      <c r="C96" s="1405">
        <f t="shared" si="32"/>
        <v>1</v>
      </c>
      <c r="D96" s="1411"/>
      <c r="E96" s="1405">
        <f t="shared" si="33"/>
        <v>0</v>
      </c>
      <c r="F96" s="1411"/>
      <c r="G96" s="1405">
        <f t="shared" si="34"/>
        <v>1</v>
      </c>
      <c r="H96" s="1411"/>
      <c r="I96" s="1405">
        <f t="shared" si="35"/>
        <v>1</v>
      </c>
      <c r="J96" s="1411"/>
      <c r="K96" s="1405">
        <f t="shared" si="36"/>
        <v>1</v>
      </c>
      <c r="L96" s="1411"/>
      <c r="M96" s="1405">
        <f t="shared" si="37"/>
        <v>1</v>
      </c>
      <c r="N96" s="1411"/>
      <c r="O96" s="1405">
        <f t="shared" si="38"/>
        <v>1</v>
      </c>
      <c r="P96" s="1411"/>
      <c r="Q96" s="1405">
        <f t="shared" si="39"/>
        <v>0</v>
      </c>
      <c r="R96" s="1476">
        <f t="shared" si="44"/>
        <v>0</v>
      </c>
      <c r="S96" s="1358">
        <f t="shared" si="45"/>
        <v>0</v>
      </c>
      <c r="T96" s="1485">
        <f t="shared" si="46"/>
        <v>0</v>
      </c>
      <c r="U96" s="1483">
        <f t="shared" si="40"/>
        <v>0</v>
      </c>
      <c r="V96" s="1483">
        <f t="shared" si="41"/>
        <v>0</v>
      </c>
      <c r="W96" s="1486"/>
      <c r="X96" s="1483">
        <f t="shared" si="42"/>
        <v>0</v>
      </c>
      <c r="Y96" s="1483">
        <f t="shared" si="43"/>
        <v>0</v>
      </c>
      <c r="Z96" s="1486"/>
    </row>
    <row r="97" spans="1:26">
      <c r="A97" s="1414"/>
      <c r="B97" s="1415"/>
      <c r="C97" s="1405">
        <f t="shared" si="32"/>
        <v>1</v>
      </c>
      <c r="D97" s="1411"/>
      <c r="E97" s="1405">
        <f t="shared" si="33"/>
        <v>0</v>
      </c>
      <c r="F97" s="1411"/>
      <c r="G97" s="1405">
        <f t="shared" si="34"/>
        <v>1</v>
      </c>
      <c r="H97" s="1411"/>
      <c r="I97" s="1405">
        <f t="shared" si="35"/>
        <v>1</v>
      </c>
      <c r="J97" s="1411"/>
      <c r="K97" s="1405">
        <f t="shared" si="36"/>
        <v>1</v>
      </c>
      <c r="L97" s="1411"/>
      <c r="M97" s="1405">
        <f t="shared" si="37"/>
        <v>1</v>
      </c>
      <c r="N97" s="1411"/>
      <c r="O97" s="1405">
        <f t="shared" si="38"/>
        <v>1</v>
      </c>
      <c r="P97" s="1411"/>
      <c r="Q97" s="1405">
        <f t="shared" si="39"/>
        <v>0</v>
      </c>
      <c r="R97" s="1476">
        <f t="shared" si="44"/>
        <v>0</v>
      </c>
      <c r="S97" s="1358">
        <f t="shared" si="45"/>
        <v>0</v>
      </c>
      <c r="T97" s="1485">
        <f t="shared" si="46"/>
        <v>0</v>
      </c>
      <c r="U97" s="1483">
        <f t="shared" si="40"/>
        <v>0</v>
      </c>
      <c r="V97" s="1483">
        <f t="shared" si="41"/>
        <v>0</v>
      </c>
      <c r="W97" s="1486"/>
      <c r="X97" s="1483">
        <f t="shared" si="42"/>
        <v>0</v>
      </c>
      <c r="Y97" s="1483">
        <f t="shared" si="43"/>
        <v>0</v>
      </c>
      <c r="Z97" s="1486"/>
    </row>
    <row r="98" spans="1:26">
      <c r="A98" s="1414"/>
      <c r="B98" s="1415"/>
      <c r="C98" s="1405">
        <f t="shared" si="32"/>
        <v>1</v>
      </c>
      <c r="D98" s="1411"/>
      <c r="E98" s="1405">
        <f t="shared" si="33"/>
        <v>0</v>
      </c>
      <c r="F98" s="1411"/>
      <c r="G98" s="1405">
        <f t="shared" si="34"/>
        <v>1</v>
      </c>
      <c r="H98" s="1411"/>
      <c r="I98" s="1405">
        <f t="shared" si="35"/>
        <v>1</v>
      </c>
      <c r="J98" s="1411"/>
      <c r="K98" s="1405">
        <f t="shared" si="36"/>
        <v>1</v>
      </c>
      <c r="L98" s="1411"/>
      <c r="M98" s="1405">
        <f t="shared" si="37"/>
        <v>1</v>
      </c>
      <c r="N98" s="1411"/>
      <c r="O98" s="1405">
        <f t="shared" si="38"/>
        <v>1</v>
      </c>
      <c r="P98" s="1411"/>
      <c r="Q98" s="1405">
        <f t="shared" si="39"/>
        <v>0</v>
      </c>
      <c r="R98" s="1476">
        <f t="shared" si="44"/>
        <v>0</v>
      </c>
      <c r="S98" s="1358">
        <f t="shared" si="45"/>
        <v>0</v>
      </c>
      <c r="T98" s="1485">
        <f t="shared" si="46"/>
        <v>0</v>
      </c>
      <c r="U98" s="1483">
        <f t="shared" si="40"/>
        <v>0</v>
      </c>
      <c r="V98" s="1483">
        <f t="shared" si="41"/>
        <v>0</v>
      </c>
      <c r="W98" s="1486"/>
      <c r="X98" s="1483">
        <f t="shared" si="42"/>
        <v>0</v>
      </c>
      <c r="Y98" s="1483">
        <f t="shared" si="43"/>
        <v>0</v>
      </c>
      <c r="Z98" s="1486"/>
    </row>
    <row r="99" spans="1:26">
      <c r="A99" s="1414"/>
      <c r="B99" s="1415"/>
      <c r="C99" s="1405">
        <f t="shared" si="32"/>
        <v>1</v>
      </c>
      <c r="D99" s="1411"/>
      <c r="E99" s="1405">
        <f t="shared" si="33"/>
        <v>0</v>
      </c>
      <c r="F99" s="1411"/>
      <c r="G99" s="1405">
        <f t="shared" si="34"/>
        <v>1</v>
      </c>
      <c r="H99" s="1411"/>
      <c r="I99" s="1405">
        <f t="shared" si="35"/>
        <v>1</v>
      </c>
      <c r="J99" s="1411"/>
      <c r="K99" s="1405">
        <f t="shared" si="36"/>
        <v>1</v>
      </c>
      <c r="L99" s="1411"/>
      <c r="M99" s="1405">
        <f t="shared" si="37"/>
        <v>1</v>
      </c>
      <c r="N99" s="1411"/>
      <c r="O99" s="1405">
        <f t="shared" si="38"/>
        <v>1</v>
      </c>
      <c r="P99" s="1411"/>
      <c r="Q99" s="1405">
        <f t="shared" si="39"/>
        <v>0</v>
      </c>
      <c r="R99" s="1476">
        <f t="shared" si="44"/>
        <v>0</v>
      </c>
      <c r="S99" s="1358">
        <f t="shared" si="45"/>
        <v>0</v>
      </c>
      <c r="T99" s="1485">
        <f t="shared" si="46"/>
        <v>0</v>
      </c>
      <c r="U99" s="1483">
        <f t="shared" si="40"/>
        <v>0</v>
      </c>
      <c r="V99" s="1483">
        <f t="shared" si="41"/>
        <v>0</v>
      </c>
      <c r="W99" s="1486"/>
      <c r="X99" s="1483">
        <f t="shared" si="42"/>
        <v>0</v>
      </c>
      <c r="Y99" s="1483">
        <f t="shared" si="43"/>
        <v>0</v>
      </c>
      <c r="Z99" s="1486"/>
    </row>
    <row r="100" spans="1:26">
      <c r="A100" s="1414"/>
      <c r="B100" s="1415"/>
      <c r="C100" s="1405">
        <f t="shared" si="32"/>
        <v>1</v>
      </c>
      <c r="D100" s="1411"/>
      <c r="E100" s="1405">
        <f t="shared" si="33"/>
        <v>0</v>
      </c>
      <c r="F100" s="1411"/>
      <c r="G100" s="1405">
        <f t="shared" si="34"/>
        <v>1</v>
      </c>
      <c r="H100" s="1411"/>
      <c r="I100" s="1405">
        <f t="shared" si="35"/>
        <v>1</v>
      </c>
      <c r="J100" s="1411"/>
      <c r="K100" s="1405">
        <f t="shared" si="36"/>
        <v>1</v>
      </c>
      <c r="L100" s="1411"/>
      <c r="M100" s="1405">
        <f t="shared" si="37"/>
        <v>1</v>
      </c>
      <c r="N100" s="1411"/>
      <c r="O100" s="1405">
        <f t="shared" si="38"/>
        <v>1</v>
      </c>
      <c r="P100" s="1411"/>
      <c r="Q100" s="1405">
        <f t="shared" si="39"/>
        <v>0</v>
      </c>
      <c r="R100" s="1476">
        <f t="shared" si="44"/>
        <v>0</v>
      </c>
      <c r="S100" s="1358">
        <f t="shared" si="45"/>
        <v>0</v>
      </c>
      <c r="T100" s="1485">
        <f t="shared" si="46"/>
        <v>0</v>
      </c>
      <c r="U100" s="1483">
        <f t="shared" si="40"/>
        <v>0</v>
      </c>
      <c r="V100" s="1483">
        <f t="shared" si="41"/>
        <v>0</v>
      </c>
      <c r="W100" s="1486"/>
      <c r="X100" s="1483">
        <f t="shared" si="42"/>
        <v>0</v>
      </c>
      <c r="Y100" s="1483">
        <f t="shared" si="43"/>
        <v>0</v>
      </c>
      <c r="Z100" s="1486"/>
    </row>
    <row r="101" spans="1:26">
      <c r="A101" s="1414"/>
      <c r="B101" s="1415"/>
      <c r="C101" s="1405">
        <f t="shared" si="32"/>
        <v>1</v>
      </c>
      <c r="D101" s="1411"/>
      <c r="E101" s="1405">
        <f t="shared" si="33"/>
        <v>0</v>
      </c>
      <c r="F101" s="1411"/>
      <c r="G101" s="1405">
        <f t="shared" si="34"/>
        <v>1</v>
      </c>
      <c r="H101" s="1411"/>
      <c r="I101" s="1405">
        <f t="shared" si="35"/>
        <v>1</v>
      </c>
      <c r="J101" s="1411"/>
      <c r="K101" s="1405">
        <f t="shared" si="36"/>
        <v>1</v>
      </c>
      <c r="L101" s="1411"/>
      <c r="M101" s="1405">
        <f t="shared" si="37"/>
        <v>1</v>
      </c>
      <c r="N101" s="1411"/>
      <c r="O101" s="1405">
        <f t="shared" si="38"/>
        <v>1</v>
      </c>
      <c r="P101" s="1411"/>
      <c r="Q101" s="1405">
        <f t="shared" si="39"/>
        <v>0</v>
      </c>
      <c r="R101" s="1476">
        <f t="shared" si="44"/>
        <v>0</v>
      </c>
      <c r="S101" s="1358">
        <f t="shared" si="45"/>
        <v>0</v>
      </c>
      <c r="T101" s="1485">
        <f t="shared" si="46"/>
        <v>0</v>
      </c>
      <c r="U101" s="1483">
        <f t="shared" si="40"/>
        <v>0</v>
      </c>
      <c r="V101" s="1483">
        <f t="shared" si="41"/>
        <v>0</v>
      </c>
      <c r="W101" s="1486"/>
      <c r="X101" s="1483">
        <f t="shared" si="42"/>
        <v>0</v>
      </c>
      <c r="Y101" s="1483">
        <f t="shared" si="43"/>
        <v>0</v>
      </c>
      <c r="Z101" s="1486"/>
    </row>
    <row r="102" spans="1:26">
      <c r="A102" s="1414"/>
      <c r="B102" s="1415"/>
      <c r="C102" s="1405">
        <f t="shared" si="32"/>
        <v>1</v>
      </c>
      <c r="D102" s="1411"/>
      <c r="E102" s="1405">
        <f t="shared" si="33"/>
        <v>0</v>
      </c>
      <c r="F102" s="1411"/>
      <c r="G102" s="1405">
        <f t="shared" si="34"/>
        <v>1</v>
      </c>
      <c r="H102" s="1411"/>
      <c r="I102" s="1405">
        <f t="shared" si="35"/>
        <v>1</v>
      </c>
      <c r="J102" s="1411"/>
      <c r="K102" s="1405">
        <f t="shared" si="36"/>
        <v>1</v>
      </c>
      <c r="L102" s="1411"/>
      <c r="M102" s="1405">
        <f t="shared" si="37"/>
        <v>1</v>
      </c>
      <c r="N102" s="1411"/>
      <c r="O102" s="1405">
        <f t="shared" si="38"/>
        <v>1</v>
      </c>
      <c r="P102" s="1411"/>
      <c r="Q102" s="1405">
        <f t="shared" si="39"/>
        <v>0</v>
      </c>
      <c r="R102" s="1476">
        <f t="shared" si="44"/>
        <v>0</v>
      </c>
      <c r="S102" s="1358">
        <f t="shared" si="45"/>
        <v>0</v>
      </c>
      <c r="T102" s="1485">
        <f t="shared" si="46"/>
        <v>0</v>
      </c>
      <c r="U102" s="1483">
        <f t="shared" si="40"/>
        <v>0</v>
      </c>
      <c r="V102" s="1483">
        <f t="shared" si="41"/>
        <v>0</v>
      </c>
      <c r="W102" s="1486"/>
      <c r="X102" s="1483">
        <f t="shared" si="42"/>
        <v>0</v>
      </c>
      <c r="Y102" s="1483">
        <f t="shared" si="43"/>
        <v>0</v>
      </c>
      <c r="Z102" s="1486"/>
    </row>
    <row r="103" spans="1:26">
      <c r="A103" s="1414"/>
      <c r="B103" s="1415"/>
      <c r="C103" s="1405">
        <f t="shared" si="32"/>
        <v>1</v>
      </c>
      <c r="D103" s="1411"/>
      <c r="E103" s="1405">
        <f t="shared" si="33"/>
        <v>0</v>
      </c>
      <c r="F103" s="1411"/>
      <c r="G103" s="1405">
        <f t="shared" si="34"/>
        <v>1</v>
      </c>
      <c r="H103" s="1411"/>
      <c r="I103" s="1405">
        <f t="shared" si="35"/>
        <v>1</v>
      </c>
      <c r="J103" s="1411"/>
      <c r="K103" s="1405">
        <f t="shared" si="36"/>
        <v>1</v>
      </c>
      <c r="L103" s="1411"/>
      <c r="M103" s="1405">
        <f t="shared" si="37"/>
        <v>1</v>
      </c>
      <c r="N103" s="1411"/>
      <c r="O103" s="1405">
        <f t="shared" si="38"/>
        <v>1</v>
      </c>
      <c r="P103" s="1411"/>
      <c r="Q103" s="1405">
        <f t="shared" si="39"/>
        <v>0</v>
      </c>
      <c r="R103" s="1476">
        <f t="shared" si="44"/>
        <v>0</v>
      </c>
      <c r="S103" s="1358">
        <f t="shared" si="45"/>
        <v>0</v>
      </c>
      <c r="T103" s="1485">
        <f t="shared" si="46"/>
        <v>0</v>
      </c>
      <c r="U103" s="1483">
        <f t="shared" si="40"/>
        <v>0</v>
      </c>
      <c r="V103" s="1483">
        <f t="shared" si="41"/>
        <v>0</v>
      </c>
      <c r="W103" s="1486"/>
      <c r="X103" s="1483">
        <f t="shared" si="42"/>
        <v>0</v>
      </c>
      <c r="Y103" s="1483">
        <f t="shared" si="43"/>
        <v>0</v>
      </c>
      <c r="Z103" s="1486"/>
    </row>
    <row r="104" spans="1:26">
      <c r="A104" s="1414"/>
      <c r="B104" s="1415"/>
      <c r="C104" s="1405">
        <f t="shared" si="32"/>
        <v>1</v>
      </c>
      <c r="D104" s="1411"/>
      <c r="E104" s="1405">
        <f t="shared" si="33"/>
        <v>0</v>
      </c>
      <c r="F104" s="1411"/>
      <c r="G104" s="1405">
        <f t="shared" si="34"/>
        <v>1</v>
      </c>
      <c r="H104" s="1411"/>
      <c r="I104" s="1405">
        <f t="shared" si="35"/>
        <v>1</v>
      </c>
      <c r="J104" s="1411"/>
      <c r="K104" s="1405">
        <f t="shared" si="36"/>
        <v>1</v>
      </c>
      <c r="L104" s="1411"/>
      <c r="M104" s="1405">
        <f t="shared" si="37"/>
        <v>1</v>
      </c>
      <c r="N104" s="1411"/>
      <c r="O104" s="1405">
        <f t="shared" si="38"/>
        <v>1</v>
      </c>
      <c r="P104" s="1411"/>
      <c r="Q104" s="1405">
        <f t="shared" si="39"/>
        <v>0</v>
      </c>
      <c r="R104" s="1476">
        <f t="shared" si="44"/>
        <v>0</v>
      </c>
      <c r="S104" s="1358">
        <f t="shared" si="45"/>
        <v>0</v>
      </c>
      <c r="T104" s="1485">
        <f t="shared" si="46"/>
        <v>0</v>
      </c>
      <c r="U104" s="1483">
        <f t="shared" si="40"/>
        <v>0</v>
      </c>
      <c r="V104" s="1483">
        <f t="shared" si="41"/>
        <v>0</v>
      </c>
      <c r="W104" s="1486"/>
      <c r="X104" s="1483">
        <f t="shared" si="42"/>
        <v>0</v>
      </c>
      <c r="Y104" s="1483">
        <f t="shared" si="43"/>
        <v>0</v>
      </c>
      <c r="Z104" s="1486"/>
    </row>
    <row r="105" spans="1:26">
      <c r="A105" s="1414"/>
      <c r="B105" s="1415"/>
      <c r="C105" s="1405">
        <f t="shared" si="32"/>
        <v>1</v>
      </c>
      <c r="D105" s="1411"/>
      <c r="E105" s="1405">
        <f t="shared" si="33"/>
        <v>0</v>
      </c>
      <c r="F105" s="1411"/>
      <c r="G105" s="1405">
        <f t="shared" si="34"/>
        <v>1</v>
      </c>
      <c r="H105" s="1411"/>
      <c r="I105" s="1405">
        <f t="shared" si="35"/>
        <v>1</v>
      </c>
      <c r="J105" s="1411"/>
      <c r="K105" s="1405">
        <f t="shared" si="36"/>
        <v>1</v>
      </c>
      <c r="L105" s="1411"/>
      <c r="M105" s="1405">
        <f t="shared" si="37"/>
        <v>1</v>
      </c>
      <c r="N105" s="1411"/>
      <c r="O105" s="1405">
        <f t="shared" si="38"/>
        <v>1</v>
      </c>
      <c r="P105" s="1411"/>
      <c r="Q105" s="1405">
        <f t="shared" si="39"/>
        <v>0</v>
      </c>
      <c r="R105" s="1476">
        <f t="shared" si="44"/>
        <v>0</v>
      </c>
      <c r="S105" s="1358">
        <f t="shared" si="45"/>
        <v>0</v>
      </c>
      <c r="T105" s="1485">
        <f t="shared" si="46"/>
        <v>0</v>
      </c>
      <c r="U105" s="1483">
        <f t="shared" si="40"/>
        <v>0</v>
      </c>
      <c r="V105" s="1483">
        <f t="shared" si="41"/>
        <v>0</v>
      </c>
      <c r="W105" s="1486"/>
      <c r="X105" s="1483">
        <f t="shared" si="42"/>
        <v>0</v>
      </c>
      <c r="Y105" s="1483">
        <f t="shared" si="43"/>
        <v>0</v>
      </c>
      <c r="Z105" s="1486"/>
    </row>
    <row r="106" spans="1:26">
      <c r="A106" s="1414"/>
      <c r="B106" s="1415"/>
      <c r="C106" s="1405">
        <f t="shared" si="32"/>
        <v>1</v>
      </c>
      <c r="D106" s="1411"/>
      <c r="E106" s="1405">
        <f t="shared" si="33"/>
        <v>0</v>
      </c>
      <c r="F106" s="1411"/>
      <c r="G106" s="1405">
        <f t="shared" si="34"/>
        <v>1</v>
      </c>
      <c r="H106" s="1411"/>
      <c r="I106" s="1405">
        <f t="shared" si="35"/>
        <v>1</v>
      </c>
      <c r="J106" s="1411"/>
      <c r="K106" s="1405">
        <f t="shared" si="36"/>
        <v>1</v>
      </c>
      <c r="L106" s="1411"/>
      <c r="M106" s="1405">
        <f t="shared" si="37"/>
        <v>1</v>
      </c>
      <c r="N106" s="1411"/>
      <c r="O106" s="1405">
        <f t="shared" si="38"/>
        <v>1</v>
      </c>
      <c r="P106" s="1411"/>
      <c r="Q106" s="1405">
        <f t="shared" si="39"/>
        <v>0</v>
      </c>
      <c r="R106" s="1476">
        <f t="shared" si="44"/>
        <v>0</v>
      </c>
      <c r="S106" s="1358">
        <f t="shared" si="45"/>
        <v>0</v>
      </c>
      <c r="T106" s="1485">
        <f t="shared" si="46"/>
        <v>0</v>
      </c>
      <c r="U106" s="1483">
        <f t="shared" si="40"/>
        <v>0</v>
      </c>
      <c r="V106" s="1483">
        <f t="shared" si="41"/>
        <v>0</v>
      </c>
      <c r="W106" s="1486"/>
      <c r="X106" s="1483">
        <f t="shared" si="42"/>
        <v>0</v>
      </c>
      <c r="Y106" s="1483">
        <f t="shared" si="43"/>
        <v>0</v>
      </c>
      <c r="Z106" s="1486"/>
    </row>
    <row r="107" spans="1:26">
      <c r="A107" s="1414"/>
      <c r="B107" s="1415"/>
      <c r="C107" s="1405">
        <f t="shared" si="32"/>
        <v>1</v>
      </c>
      <c r="D107" s="1411"/>
      <c r="E107" s="1405">
        <f t="shared" si="33"/>
        <v>0</v>
      </c>
      <c r="F107" s="1411"/>
      <c r="G107" s="1405">
        <f t="shared" si="34"/>
        <v>1</v>
      </c>
      <c r="H107" s="1411"/>
      <c r="I107" s="1405">
        <f t="shared" si="35"/>
        <v>1</v>
      </c>
      <c r="J107" s="1411"/>
      <c r="K107" s="1405">
        <f t="shared" si="36"/>
        <v>1</v>
      </c>
      <c r="L107" s="1411"/>
      <c r="M107" s="1405">
        <f t="shared" si="37"/>
        <v>1</v>
      </c>
      <c r="N107" s="1411"/>
      <c r="O107" s="1405">
        <f t="shared" si="38"/>
        <v>1</v>
      </c>
      <c r="P107" s="1411"/>
      <c r="Q107" s="1405">
        <f t="shared" si="39"/>
        <v>0</v>
      </c>
      <c r="R107" s="1476">
        <f t="shared" si="44"/>
        <v>0</v>
      </c>
      <c r="S107" s="1358">
        <f t="shared" si="45"/>
        <v>0</v>
      </c>
      <c r="T107" s="1485">
        <f t="shared" si="46"/>
        <v>0</v>
      </c>
      <c r="U107" s="1483">
        <f t="shared" si="40"/>
        <v>0</v>
      </c>
      <c r="V107" s="1483">
        <f t="shared" si="41"/>
        <v>0</v>
      </c>
      <c r="W107" s="1486"/>
      <c r="X107" s="1483">
        <f t="shared" si="42"/>
        <v>0</v>
      </c>
      <c r="Y107" s="1483">
        <f t="shared" si="43"/>
        <v>0</v>
      </c>
      <c r="Z107" s="1486"/>
    </row>
    <row r="108" spans="1:26">
      <c r="A108" s="1414"/>
      <c r="B108" s="1415"/>
      <c r="C108" s="1405">
        <f t="shared" si="32"/>
        <v>1</v>
      </c>
      <c r="D108" s="1411"/>
      <c r="E108" s="1405">
        <f t="shared" si="33"/>
        <v>0</v>
      </c>
      <c r="F108" s="1411"/>
      <c r="G108" s="1405">
        <f t="shared" si="34"/>
        <v>1</v>
      </c>
      <c r="H108" s="1411"/>
      <c r="I108" s="1405">
        <f t="shared" si="35"/>
        <v>1</v>
      </c>
      <c r="J108" s="1411"/>
      <c r="K108" s="1405">
        <f t="shared" si="36"/>
        <v>1</v>
      </c>
      <c r="L108" s="1411"/>
      <c r="M108" s="1405">
        <f t="shared" si="37"/>
        <v>1</v>
      </c>
      <c r="N108" s="1411"/>
      <c r="O108" s="1405">
        <f t="shared" si="38"/>
        <v>1</v>
      </c>
      <c r="P108" s="1411"/>
      <c r="Q108" s="1405">
        <f t="shared" si="39"/>
        <v>0</v>
      </c>
      <c r="R108" s="1476">
        <f t="shared" si="44"/>
        <v>0</v>
      </c>
      <c r="S108" s="1358">
        <f t="shared" si="45"/>
        <v>0</v>
      </c>
      <c r="T108" s="1485">
        <f t="shared" si="46"/>
        <v>0</v>
      </c>
      <c r="U108" s="1483">
        <f t="shared" si="40"/>
        <v>0</v>
      </c>
      <c r="V108" s="1483">
        <f t="shared" si="41"/>
        <v>0</v>
      </c>
      <c r="W108" s="1486"/>
      <c r="X108" s="1483">
        <f t="shared" si="42"/>
        <v>0</v>
      </c>
      <c r="Y108" s="1483">
        <f t="shared" si="43"/>
        <v>0</v>
      </c>
      <c r="Z108" s="1486"/>
    </row>
    <row r="109" spans="1:26">
      <c r="A109" s="1414"/>
      <c r="B109" s="1415"/>
      <c r="C109" s="1405">
        <f t="shared" si="32"/>
        <v>1</v>
      </c>
      <c r="D109" s="1411"/>
      <c r="E109" s="1405">
        <f t="shared" si="33"/>
        <v>0</v>
      </c>
      <c r="F109" s="1411"/>
      <c r="G109" s="1405">
        <f t="shared" si="34"/>
        <v>1</v>
      </c>
      <c r="H109" s="1411"/>
      <c r="I109" s="1405">
        <f t="shared" si="35"/>
        <v>1</v>
      </c>
      <c r="J109" s="1411"/>
      <c r="K109" s="1405">
        <f t="shared" si="36"/>
        <v>1</v>
      </c>
      <c r="L109" s="1411"/>
      <c r="M109" s="1405">
        <f t="shared" si="37"/>
        <v>1</v>
      </c>
      <c r="N109" s="1411"/>
      <c r="O109" s="1405">
        <f t="shared" si="38"/>
        <v>1</v>
      </c>
      <c r="P109" s="1411"/>
      <c r="Q109" s="1405">
        <f t="shared" si="39"/>
        <v>0</v>
      </c>
      <c r="R109" s="1476">
        <f t="shared" si="44"/>
        <v>0</v>
      </c>
      <c r="S109" s="1358">
        <f t="shared" si="45"/>
        <v>0</v>
      </c>
      <c r="T109" s="1485">
        <f t="shared" si="46"/>
        <v>0</v>
      </c>
      <c r="U109" s="1483">
        <f t="shared" si="40"/>
        <v>0</v>
      </c>
      <c r="V109" s="1483">
        <f t="shared" si="41"/>
        <v>0</v>
      </c>
      <c r="W109" s="1486"/>
      <c r="X109" s="1483">
        <f t="shared" si="42"/>
        <v>0</v>
      </c>
      <c r="Y109" s="1483">
        <f t="shared" si="43"/>
        <v>0</v>
      </c>
      <c r="Z109" s="1486"/>
    </row>
    <row r="110" spans="1:26">
      <c r="A110" s="1414"/>
      <c r="B110" s="1415"/>
      <c r="C110" s="1405">
        <f t="shared" si="32"/>
        <v>1</v>
      </c>
      <c r="D110" s="1411"/>
      <c r="E110" s="1405">
        <f t="shared" si="33"/>
        <v>0</v>
      </c>
      <c r="F110" s="1411"/>
      <c r="G110" s="1405">
        <f t="shared" si="34"/>
        <v>1</v>
      </c>
      <c r="H110" s="1411"/>
      <c r="I110" s="1405">
        <f t="shared" si="35"/>
        <v>1</v>
      </c>
      <c r="J110" s="1411"/>
      <c r="K110" s="1405">
        <f t="shared" si="36"/>
        <v>1</v>
      </c>
      <c r="L110" s="1411"/>
      <c r="M110" s="1405">
        <f t="shared" si="37"/>
        <v>1</v>
      </c>
      <c r="N110" s="1411"/>
      <c r="O110" s="1405">
        <f t="shared" si="38"/>
        <v>1</v>
      </c>
      <c r="P110" s="1411"/>
      <c r="Q110" s="1405">
        <f t="shared" si="39"/>
        <v>0</v>
      </c>
      <c r="R110" s="1476">
        <f t="shared" si="44"/>
        <v>0</v>
      </c>
      <c r="S110" s="1358">
        <f t="shared" si="45"/>
        <v>0</v>
      </c>
      <c r="T110" s="1485">
        <f t="shared" si="46"/>
        <v>0</v>
      </c>
      <c r="U110" s="1483">
        <f t="shared" si="40"/>
        <v>0</v>
      </c>
      <c r="V110" s="1483">
        <f t="shared" si="41"/>
        <v>0</v>
      </c>
      <c r="W110" s="1486"/>
      <c r="X110" s="1483">
        <f t="shared" si="42"/>
        <v>0</v>
      </c>
      <c r="Y110" s="1483">
        <f t="shared" si="43"/>
        <v>0</v>
      </c>
      <c r="Z110" s="1486"/>
    </row>
    <row r="111" spans="1:26">
      <c r="A111" s="1414"/>
      <c r="B111" s="1415"/>
      <c r="C111" s="1405">
        <f t="shared" si="32"/>
        <v>1</v>
      </c>
      <c r="D111" s="1411"/>
      <c r="E111" s="1405">
        <f t="shared" si="33"/>
        <v>0</v>
      </c>
      <c r="F111" s="1411"/>
      <c r="G111" s="1405">
        <f t="shared" si="34"/>
        <v>1</v>
      </c>
      <c r="H111" s="1411"/>
      <c r="I111" s="1405">
        <f t="shared" si="35"/>
        <v>1</v>
      </c>
      <c r="J111" s="1411"/>
      <c r="K111" s="1405">
        <f t="shared" si="36"/>
        <v>1</v>
      </c>
      <c r="L111" s="1411"/>
      <c r="M111" s="1405">
        <f t="shared" si="37"/>
        <v>1</v>
      </c>
      <c r="N111" s="1411"/>
      <c r="O111" s="1405">
        <f t="shared" si="38"/>
        <v>1</v>
      </c>
      <c r="P111" s="1411"/>
      <c r="Q111" s="1405">
        <f t="shared" si="39"/>
        <v>0</v>
      </c>
      <c r="R111" s="1476">
        <f t="shared" si="44"/>
        <v>0</v>
      </c>
      <c r="S111" s="1358">
        <f t="shared" si="45"/>
        <v>0</v>
      </c>
      <c r="T111" s="1485">
        <f t="shared" si="46"/>
        <v>0</v>
      </c>
      <c r="U111" s="1483">
        <f t="shared" si="40"/>
        <v>0</v>
      </c>
      <c r="V111" s="1483">
        <f t="shared" si="41"/>
        <v>0</v>
      </c>
      <c r="W111" s="1486"/>
      <c r="X111" s="1483">
        <f t="shared" si="42"/>
        <v>0</v>
      </c>
      <c r="Y111" s="1483">
        <f t="shared" si="43"/>
        <v>0</v>
      </c>
      <c r="Z111" s="1486"/>
    </row>
    <row r="112" spans="1:26">
      <c r="A112" s="1414"/>
      <c r="B112" s="1415"/>
      <c r="C112" s="1405">
        <f t="shared" si="32"/>
        <v>1</v>
      </c>
      <c r="D112" s="1411"/>
      <c r="E112" s="1405">
        <f t="shared" si="33"/>
        <v>0</v>
      </c>
      <c r="F112" s="1411"/>
      <c r="G112" s="1405">
        <f t="shared" si="34"/>
        <v>1</v>
      </c>
      <c r="H112" s="1411"/>
      <c r="I112" s="1405">
        <f t="shared" si="35"/>
        <v>1</v>
      </c>
      <c r="J112" s="1411"/>
      <c r="K112" s="1405">
        <f t="shared" si="36"/>
        <v>1</v>
      </c>
      <c r="L112" s="1411"/>
      <c r="M112" s="1405">
        <f t="shared" si="37"/>
        <v>1</v>
      </c>
      <c r="N112" s="1411"/>
      <c r="O112" s="1405">
        <f t="shared" si="38"/>
        <v>1</v>
      </c>
      <c r="P112" s="1411"/>
      <c r="Q112" s="1405">
        <f t="shared" si="39"/>
        <v>0</v>
      </c>
      <c r="R112" s="1476">
        <f t="shared" si="44"/>
        <v>0</v>
      </c>
      <c r="S112" s="1358">
        <f t="shared" si="45"/>
        <v>0</v>
      </c>
      <c r="T112" s="1485">
        <f t="shared" si="46"/>
        <v>0</v>
      </c>
      <c r="U112" s="1483">
        <f t="shared" si="40"/>
        <v>0</v>
      </c>
      <c r="V112" s="1483">
        <f t="shared" si="41"/>
        <v>0</v>
      </c>
      <c r="W112" s="1486"/>
      <c r="X112" s="1483">
        <f t="shared" si="42"/>
        <v>0</v>
      </c>
      <c r="Y112" s="1483">
        <f t="shared" si="43"/>
        <v>0</v>
      </c>
      <c r="Z112" s="1486"/>
    </row>
    <row r="113" spans="1:26">
      <c r="A113" s="1414"/>
      <c r="B113" s="1415"/>
      <c r="C113" s="1405">
        <f t="shared" si="32"/>
        <v>1</v>
      </c>
      <c r="D113" s="1411"/>
      <c r="E113" s="1405">
        <f t="shared" si="33"/>
        <v>0</v>
      </c>
      <c r="F113" s="1411"/>
      <c r="G113" s="1405">
        <f t="shared" si="34"/>
        <v>1</v>
      </c>
      <c r="H113" s="1411"/>
      <c r="I113" s="1405">
        <f t="shared" si="35"/>
        <v>1</v>
      </c>
      <c r="J113" s="1411"/>
      <c r="K113" s="1405">
        <f t="shared" si="36"/>
        <v>1</v>
      </c>
      <c r="L113" s="1411"/>
      <c r="M113" s="1405">
        <f t="shared" si="37"/>
        <v>1</v>
      </c>
      <c r="N113" s="1411"/>
      <c r="O113" s="1405">
        <f t="shared" si="38"/>
        <v>1</v>
      </c>
      <c r="P113" s="1411"/>
      <c r="Q113" s="1405">
        <f t="shared" si="39"/>
        <v>0</v>
      </c>
      <c r="R113" s="1476">
        <f t="shared" si="44"/>
        <v>0</v>
      </c>
      <c r="S113" s="1358">
        <f t="shared" si="45"/>
        <v>0</v>
      </c>
      <c r="T113" s="1485">
        <f t="shared" si="46"/>
        <v>0</v>
      </c>
      <c r="U113" s="1483">
        <f t="shared" si="40"/>
        <v>0</v>
      </c>
      <c r="V113" s="1483">
        <f t="shared" si="41"/>
        <v>0</v>
      </c>
      <c r="W113" s="1486"/>
      <c r="X113" s="1483">
        <f t="shared" si="42"/>
        <v>0</v>
      </c>
      <c r="Y113" s="1483">
        <f t="shared" si="43"/>
        <v>0</v>
      </c>
      <c r="Z113" s="1486"/>
    </row>
    <row r="114" spans="1:26">
      <c r="A114" s="1414"/>
      <c r="B114" s="1415"/>
      <c r="C114" s="1405">
        <f t="shared" si="32"/>
        <v>1</v>
      </c>
      <c r="D114" s="1411"/>
      <c r="E114" s="1405">
        <f t="shared" si="33"/>
        <v>0</v>
      </c>
      <c r="F114" s="1411"/>
      <c r="G114" s="1405">
        <f t="shared" si="34"/>
        <v>1</v>
      </c>
      <c r="H114" s="1411"/>
      <c r="I114" s="1405">
        <f t="shared" si="35"/>
        <v>1</v>
      </c>
      <c r="J114" s="1411"/>
      <c r="K114" s="1405">
        <f t="shared" si="36"/>
        <v>1</v>
      </c>
      <c r="L114" s="1411"/>
      <c r="M114" s="1405">
        <f t="shared" si="37"/>
        <v>1</v>
      </c>
      <c r="N114" s="1411"/>
      <c r="O114" s="1405">
        <f t="shared" si="38"/>
        <v>1</v>
      </c>
      <c r="P114" s="1411"/>
      <c r="Q114" s="1405">
        <f t="shared" si="39"/>
        <v>0</v>
      </c>
      <c r="R114" s="1476">
        <f t="shared" si="44"/>
        <v>0</v>
      </c>
      <c r="S114" s="1358">
        <f t="shared" si="45"/>
        <v>0</v>
      </c>
      <c r="T114" s="1485">
        <f t="shared" si="46"/>
        <v>0</v>
      </c>
      <c r="U114" s="1483">
        <f t="shared" si="40"/>
        <v>0</v>
      </c>
      <c r="V114" s="1483">
        <f t="shared" si="41"/>
        <v>0</v>
      </c>
      <c r="W114" s="1486"/>
      <c r="X114" s="1483">
        <f t="shared" si="42"/>
        <v>0</v>
      </c>
      <c r="Y114" s="1483">
        <f t="shared" si="43"/>
        <v>0</v>
      </c>
      <c r="Z114" s="1486"/>
    </row>
    <row r="115" spans="1:26">
      <c r="A115" s="1414"/>
      <c r="B115" s="1415"/>
      <c r="C115" s="1405">
        <f t="shared" si="32"/>
        <v>1</v>
      </c>
      <c r="D115" s="1411"/>
      <c r="E115" s="1405">
        <f t="shared" si="33"/>
        <v>0</v>
      </c>
      <c r="F115" s="1411"/>
      <c r="G115" s="1405">
        <f t="shared" si="34"/>
        <v>1</v>
      </c>
      <c r="H115" s="1411"/>
      <c r="I115" s="1405">
        <f t="shared" si="35"/>
        <v>1</v>
      </c>
      <c r="J115" s="1411"/>
      <c r="K115" s="1405">
        <f t="shared" si="36"/>
        <v>1</v>
      </c>
      <c r="L115" s="1411"/>
      <c r="M115" s="1405">
        <f t="shared" si="37"/>
        <v>1</v>
      </c>
      <c r="N115" s="1411"/>
      <c r="O115" s="1405">
        <f t="shared" si="38"/>
        <v>1</v>
      </c>
      <c r="P115" s="1411"/>
      <c r="Q115" s="1405">
        <f t="shared" si="39"/>
        <v>0</v>
      </c>
      <c r="R115" s="1476">
        <f t="shared" si="44"/>
        <v>0</v>
      </c>
      <c r="S115" s="1358">
        <f t="shared" si="45"/>
        <v>0</v>
      </c>
      <c r="T115" s="1485">
        <f t="shared" si="46"/>
        <v>0</v>
      </c>
      <c r="U115" s="1483">
        <f t="shared" si="40"/>
        <v>0</v>
      </c>
      <c r="V115" s="1483">
        <f t="shared" si="41"/>
        <v>0</v>
      </c>
      <c r="W115" s="1486"/>
      <c r="X115" s="1483">
        <f t="shared" si="42"/>
        <v>0</v>
      </c>
      <c r="Y115" s="1483">
        <f t="shared" si="43"/>
        <v>0</v>
      </c>
      <c r="Z115" s="1486"/>
    </row>
    <row r="116" spans="1:26">
      <c r="A116" s="1414"/>
      <c r="B116" s="1415"/>
      <c r="C116" s="1405">
        <f t="shared" si="32"/>
        <v>1</v>
      </c>
      <c r="D116" s="1411"/>
      <c r="E116" s="1405">
        <f t="shared" si="33"/>
        <v>0</v>
      </c>
      <c r="F116" s="1411"/>
      <c r="G116" s="1405">
        <f t="shared" si="34"/>
        <v>1</v>
      </c>
      <c r="H116" s="1411"/>
      <c r="I116" s="1405">
        <f t="shared" si="35"/>
        <v>1</v>
      </c>
      <c r="J116" s="1411"/>
      <c r="K116" s="1405">
        <f t="shared" si="36"/>
        <v>1</v>
      </c>
      <c r="L116" s="1411"/>
      <c r="M116" s="1405">
        <f t="shared" si="37"/>
        <v>1</v>
      </c>
      <c r="N116" s="1411"/>
      <c r="O116" s="1405">
        <f t="shared" si="38"/>
        <v>1</v>
      </c>
      <c r="P116" s="1411"/>
      <c r="Q116" s="1405">
        <f t="shared" si="39"/>
        <v>0</v>
      </c>
      <c r="R116" s="1476">
        <f t="shared" si="44"/>
        <v>0</v>
      </c>
      <c r="S116" s="1358">
        <f t="shared" si="45"/>
        <v>0</v>
      </c>
      <c r="T116" s="1485">
        <f t="shared" si="46"/>
        <v>0</v>
      </c>
      <c r="U116" s="1483">
        <f t="shared" si="40"/>
        <v>0</v>
      </c>
      <c r="V116" s="1483">
        <f t="shared" si="41"/>
        <v>0</v>
      </c>
      <c r="W116" s="1486"/>
      <c r="X116" s="1483">
        <f t="shared" si="42"/>
        <v>0</v>
      </c>
      <c r="Y116" s="1483">
        <f t="shared" si="43"/>
        <v>0</v>
      </c>
      <c r="Z116" s="1486"/>
    </row>
    <row r="117" spans="1:26">
      <c r="A117" s="1414"/>
      <c r="B117" s="1415"/>
      <c r="C117" s="1405">
        <f t="shared" si="32"/>
        <v>1</v>
      </c>
      <c r="D117" s="1411"/>
      <c r="E117" s="1405">
        <f t="shared" si="33"/>
        <v>0</v>
      </c>
      <c r="F117" s="1411"/>
      <c r="G117" s="1405">
        <f t="shared" si="34"/>
        <v>1</v>
      </c>
      <c r="H117" s="1411"/>
      <c r="I117" s="1405">
        <f t="shared" si="35"/>
        <v>1</v>
      </c>
      <c r="J117" s="1411"/>
      <c r="K117" s="1405">
        <f t="shared" si="36"/>
        <v>1</v>
      </c>
      <c r="L117" s="1411"/>
      <c r="M117" s="1405">
        <f t="shared" si="37"/>
        <v>1</v>
      </c>
      <c r="N117" s="1411"/>
      <c r="O117" s="1405">
        <f t="shared" si="38"/>
        <v>1</v>
      </c>
      <c r="P117" s="1411"/>
      <c r="Q117" s="1405">
        <f t="shared" si="39"/>
        <v>0</v>
      </c>
      <c r="R117" s="1476">
        <f t="shared" si="44"/>
        <v>0</v>
      </c>
      <c r="S117" s="1358">
        <f t="shared" si="45"/>
        <v>0</v>
      </c>
      <c r="T117" s="1485">
        <f t="shared" si="46"/>
        <v>0</v>
      </c>
      <c r="U117" s="1483">
        <f t="shared" si="40"/>
        <v>0</v>
      </c>
      <c r="V117" s="1483">
        <f t="shared" si="41"/>
        <v>0</v>
      </c>
      <c r="W117" s="1486"/>
      <c r="X117" s="1483">
        <f t="shared" si="42"/>
        <v>0</v>
      </c>
      <c r="Y117" s="1483">
        <f t="shared" si="43"/>
        <v>0</v>
      </c>
      <c r="Z117" s="1486"/>
    </row>
    <row r="118" spans="1:26">
      <c r="A118" s="1414"/>
      <c r="B118" s="1415"/>
      <c r="C118" s="1405">
        <f t="shared" si="32"/>
        <v>1</v>
      </c>
      <c r="D118" s="1411"/>
      <c r="E118" s="1405">
        <f t="shared" si="33"/>
        <v>0</v>
      </c>
      <c r="F118" s="1411"/>
      <c r="G118" s="1405">
        <f t="shared" si="34"/>
        <v>1</v>
      </c>
      <c r="H118" s="1411"/>
      <c r="I118" s="1405">
        <f t="shared" si="35"/>
        <v>1</v>
      </c>
      <c r="J118" s="1411"/>
      <c r="K118" s="1405">
        <f t="shared" si="36"/>
        <v>1</v>
      </c>
      <c r="L118" s="1411"/>
      <c r="M118" s="1405">
        <f t="shared" si="37"/>
        <v>1</v>
      </c>
      <c r="N118" s="1411"/>
      <c r="O118" s="1405">
        <f t="shared" si="38"/>
        <v>1</v>
      </c>
      <c r="P118" s="1411"/>
      <c r="Q118" s="1405">
        <f t="shared" si="39"/>
        <v>0</v>
      </c>
      <c r="R118" s="1476">
        <f t="shared" si="44"/>
        <v>0</v>
      </c>
      <c r="S118" s="1358">
        <f t="shared" si="45"/>
        <v>0</v>
      </c>
      <c r="T118" s="1485">
        <f t="shared" si="46"/>
        <v>0</v>
      </c>
      <c r="U118" s="1483">
        <f t="shared" si="40"/>
        <v>0</v>
      </c>
      <c r="V118" s="1483">
        <f t="shared" si="41"/>
        <v>0</v>
      </c>
      <c r="W118" s="1486"/>
      <c r="X118" s="1483">
        <f t="shared" si="42"/>
        <v>0</v>
      </c>
      <c r="Y118" s="1483">
        <f t="shared" si="43"/>
        <v>0</v>
      </c>
      <c r="Z118" s="1486"/>
    </row>
    <row r="119" spans="1:26">
      <c r="A119" s="1414"/>
      <c r="B119" s="1415"/>
      <c r="C119" s="1405">
        <f t="shared" si="32"/>
        <v>1</v>
      </c>
      <c r="D119" s="1411"/>
      <c r="E119" s="1405">
        <f t="shared" si="33"/>
        <v>0</v>
      </c>
      <c r="F119" s="1411"/>
      <c r="G119" s="1405">
        <f t="shared" si="34"/>
        <v>1</v>
      </c>
      <c r="H119" s="1411"/>
      <c r="I119" s="1405">
        <f t="shared" si="35"/>
        <v>1</v>
      </c>
      <c r="J119" s="1411"/>
      <c r="K119" s="1405">
        <f t="shared" si="36"/>
        <v>1</v>
      </c>
      <c r="L119" s="1411"/>
      <c r="M119" s="1405">
        <f t="shared" si="37"/>
        <v>1</v>
      </c>
      <c r="N119" s="1411"/>
      <c r="O119" s="1405">
        <f t="shared" si="38"/>
        <v>1</v>
      </c>
      <c r="P119" s="1411"/>
      <c r="Q119" s="1405">
        <f t="shared" si="39"/>
        <v>0</v>
      </c>
      <c r="R119" s="1476">
        <f t="shared" si="44"/>
        <v>0</v>
      </c>
      <c r="S119" s="1358">
        <f t="shared" si="45"/>
        <v>0</v>
      </c>
      <c r="T119" s="1485">
        <f t="shared" si="46"/>
        <v>0</v>
      </c>
      <c r="U119" s="1483">
        <f t="shared" si="40"/>
        <v>0</v>
      </c>
      <c r="V119" s="1483">
        <f t="shared" si="41"/>
        <v>0</v>
      </c>
      <c r="W119" s="1486"/>
      <c r="X119" s="1483">
        <f t="shared" si="42"/>
        <v>0</v>
      </c>
      <c r="Y119" s="1483">
        <f t="shared" si="43"/>
        <v>0</v>
      </c>
      <c r="Z119" s="1486"/>
    </row>
    <row r="120" spans="1:26">
      <c r="A120" s="1414"/>
      <c r="B120" s="1415"/>
      <c r="C120" s="1405">
        <f t="shared" si="32"/>
        <v>1</v>
      </c>
      <c r="D120" s="1411"/>
      <c r="E120" s="1405">
        <f t="shared" si="33"/>
        <v>0</v>
      </c>
      <c r="F120" s="1411"/>
      <c r="G120" s="1405">
        <f t="shared" si="34"/>
        <v>1</v>
      </c>
      <c r="H120" s="1411"/>
      <c r="I120" s="1405">
        <f t="shared" si="35"/>
        <v>1</v>
      </c>
      <c r="J120" s="1411"/>
      <c r="K120" s="1405">
        <f t="shared" si="36"/>
        <v>1</v>
      </c>
      <c r="L120" s="1411"/>
      <c r="M120" s="1405">
        <f t="shared" si="37"/>
        <v>1</v>
      </c>
      <c r="N120" s="1411"/>
      <c r="O120" s="1405">
        <f t="shared" si="38"/>
        <v>1</v>
      </c>
      <c r="P120" s="1411"/>
      <c r="Q120" s="1405">
        <f t="shared" si="39"/>
        <v>0</v>
      </c>
      <c r="R120" s="1476">
        <f t="shared" si="44"/>
        <v>0</v>
      </c>
      <c r="S120" s="1358">
        <f t="shared" si="45"/>
        <v>0</v>
      </c>
      <c r="T120" s="1485">
        <f t="shared" si="46"/>
        <v>0</v>
      </c>
      <c r="U120" s="1483">
        <f t="shared" si="40"/>
        <v>0</v>
      </c>
      <c r="V120" s="1483">
        <f t="shared" si="41"/>
        <v>0</v>
      </c>
      <c r="W120" s="1486"/>
      <c r="X120" s="1483">
        <f t="shared" si="42"/>
        <v>0</v>
      </c>
      <c r="Y120" s="1483">
        <f t="shared" si="43"/>
        <v>0</v>
      </c>
      <c r="Z120" s="1486"/>
    </row>
    <row r="121" spans="1:26">
      <c r="A121" s="1414"/>
      <c r="B121" s="1415"/>
      <c r="C121" s="1405">
        <f t="shared" si="32"/>
        <v>1</v>
      </c>
      <c r="D121" s="1411"/>
      <c r="E121" s="1405">
        <f t="shared" si="33"/>
        <v>0</v>
      </c>
      <c r="F121" s="1411"/>
      <c r="G121" s="1405">
        <f t="shared" si="34"/>
        <v>1</v>
      </c>
      <c r="H121" s="1411"/>
      <c r="I121" s="1405">
        <f t="shared" si="35"/>
        <v>1</v>
      </c>
      <c r="J121" s="1411"/>
      <c r="K121" s="1405">
        <f t="shared" si="36"/>
        <v>1</v>
      </c>
      <c r="L121" s="1411"/>
      <c r="M121" s="1405">
        <f t="shared" si="37"/>
        <v>1</v>
      </c>
      <c r="N121" s="1411"/>
      <c r="O121" s="1405">
        <f t="shared" si="38"/>
        <v>1</v>
      </c>
      <c r="P121" s="1411"/>
      <c r="Q121" s="1405">
        <f t="shared" si="39"/>
        <v>0</v>
      </c>
      <c r="R121" s="1476">
        <f t="shared" si="44"/>
        <v>0</v>
      </c>
      <c r="S121" s="1358">
        <f t="shared" si="45"/>
        <v>0</v>
      </c>
      <c r="T121" s="1485">
        <f t="shared" si="46"/>
        <v>0</v>
      </c>
      <c r="U121" s="1483">
        <f t="shared" si="40"/>
        <v>0</v>
      </c>
      <c r="V121" s="1483">
        <f t="shared" si="41"/>
        <v>0</v>
      </c>
      <c r="W121" s="1486"/>
      <c r="X121" s="1483">
        <f t="shared" si="42"/>
        <v>0</v>
      </c>
      <c r="Y121" s="1483">
        <f t="shared" si="43"/>
        <v>0</v>
      </c>
      <c r="Z121" s="1486"/>
    </row>
    <row r="122" spans="1:26">
      <c r="A122" s="1414"/>
      <c r="B122" s="1415"/>
      <c r="C122" s="1405">
        <f t="shared" si="32"/>
        <v>1</v>
      </c>
      <c r="D122" s="1411"/>
      <c r="E122" s="1405">
        <f t="shared" si="33"/>
        <v>0</v>
      </c>
      <c r="F122" s="1411"/>
      <c r="G122" s="1405">
        <f t="shared" si="34"/>
        <v>1</v>
      </c>
      <c r="H122" s="1411"/>
      <c r="I122" s="1405">
        <f t="shared" si="35"/>
        <v>1</v>
      </c>
      <c r="J122" s="1411"/>
      <c r="K122" s="1405">
        <f t="shared" si="36"/>
        <v>1</v>
      </c>
      <c r="L122" s="1411"/>
      <c r="M122" s="1405">
        <f t="shared" si="37"/>
        <v>1</v>
      </c>
      <c r="N122" s="1411"/>
      <c r="O122" s="1405">
        <f t="shared" si="38"/>
        <v>1</v>
      </c>
      <c r="P122" s="1411"/>
      <c r="Q122" s="1405">
        <f t="shared" si="39"/>
        <v>0</v>
      </c>
      <c r="R122" s="1476">
        <f t="shared" si="44"/>
        <v>0</v>
      </c>
      <c r="S122" s="1358">
        <f t="shared" si="45"/>
        <v>0</v>
      </c>
      <c r="T122" s="1485">
        <f t="shared" si="46"/>
        <v>0</v>
      </c>
      <c r="U122" s="1483">
        <f t="shared" si="40"/>
        <v>0</v>
      </c>
      <c r="V122" s="1483">
        <f t="shared" si="41"/>
        <v>0</v>
      </c>
      <c r="W122" s="1486"/>
      <c r="X122" s="1483">
        <f t="shared" si="42"/>
        <v>0</v>
      </c>
      <c r="Y122" s="1483">
        <f t="shared" si="43"/>
        <v>0</v>
      </c>
      <c r="Z122" s="1486"/>
    </row>
    <row r="123" spans="1:26">
      <c r="A123" s="1414"/>
      <c r="B123" s="1415"/>
      <c r="C123" s="1405">
        <f t="shared" si="32"/>
        <v>1</v>
      </c>
      <c r="D123" s="1411"/>
      <c r="E123" s="1405">
        <f t="shared" si="33"/>
        <v>0</v>
      </c>
      <c r="F123" s="1411"/>
      <c r="G123" s="1405">
        <f t="shared" si="34"/>
        <v>1</v>
      </c>
      <c r="H123" s="1411"/>
      <c r="I123" s="1405">
        <f t="shared" si="35"/>
        <v>1</v>
      </c>
      <c r="J123" s="1411"/>
      <c r="K123" s="1405">
        <f t="shared" si="36"/>
        <v>1</v>
      </c>
      <c r="L123" s="1411"/>
      <c r="M123" s="1405">
        <f t="shared" si="37"/>
        <v>1</v>
      </c>
      <c r="N123" s="1411"/>
      <c r="O123" s="1405">
        <f t="shared" si="38"/>
        <v>1</v>
      </c>
      <c r="P123" s="1411"/>
      <c r="Q123" s="1405">
        <f t="shared" si="39"/>
        <v>0</v>
      </c>
      <c r="R123" s="1476">
        <f t="shared" si="44"/>
        <v>0</v>
      </c>
      <c r="S123" s="1358">
        <f t="shared" si="45"/>
        <v>0</v>
      </c>
      <c r="T123" s="1485">
        <f t="shared" si="46"/>
        <v>0</v>
      </c>
      <c r="U123" s="1483">
        <f t="shared" si="40"/>
        <v>0</v>
      </c>
      <c r="V123" s="1483">
        <f t="shared" si="41"/>
        <v>0</v>
      </c>
      <c r="W123" s="1486"/>
      <c r="X123" s="1483">
        <f t="shared" si="42"/>
        <v>0</v>
      </c>
      <c r="Y123" s="1483">
        <f t="shared" si="43"/>
        <v>0</v>
      </c>
      <c r="Z123" s="1486"/>
    </row>
    <row r="124" spans="1:26">
      <c r="A124" s="1414"/>
      <c r="B124" s="1415"/>
      <c r="C124" s="1405">
        <f t="shared" si="32"/>
        <v>1</v>
      </c>
      <c r="D124" s="1411"/>
      <c r="E124" s="1405">
        <f t="shared" si="33"/>
        <v>0</v>
      </c>
      <c r="F124" s="1411"/>
      <c r="G124" s="1405">
        <f t="shared" si="34"/>
        <v>1</v>
      </c>
      <c r="H124" s="1411"/>
      <c r="I124" s="1405">
        <f t="shared" si="35"/>
        <v>1</v>
      </c>
      <c r="J124" s="1411"/>
      <c r="K124" s="1405">
        <f t="shared" si="36"/>
        <v>1</v>
      </c>
      <c r="L124" s="1411"/>
      <c r="M124" s="1405">
        <f t="shared" si="37"/>
        <v>1</v>
      </c>
      <c r="N124" s="1411"/>
      <c r="O124" s="1405">
        <f t="shared" si="38"/>
        <v>1</v>
      </c>
      <c r="P124" s="1411"/>
      <c r="Q124" s="1405">
        <f t="shared" si="39"/>
        <v>0</v>
      </c>
      <c r="R124" s="1476">
        <f t="shared" si="44"/>
        <v>0</v>
      </c>
      <c r="S124" s="1358">
        <f t="shared" si="45"/>
        <v>0</v>
      </c>
      <c r="T124" s="1485">
        <f t="shared" si="46"/>
        <v>0</v>
      </c>
      <c r="U124" s="1483">
        <f t="shared" si="40"/>
        <v>0</v>
      </c>
      <c r="V124" s="1483">
        <f t="shared" si="41"/>
        <v>0</v>
      </c>
      <c r="W124" s="1486"/>
      <c r="X124" s="1483">
        <f t="shared" si="42"/>
        <v>0</v>
      </c>
      <c r="Y124" s="1483">
        <f t="shared" si="43"/>
        <v>0</v>
      </c>
      <c r="Z124" s="1486"/>
    </row>
    <row r="125" spans="1:26">
      <c r="A125" s="1414"/>
      <c r="B125" s="1415"/>
      <c r="C125" s="1405">
        <f t="shared" si="32"/>
        <v>1</v>
      </c>
      <c r="D125" s="1411"/>
      <c r="E125" s="1405">
        <f t="shared" si="33"/>
        <v>0</v>
      </c>
      <c r="F125" s="1411"/>
      <c r="G125" s="1405">
        <f t="shared" si="34"/>
        <v>1</v>
      </c>
      <c r="H125" s="1411"/>
      <c r="I125" s="1405">
        <f t="shared" si="35"/>
        <v>1</v>
      </c>
      <c r="J125" s="1411"/>
      <c r="K125" s="1405">
        <f t="shared" si="36"/>
        <v>1</v>
      </c>
      <c r="L125" s="1411"/>
      <c r="M125" s="1405">
        <f t="shared" si="37"/>
        <v>1</v>
      </c>
      <c r="N125" s="1411"/>
      <c r="O125" s="1405">
        <f t="shared" si="38"/>
        <v>1</v>
      </c>
      <c r="P125" s="1411"/>
      <c r="Q125" s="1405">
        <f t="shared" si="39"/>
        <v>0</v>
      </c>
      <c r="R125" s="1476">
        <f t="shared" si="44"/>
        <v>0</v>
      </c>
      <c r="S125" s="1358">
        <f t="shared" si="45"/>
        <v>0</v>
      </c>
      <c r="T125" s="1485">
        <f t="shared" si="46"/>
        <v>0</v>
      </c>
      <c r="U125" s="1483">
        <f t="shared" si="40"/>
        <v>0</v>
      </c>
      <c r="V125" s="1483">
        <f t="shared" si="41"/>
        <v>0</v>
      </c>
      <c r="W125" s="1486"/>
      <c r="X125" s="1483">
        <f t="shared" si="42"/>
        <v>0</v>
      </c>
      <c r="Y125" s="1483">
        <f t="shared" si="43"/>
        <v>0</v>
      </c>
      <c r="Z125" s="1486"/>
    </row>
    <row r="126" spans="1:26">
      <c r="A126" s="1414"/>
      <c r="B126" s="1415"/>
      <c r="C126" s="1405">
        <f t="shared" si="32"/>
        <v>1</v>
      </c>
      <c r="D126" s="1411"/>
      <c r="E126" s="1405">
        <f t="shared" si="33"/>
        <v>0</v>
      </c>
      <c r="F126" s="1411"/>
      <c r="G126" s="1405">
        <f t="shared" si="34"/>
        <v>1</v>
      </c>
      <c r="H126" s="1411"/>
      <c r="I126" s="1405">
        <f t="shared" si="35"/>
        <v>1</v>
      </c>
      <c r="J126" s="1411"/>
      <c r="K126" s="1405">
        <f t="shared" si="36"/>
        <v>1</v>
      </c>
      <c r="L126" s="1411"/>
      <c r="M126" s="1405">
        <f t="shared" si="37"/>
        <v>1</v>
      </c>
      <c r="N126" s="1411"/>
      <c r="O126" s="1405">
        <f t="shared" si="38"/>
        <v>1</v>
      </c>
      <c r="P126" s="1411"/>
      <c r="Q126" s="1405">
        <f t="shared" si="39"/>
        <v>0</v>
      </c>
      <c r="R126" s="1476">
        <f t="shared" si="44"/>
        <v>0</v>
      </c>
      <c r="S126" s="1358">
        <f t="shared" si="45"/>
        <v>0</v>
      </c>
      <c r="T126" s="1485">
        <f t="shared" si="46"/>
        <v>0</v>
      </c>
      <c r="U126" s="1483">
        <f t="shared" si="40"/>
        <v>0</v>
      </c>
      <c r="V126" s="1483">
        <f t="shared" si="41"/>
        <v>0</v>
      </c>
      <c r="W126" s="1486"/>
      <c r="X126" s="1483">
        <f t="shared" si="42"/>
        <v>0</v>
      </c>
      <c r="Y126" s="1483">
        <f t="shared" si="43"/>
        <v>0</v>
      </c>
      <c r="Z126" s="1486"/>
    </row>
    <row r="127" spans="1:26">
      <c r="A127" s="1414"/>
      <c r="B127" s="1415"/>
      <c r="C127" s="1405">
        <f t="shared" si="32"/>
        <v>1</v>
      </c>
      <c r="D127" s="1411"/>
      <c r="E127" s="1405">
        <f t="shared" si="33"/>
        <v>0</v>
      </c>
      <c r="F127" s="1411"/>
      <c r="G127" s="1405">
        <f t="shared" si="34"/>
        <v>1</v>
      </c>
      <c r="H127" s="1411"/>
      <c r="I127" s="1405">
        <f t="shared" si="35"/>
        <v>1</v>
      </c>
      <c r="J127" s="1411"/>
      <c r="K127" s="1405">
        <f t="shared" si="36"/>
        <v>1</v>
      </c>
      <c r="L127" s="1411"/>
      <c r="M127" s="1405">
        <f t="shared" si="37"/>
        <v>1</v>
      </c>
      <c r="N127" s="1411"/>
      <c r="O127" s="1405">
        <f t="shared" si="38"/>
        <v>1</v>
      </c>
      <c r="P127" s="1411"/>
      <c r="Q127" s="1405">
        <f t="shared" si="39"/>
        <v>0</v>
      </c>
      <c r="R127" s="1476">
        <f t="shared" si="44"/>
        <v>0</v>
      </c>
      <c r="S127" s="1358">
        <f t="shared" si="45"/>
        <v>0</v>
      </c>
      <c r="T127" s="1485">
        <f t="shared" si="46"/>
        <v>0</v>
      </c>
      <c r="U127" s="1483">
        <f t="shared" si="40"/>
        <v>0</v>
      </c>
      <c r="V127" s="1483">
        <f t="shared" si="41"/>
        <v>0</v>
      </c>
      <c r="W127" s="1486"/>
      <c r="X127" s="1483">
        <f t="shared" si="42"/>
        <v>0</v>
      </c>
      <c r="Y127" s="1483">
        <f t="shared" si="43"/>
        <v>0</v>
      </c>
      <c r="Z127" s="1486"/>
    </row>
    <row r="128" spans="1:26">
      <c r="A128" s="1414"/>
      <c r="B128" s="1415"/>
      <c r="C128" s="1405">
        <f t="shared" si="32"/>
        <v>1</v>
      </c>
      <c r="D128" s="1411"/>
      <c r="E128" s="1405">
        <f t="shared" si="33"/>
        <v>0</v>
      </c>
      <c r="F128" s="1411"/>
      <c r="G128" s="1405">
        <f t="shared" si="34"/>
        <v>1</v>
      </c>
      <c r="H128" s="1411"/>
      <c r="I128" s="1405">
        <f t="shared" si="35"/>
        <v>1</v>
      </c>
      <c r="J128" s="1411"/>
      <c r="K128" s="1405">
        <f t="shared" si="36"/>
        <v>1</v>
      </c>
      <c r="L128" s="1411"/>
      <c r="M128" s="1405">
        <f t="shared" si="37"/>
        <v>1</v>
      </c>
      <c r="N128" s="1411"/>
      <c r="O128" s="1405">
        <f t="shared" si="38"/>
        <v>1</v>
      </c>
      <c r="P128" s="1411"/>
      <c r="Q128" s="1405">
        <f t="shared" si="39"/>
        <v>0</v>
      </c>
      <c r="R128" s="1476">
        <f t="shared" si="44"/>
        <v>0</v>
      </c>
      <c r="S128" s="1358">
        <f t="shared" si="45"/>
        <v>0</v>
      </c>
      <c r="T128" s="1485">
        <f t="shared" si="46"/>
        <v>0</v>
      </c>
      <c r="U128" s="1483">
        <f t="shared" si="40"/>
        <v>0</v>
      </c>
      <c r="V128" s="1483">
        <f t="shared" si="41"/>
        <v>0</v>
      </c>
      <c r="W128" s="1486"/>
      <c r="X128" s="1483">
        <f t="shared" si="42"/>
        <v>0</v>
      </c>
      <c r="Y128" s="1483">
        <f t="shared" si="43"/>
        <v>0</v>
      </c>
      <c r="Z128" s="1486"/>
    </row>
    <row r="129" spans="1:26">
      <c r="A129" s="1414"/>
      <c r="B129" s="1415"/>
      <c r="C129" s="1405">
        <f t="shared" si="32"/>
        <v>1</v>
      </c>
      <c r="D129" s="1411"/>
      <c r="E129" s="1405">
        <f t="shared" si="33"/>
        <v>0</v>
      </c>
      <c r="F129" s="1411"/>
      <c r="G129" s="1405">
        <f t="shared" si="34"/>
        <v>1</v>
      </c>
      <c r="H129" s="1411"/>
      <c r="I129" s="1405">
        <f t="shared" si="35"/>
        <v>1</v>
      </c>
      <c r="J129" s="1411"/>
      <c r="K129" s="1405">
        <f t="shared" si="36"/>
        <v>1</v>
      </c>
      <c r="L129" s="1411"/>
      <c r="M129" s="1405">
        <f t="shared" si="37"/>
        <v>1</v>
      </c>
      <c r="N129" s="1411"/>
      <c r="O129" s="1405">
        <f t="shared" si="38"/>
        <v>1</v>
      </c>
      <c r="P129" s="1411"/>
      <c r="Q129" s="1405">
        <f t="shared" si="39"/>
        <v>0</v>
      </c>
      <c r="R129" s="1476">
        <f t="shared" si="44"/>
        <v>0</v>
      </c>
      <c r="S129" s="1358">
        <f t="shared" si="45"/>
        <v>0</v>
      </c>
      <c r="T129" s="1485">
        <f t="shared" si="46"/>
        <v>0</v>
      </c>
      <c r="U129" s="1483">
        <f t="shared" si="40"/>
        <v>0</v>
      </c>
      <c r="V129" s="1483">
        <f t="shared" si="41"/>
        <v>0</v>
      </c>
      <c r="W129" s="1486"/>
      <c r="X129" s="1483">
        <f t="shared" si="42"/>
        <v>0</v>
      </c>
      <c r="Y129" s="1483">
        <f t="shared" si="43"/>
        <v>0</v>
      </c>
      <c r="Z129" s="1486"/>
    </row>
    <row r="130" spans="1:26">
      <c r="A130" s="1414"/>
      <c r="B130" s="1415"/>
      <c r="C130" s="1405">
        <f t="shared" si="32"/>
        <v>1</v>
      </c>
      <c r="D130" s="1411"/>
      <c r="E130" s="1405">
        <f t="shared" si="33"/>
        <v>0</v>
      </c>
      <c r="F130" s="1411"/>
      <c r="G130" s="1405">
        <f t="shared" si="34"/>
        <v>1</v>
      </c>
      <c r="H130" s="1411"/>
      <c r="I130" s="1405">
        <f t="shared" si="35"/>
        <v>1</v>
      </c>
      <c r="J130" s="1411"/>
      <c r="K130" s="1405">
        <f t="shared" si="36"/>
        <v>1</v>
      </c>
      <c r="L130" s="1411"/>
      <c r="M130" s="1405">
        <f t="shared" si="37"/>
        <v>1</v>
      </c>
      <c r="N130" s="1411"/>
      <c r="O130" s="1405">
        <f t="shared" si="38"/>
        <v>1</v>
      </c>
      <c r="P130" s="1411"/>
      <c r="Q130" s="1405">
        <f t="shared" si="39"/>
        <v>0</v>
      </c>
      <c r="R130" s="1476">
        <f t="shared" si="44"/>
        <v>0</v>
      </c>
      <c r="S130" s="1358">
        <f t="shared" si="45"/>
        <v>0</v>
      </c>
      <c r="T130" s="1485">
        <f t="shared" si="46"/>
        <v>0</v>
      </c>
      <c r="U130" s="1483">
        <f t="shared" si="40"/>
        <v>0</v>
      </c>
      <c r="V130" s="1483">
        <f t="shared" si="41"/>
        <v>0</v>
      </c>
      <c r="W130" s="1486"/>
      <c r="X130" s="1483">
        <f t="shared" si="42"/>
        <v>0</v>
      </c>
      <c r="Y130" s="1483">
        <f t="shared" si="43"/>
        <v>0</v>
      </c>
      <c r="Z130" s="1486"/>
    </row>
    <row r="131" spans="1:26">
      <c r="A131" s="1414"/>
      <c r="B131" s="1415"/>
      <c r="C131" s="1405">
        <f t="shared" si="32"/>
        <v>1</v>
      </c>
      <c r="D131" s="1411"/>
      <c r="E131" s="1405">
        <f t="shared" si="33"/>
        <v>0</v>
      </c>
      <c r="F131" s="1411"/>
      <c r="G131" s="1405">
        <f t="shared" si="34"/>
        <v>1</v>
      </c>
      <c r="H131" s="1411"/>
      <c r="I131" s="1405">
        <f t="shared" si="35"/>
        <v>1</v>
      </c>
      <c r="J131" s="1411"/>
      <c r="K131" s="1405">
        <f t="shared" si="36"/>
        <v>1</v>
      </c>
      <c r="L131" s="1411"/>
      <c r="M131" s="1405">
        <f t="shared" si="37"/>
        <v>1</v>
      </c>
      <c r="N131" s="1411"/>
      <c r="O131" s="1405">
        <f t="shared" si="38"/>
        <v>1</v>
      </c>
      <c r="P131" s="1411"/>
      <c r="Q131" s="1405">
        <f t="shared" si="39"/>
        <v>0</v>
      </c>
      <c r="R131" s="1476">
        <f t="shared" si="44"/>
        <v>0</v>
      </c>
      <c r="S131" s="1358">
        <f t="shared" si="45"/>
        <v>0</v>
      </c>
      <c r="T131" s="1485">
        <f t="shared" si="46"/>
        <v>0</v>
      </c>
      <c r="U131" s="1483">
        <f t="shared" si="40"/>
        <v>0</v>
      </c>
      <c r="V131" s="1483">
        <f t="shared" si="41"/>
        <v>0</v>
      </c>
      <c r="W131" s="1486"/>
      <c r="X131" s="1483">
        <f t="shared" si="42"/>
        <v>0</v>
      </c>
      <c r="Y131" s="1483">
        <f t="shared" si="43"/>
        <v>0</v>
      </c>
      <c r="Z131" s="1486"/>
    </row>
    <row r="132" spans="1:26">
      <c r="A132" s="1414"/>
      <c r="B132" s="1415"/>
      <c r="C132" s="1405">
        <f t="shared" si="32"/>
        <v>1</v>
      </c>
      <c r="D132" s="1411"/>
      <c r="E132" s="1405">
        <f t="shared" si="33"/>
        <v>0</v>
      </c>
      <c r="F132" s="1411"/>
      <c r="G132" s="1405">
        <f t="shared" si="34"/>
        <v>1</v>
      </c>
      <c r="H132" s="1411"/>
      <c r="I132" s="1405">
        <f t="shared" si="35"/>
        <v>1</v>
      </c>
      <c r="J132" s="1411"/>
      <c r="K132" s="1405">
        <f t="shared" si="36"/>
        <v>1</v>
      </c>
      <c r="L132" s="1411"/>
      <c r="M132" s="1405">
        <f t="shared" si="37"/>
        <v>1</v>
      </c>
      <c r="N132" s="1411"/>
      <c r="O132" s="1405">
        <f t="shared" si="38"/>
        <v>1</v>
      </c>
      <c r="P132" s="1411"/>
      <c r="Q132" s="1405">
        <f t="shared" si="39"/>
        <v>0</v>
      </c>
      <c r="R132" s="1476">
        <f t="shared" si="44"/>
        <v>0</v>
      </c>
      <c r="S132" s="1358">
        <f t="shared" si="45"/>
        <v>0</v>
      </c>
      <c r="T132" s="1485">
        <f t="shared" si="46"/>
        <v>0</v>
      </c>
      <c r="U132" s="1483">
        <f t="shared" si="40"/>
        <v>0</v>
      </c>
      <c r="V132" s="1483">
        <f t="shared" si="41"/>
        <v>0</v>
      </c>
      <c r="W132" s="1486"/>
      <c r="X132" s="1483">
        <f t="shared" si="42"/>
        <v>0</v>
      </c>
      <c r="Y132" s="1483">
        <f t="shared" si="43"/>
        <v>0</v>
      </c>
      <c r="Z132" s="1486"/>
    </row>
    <row r="133" spans="1:26">
      <c r="A133" s="1414"/>
      <c r="B133" s="1415"/>
      <c r="C133" s="1405">
        <f t="shared" si="32"/>
        <v>1</v>
      </c>
      <c r="D133" s="1411"/>
      <c r="E133" s="1405">
        <f t="shared" si="33"/>
        <v>0</v>
      </c>
      <c r="F133" s="1411"/>
      <c r="G133" s="1405">
        <f t="shared" si="34"/>
        <v>1</v>
      </c>
      <c r="H133" s="1411"/>
      <c r="I133" s="1405">
        <f t="shared" si="35"/>
        <v>1</v>
      </c>
      <c r="J133" s="1411"/>
      <c r="K133" s="1405">
        <f t="shared" si="36"/>
        <v>1</v>
      </c>
      <c r="L133" s="1411"/>
      <c r="M133" s="1405">
        <f t="shared" si="37"/>
        <v>1</v>
      </c>
      <c r="N133" s="1411"/>
      <c r="O133" s="1405">
        <f t="shared" si="38"/>
        <v>1</v>
      </c>
      <c r="P133" s="1411"/>
      <c r="Q133" s="1405">
        <f t="shared" si="39"/>
        <v>0</v>
      </c>
      <c r="R133" s="1476">
        <f t="shared" si="44"/>
        <v>0</v>
      </c>
      <c r="S133" s="1358">
        <f t="shared" si="45"/>
        <v>0</v>
      </c>
      <c r="T133" s="1485">
        <f t="shared" si="46"/>
        <v>0</v>
      </c>
      <c r="U133" s="1483">
        <f t="shared" si="40"/>
        <v>0</v>
      </c>
      <c r="V133" s="1483">
        <f t="shared" si="41"/>
        <v>0</v>
      </c>
      <c r="W133" s="1486"/>
      <c r="X133" s="1483">
        <f t="shared" si="42"/>
        <v>0</v>
      </c>
      <c r="Y133" s="1483">
        <f t="shared" si="43"/>
        <v>0</v>
      </c>
      <c r="Z133" s="1486"/>
    </row>
    <row r="134" spans="1:26">
      <c r="A134" s="1414"/>
      <c r="B134" s="1415"/>
      <c r="C134" s="1405">
        <f t="shared" si="32"/>
        <v>1</v>
      </c>
      <c r="D134" s="1411"/>
      <c r="E134" s="1405">
        <f t="shared" si="33"/>
        <v>0</v>
      </c>
      <c r="F134" s="1411"/>
      <c r="G134" s="1405">
        <f t="shared" si="34"/>
        <v>1</v>
      </c>
      <c r="H134" s="1411"/>
      <c r="I134" s="1405">
        <f t="shared" si="35"/>
        <v>1</v>
      </c>
      <c r="J134" s="1411"/>
      <c r="K134" s="1405">
        <f t="shared" si="36"/>
        <v>1</v>
      </c>
      <c r="L134" s="1411"/>
      <c r="M134" s="1405">
        <f t="shared" si="37"/>
        <v>1</v>
      </c>
      <c r="N134" s="1411"/>
      <c r="O134" s="1405">
        <f t="shared" si="38"/>
        <v>1</v>
      </c>
      <c r="P134" s="1411"/>
      <c r="Q134" s="1405">
        <f t="shared" si="39"/>
        <v>0</v>
      </c>
      <c r="R134" s="1476">
        <f t="shared" si="44"/>
        <v>0</v>
      </c>
      <c r="S134" s="1358">
        <f t="shared" si="45"/>
        <v>0</v>
      </c>
      <c r="T134" s="1485">
        <f t="shared" si="46"/>
        <v>0</v>
      </c>
      <c r="U134" s="1483">
        <f t="shared" si="40"/>
        <v>0</v>
      </c>
      <c r="V134" s="1483">
        <f t="shared" si="41"/>
        <v>0</v>
      </c>
      <c r="W134" s="1486"/>
      <c r="X134" s="1483">
        <f t="shared" si="42"/>
        <v>0</v>
      </c>
      <c r="Y134" s="1483">
        <f t="shared" si="43"/>
        <v>0</v>
      </c>
      <c r="Z134" s="1486"/>
    </row>
    <row r="135" spans="1:26">
      <c r="A135" s="1414"/>
      <c r="B135" s="1415"/>
      <c r="C135" s="1405">
        <f t="shared" si="32"/>
        <v>1</v>
      </c>
      <c r="D135" s="1411"/>
      <c r="E135" s="1405">
        <f t="shared" si="33"/>
        <v>0</v>
      </c>
      <c r="F135" s="1411"/>
      <c r="G135" s="1405">
        <f t="shared" si="34"/>
        <v>1</v>
      </c>
      <c r="H135" s="1411"/>
      <c r="I135" s="1405">
        <f t="shared" si="35"/>
        <v>1</v>
      </c>
      <c r="J135" s="1411"/>
      <c r="K135" s="1405">
        <f t="shared" si="36"/>
        <v>1</v>
      </c>
      <c r="L135" s="1411"/>
      <c r="M135" s="1405">
        <f t="shared" si="37"/>
        <v>1</v>
      </c>
      <c r="N135" s="1411"/>
      <c r="O135" s="1405">
        <f t="shared" si="38"/>
        <v>1</v>
      </c>
      <c r="P135" s="1411"/>
      <c r="Q135" s="1405">
        <f t="shared" si="39"/>
        <v>0</v>
      </c>
      <c r="R135" s="1476">
        <f t="shared" si="44"/>
        <v>0</v>
      </c>
      <c r="S135" s="1358">
        <f t="shared" si="45"/>
        <v>0</v>
      </c>
      <c r="T135" s="1485">
        <f t="shared" si="46"/>
        <v>0</v>
      </c>
      <c r="U135" s="1483">
        <f t="shared" si="40"/>
        <v>0</v>
      </c>
      <c r="V135" s="1483">
        <f t="shared" si="41"/>
        <v>0</v>
      </c>
      <c r="W135" s="1486"/>
      <c r="X135" s="1483">
        <f t="shared" si="42"/>
        <v>0</v>
      </c>
      <c r="Y135" s="1483">
        <f t="shared" si="43"/>
        <v>0</v>
      </c>
      <c r="Z135" s="1486"/>
    </row>
    <row r="136" spans="1:26">
      <c r="A136" s="1414"/>
      <c r="B136" s="1415"/>
      <c r="C136" s="1405">
        <f t="shared" si="32"/>
        <v>1</v>
      </c>
      <c r="D136" s="1411"/>
      <c r="E136" s="1405">
        <f t="shared" si="33"/>
        <v>0</v>
      </c>
      <c r="F136" s="1411"/>
      <c r="G136" s="1405">
        <f t="shared" si="34"/>
        <v>1</v>
      </c>
      <c r="H136" s="1411"/>
      <c r="I136" s="1405">
        <f t="shared" si="35"/>
        <v>1</v>
      </c>
      <c r="J136" s="1411"/>
      <c r="K136" s="1405">
        <f t="shared" si="36"/>
        <v>1</v>
      </c>
      <c r="L136" s="1411"/>
      <c r="M136" s="1405">
        <f t="shared" si="37"/>
        <v>1</v>
      </c>
      <c r="N136" s="1411"/>
      <c r="O136" s="1405">
        <f t="shared" si="38"/>
        <v>1</v>
      </c>
      <c r="P136" s="1411"/>
      <c r="Q136" s="1405">
        <f t="shared" si="39"/>
        <v>0</v>
      </c>
      <c r="R136" s="1476">
        <f t="shared" si="44"/>
        <v>0</v>
      </c>
      <c r="S136" s="1358">
        <f t="shared" si="45"/>
        <v>0</v>
      </c>
      <c r="T136" s="1485">
        <f t="shared" si="46"/>
        <v>0</v>
      </c>
      <c r="U136" s="1483">
        <f t="shared" si="40"/>
        <v>0</v>
      </c>
      <c r="V136" s="1483">
        <f t="shared" si="41"/>
        <v>0</v>
      </c>
      <c r="W136" s="1486"/>
      <c r="X136" s="1483">
        <f t="shared" si="42"/>
        <v>0</v>
      </c>
      <c r="Y136" s="1483">
        <f t="shared" si="43"/>
        <v>0</v>
      </c>
      <c r="Z136" s="1486"/>
    </row>
    <row r="137" spans="1:26">
      <c r="A137" s="1414"/>
      <c r="B137" s="1415"/>
      <c r="C137" s="1405">
        <f t="shared" si="32"/>
        <v>1</v>
      </c>
      <c r="D137" s="1411"/>
      <c r="E137" s="1405">
        <f t="shared" si="33"/>
        <v>0</v>
      </c>
      <c r="F137" s="1411"/>
      <c r="G137" s="1405">
        <f t="shared" si="34"/>
        <v>1</v>
      </c>
      <c r="H137" s="1411"/>
      <c r="I137" s="1405">
        <f t="shared" si="35"/>
        <v>1</v>
      </c>
      <c r="J137" s="1411"/>
      <c r="K137" s="1405">
        <f t="shared" si="36"/>
        <v>1</v>
      </c>
      <c r="L137" s="1411"/>
      <c r="M137" s="1405">
        <f t="shared" si="37"/>
        <v>1</v>
      </c>
      <c r="N137" s="1411"/>
      <c r="O137" s="1405">
        <f t="shared" si="38"/>
        <v>1</v>
      </c>
      <c r="P137" s="1411"/>
      <c r="Q137" s="1405">
        <f t="shared" si="39"/>
        <v>0</v>
      </c>
      <c r="R137" s="1476">
        <f t="shared" si="44"/>
        <v>0</v>
      </c>
      <c r="S137" s="1358">
        <f t="shared" si="45"/>
        <v>0</v>
      </c>
      <c r="T137" s="1485">
        <f t="shared" si="46"/>
        <v>0</v>
      </c>
      <c r="U137" s="1483">
        <f t="shared" si="40"/>
        <v>0</v>
      </c>
      <c r="V137" s="1483">
        <f t="shared" si="41"/>
        <v>0</v>
      </c>
      <c r="W137" s="1486"/>
      <c r="X137" s="1483">
        <f t="shared" si="42"/>
        <v>0</v>
      </c>
      <c r="Y137" s="1483">
        <f t="shared" si="43"/>
        <v>0</v>
      </c>
      <c r="Z137" s="1486"/>
    </row>
    <row r="138" spans="1:26">
      <c r="A138" s="1414"/>
      <c r="B138" s="1415"/>
      <c r="C138" s="1405">
        <f t="shared" si="32"/>
        <v>1</v>
      </c>
      <c r="D138" s="1411"/>
      <c r="E138" s="1405">
        <f t="shared" si="33"/>
        <v>0</v>
      </c>
      <c r="F138" s="1411"/>
      <c r="G138" s="1405">
        <f t="shared" si="34"/>
        <v>1</v>
      </c>
      <c r="H138" s="1411"/>
      <c r="I138" s="1405">
        <f t="shared" si="35"/>
        <v>1</v>
      </c>
      <c r="J138" s="1411"/>
      <c r="K138" s="1405">
        <f t="shared" si="36"/>
        <v>1</v>
      </c>
      <c r="L138" s="1411"/>
      <c r="M138" s="1405">
        <f t="shared" si="37"/>
        <v>1</v>
      </c>
      <c r="N138" s="1411"/>
      <c r="O138" s="1405">
        <f t="shared" si="38"/>
        <v>1</v>
      </c>
      <c r="P138" s="1411"/>
      <c r="Q138" s="1405">
        <f t="shared" si="39"/>
        <v>0</v>
      </c>
      <c r="R138" s="1476">
        <f t="shared" si="44"/>
        <v>0</v>
      </c>
      <c r="S138" s="1358">
        <f t="shared" si="45"/>
        <v>0</v>
      </c>
      <c r="T138" s="1485">
        <f t="shared" si="46"/>
        <v>0</v>
      </c>
      <c r="U138" s="1483">
        <f t="shared" si="40"/>
        <v>0</v>
      </c>
      <c r="V138" s="1483">
        <f t="shared" si="41"/>
        <v>0</v>
      </c>
      <c r="W138" s="1486"/>
      <c r="X138" s="1483">
        <f t="shared" si="42"/>
        <v>0</v>
      </c>
      <c r="Y138" s="1483">
        <f t="shared" si="43"/>
        <v>0</v>
      </c>
      <c r="Z138" s="1486"/>
    </row>
    <row r="139" spans="1:26">
      <c r="A139" s="1414"/>
      <c r="B139" s="1415"/>
      <c r="C139" s="1405">
        <f t="shared" si="32"/>
        <v>1</v>
      </c>
      <c r="D139" s="1411"/>
      <c r="E139" s="1405">
        <f t="shared" si="33"/>
        <v>0</v>
      </c>
      <c r="F139" s="1411"/>
      <c r="G139" s="1405">
        <f t="shared" si="34"/>
        <v>1</v>
      </c>
      <c r="H139" s="1411"/>
      <c r="I139" s="1405">
        <f t="shared" si="35"/>
        <v>1</v>
      </c>
      <c r="J139" s="1411"/>
      <c r="K139" s="1405">
        <f t="shared" si="36"/>
        <v>1</v>
      </c>
      <c r="L139" s="1411"/>
      <c r="M139" s="1405">
        <f t="shared" si="37"/>
        <v>1</v>
      </c>
      <c r="N139" s="1411"/>
      <c r="O139" s="1405">
        <f t="shared" si="38"/>
        <v>1</v>
      </c>
      <c r="P139" s="1411"/>
      <c r="Q139" s="1405">
        <f t="shared" si="39"/>
        <v>0</v>
      </c>
      <c r="R139" s="1476">
        <f t="shared" si="44"/>
        <v>0</v>
      </c>
      <c r="S139" s="1358">
        <f t="shared" si="45"/>
        <v>0</v>
      </c>
      <c r="T139" s="1485">
        <f t="shared" si="46"/>
        <v>0</v>
      </c>
      <c r="U139" s="1483">
        <f t="shared" si="40"/>
        <v>0</v>
      </c>
      <c r="V139" s="1483">
        <f t="shared" si="41"/>
        <v>0</v>
      </c>
      <c r="W139" s="1486"/>
      <c r="X139" s="1483">
        <f t="shared" si="42"/>
        <v>0</v>
      </c>
      <c r="Y139" s="1483">
        <f t="shared" si="43"/>
        <v>0</v>
      </c>
      <c r="Z139" s="1486"/>
    </row>
    <row r="140" spans="1:26">
      <c r="A140" s="1414"/>
      <c r="B140" s="1415"/>
      <c r="C140" s="1405">
        <f t="shared" si="32"/>
        <v>1</v>
      </c>
      <c r="D140" s="1411"/>
      <c r="E140" s="1405">
        <f t="shared" si="33"/>
        <v>0</v>
      </c>
      <c r="F140" s="1411"/>
      <c r="G140" s="1405">
        <f t="shared" si="34"/>
        <v>1</v>
      </c>
      <c r="H140" s="1411"/>
      <c r="I140" s="1405">
        <f t="shared" si="35"/>
        <v>1</v>
      </c>
      <c r="J140" s="1411"/>
      <c r="K140" s="1405">
        <f t="shared" si="36"/>
        <v>1</v>
      </c>
      <c r="L140" s="1411"/>
      <c r="M140" s="1405">
        <f t="shared" si="37"/>
        <v>1</v>
      </c>
      <c r="N140" s="1411"/>
      <c r="O140" s="1405">
        <f t="shared" si="38"/>
        <v>1</v>
      </c>
      <c r="P140" s="1411"/>
      <c r="Q140" s="1405">
        <f t="shared" si="39"/>
        <v>0</v>
      </c>
      <c r="R140" s="1476">
        <f t="shared" si="44"/>
        <v>0</v>
      </c>
      <c r="S140" s="1358">
        <f t="shared" si="45"/>
        <v>0</v>
      </c>
      <c r="T140" s="1485">
        <f t="shared" si="46"/>
        <v>0</v>
      </c>
      <c r="U140" s="1483">
        <f t="shared" si="40"/>
        <v>0</v>
      </c>
      <c r="V140" s="1483">
        <f t="shared" si="41"/>
        <v>0</v>
      </c>
      <c r="W140" s="1486"/>
      <c r="X140" s="1483">
        <f t="shared" si="42"/>
        <v>0</v>
      </c>
      <c r="Y140" s="1483">
        <f t="shared" si="43"/>
        <v>0</v>
      </c>
      <c r="Z140" s="1486"/>
    </row>
    <row r="141" spans="1:26">
      <c r="A141" s="1414"/>
      <c r="B141" s="1415"/>
      <c r="C141" s="1405">
        <f t="shared" si="32"/>
        <v>1</v>
      </c>
      <c r="D141" s="1411"/>
      <c r="E141" s="1405">
        <f t="shared" si="33"/>
        <v>0</v>
      </c>
      <c r="F141" s="1411"/>
      <c r="G141" s="1405">
        <f t="shared" si="34"/>
        <v>1</v>
      </c>
      <c r="H141" s="1411"/>
      <c r="I141" s="1405">
        <f t="shared" si="35"/>
        <v>1</v>
      </c>
      <c r="J141" s="1411"/>
      <c r="K141" s="1405">
        <f t="shared" si="36"/>
        <v>1</v>
      </c>
      <c r="L141" s="1411"/>
      <c r="M141" s="1405">
        <f t="shared" si="37"/>
        <v>1</v>
      </c>
      <c r="N141" s="1411"/>
      <c r="O141" s="1405">
        <f t="shared" si="38"/>
        <v>1</v>
      </c>
      <c r="P141" s="1411"/>
      <c r="Q141" s="1405">
        <f t="shared" si="39"/>
        <v>0</v>
      </c>
      <c r="R141" s="1476">
        <f t="shared" si="44"/>
        <v>0</v>
      </c>
      <c r="S141" s="1358">
        <f t="shared" si="45"/>
        <v>0</v>
      </c>
      <c r="T141" s="1485">
        <f t="shared" si="46"/>
        <v>0</v>
      </c>
      <c r="U141" s="1483">
        <f t="shared" si="40"/>
        <v>0</v>
      </c>
      <c r="V141" s="1483">
        <f t="shared" si="41"/>
        <v>0</v>
      </c>
      <c r="W141" s="1486"/>
      <c r="X141" s="1483">
        <f t="shared" si="42"/>
        <v>0</v>
      </c>
      <c r="Y141" s="1483">
        <f t="shared" si="43"/>
        <v>0</v>
      </c>
      <c r="Z141" s="1486"/>
    </row>
    <row r="142" spans="1:26">
      <c r="A142" s="1414"/>
      <c r="B142" s="1415"/>
      <c r="C142" s="1405">
        <f t="shared" si="32"/>
        <v>1</v>
      </c>
      <c r="D142" s="1411"/>
      <c r="E142" s="1405">
        <f t="shared" si="33"/>
        <v>0</v>
      </c>
      <c r="F142" s="1411"/>
      <c r="G142" s="1405">
        <f t="shared" si="34"/>
        <v>1</v>
      </c>
      <c r="H142" s="1411"/>
      <c r="I142" s="1405">
        <f t="shared" si="35"/>
        <v>1</v>
      </c>
      <c r="J142" s="1411"/>
      <c r="K142" s="1405">
        <f t="shared" si="36"/>
        <v>1</v>
      </c>
      <c r="L142" s="1411"/>
      <c r="M142" s="1405">
        <f t="shared" si="37"/>
        <v>1</v>
      </c>
      <c r="N142" s="1411"/>
      <c r="O142" s="1405">
        <f t="shared" si="38"/>
        <v>1</v>
      </c>
      <c r="P142" s="1411"/>
      <c r="Q142" s="1405">
        <f t="shared" si="39"/>
        <v>0</v>
      </c>
      <c r="R142" s="1476">
        <f t="shared" si="44"/>
        <v>0</v>
      </c>
      <c r="S142" s="1358">
        <f t="shared" si="45"/>
        <v>0</v>
      </c>
      <c r="T142" s="1485">
        <f t="shared" si="46"/>
        <v>0</v>
      </c>
      <c r="U142" s="1483">
        <f t="shared" si="40"/>
        <v>0</v>
      </c>
      <c r="V142" s="1483">
        <f t="shared" si="41"/>
        <v>0</v>
      </c>
      <c r="W142" s="1486"/>
      <c r="X142" s="1483">
        <f t="shared" si="42"/>
        <v>0</v>
      </c>
      <c r="Y142" s="1483">
        <f t="shared" si="43"/>
        <v>0</v>
      </c>
      <c r="Z142" s="1486"/>
    </row>
    <row r="143" spans="1:26">
      <c r="A143" s="1414"/>
      <c r="B143" s="1415"/>
      <c r="C143" s="1405">
        <f t="shared" si="32"/>
        <v>1</v>
      </c>
      <c r="D143" s="1411"/>
      <c r="E143" s="1405">
        <f t="shared" si="33"/>
        <v>0</v>
      </c>
      <c r="F143" s="1411"/>
      <c r="G143" s="1405">
        <f t="shared" si="34"/>
        <v>1</v>
      </c>
      <c r="H143" s="1411"/>
      <c r="I143" s="1405">
        <f t="shared" si="35"/>
        <v>1</v>
      </c>
      <c r="J143" s="1411"/>
      <c r="K143" s="1405">
        <f t="shared" si="36"/>
        <v>1</v>
      </c>
      <c r="L143" s="1411"/>
      <c r="M143" s="1405">
        <f t="shared" si="37"/>
        <v>1</v>
      </c>
      <c r="N143" s="1411"/>
      <c r="O143" s="1405">
        <f t="shared" si="38"/>
        <v>1</v>
      </c>
      <c r="P143" s="1411"/>
      <c r="Q143" s="1405">
        <f t="shared" si="39"/>
        <v>0</v>
      </c>
      <c r="R143" s="1476">
        <f t="shared" si="44"/>
        <v>0</v>
      </c>
      <c r="S143" s="1358">
        <f t="shared" si="45"/>
        <v>0</v>
      </c>
      <c r="T143" s="1485">
        <f t="shared" si="46"/>
        <v>0</v>
      </c>
      <c r="U143" s="1483">
        <f t="shared" si="40"/>
        <v>0</v>
      </c>
      <c r="V143" s="1483">
        <f t="shared" si="41"/>
        <v>0</v>
      </c>
      <c r="W143" s="1486"/>
      <c r="X143" s="1483">
        <f t="shared" si="42"/>
        <v>0</v>
      </c>
      <c r="Y143" s="1483">
        <f t="shared" si="43"/>
        <v>0</v>
      </c>
      <c r="Z143" s="1486"/>
    </row>
    <row r="144" spans="1:26">
      <c r="A144" s="1414"/>
      <c r="B144" s="1415"/>
      <c r="C144" s="1405">
        <f t="shared" si="32"/>
        <v>1</v>
      </c>
      <c r="D144" s="1411"/>
      <c r="E144" s="1405">
        <f t="shared" si="33"/>
        <v>0</v>
      </c>
      <c r="F144" s="1411"/>
      <c r="G144" s="1405">
        <f t="shared" si="34"/>
        <v>1</v>
      </c>
      <c r="H144" s="1411"/>
      <c r="I144" s="1405">
        <f t="shared" si="35"/>
        <v>1</v>
      </c>
      <c r="J144" s="1411"/>
      <c r="K144" s="1405">
        <f t="shared" si="36"/>
        <v>1</v>
      </c>
      <c r="L144" s="1411"/>
      <c r="M144" s="1405">
        <f t="shared" si="37"/>
        <v>1</v>
      </c>
      <c r="N144" s="1411"/>
      <c r="O144" s="1405">
        <f t="shared" si="38"/>
        <v>1</v>
      </c>
      <c r="P144" s="1411"/>
      <c r="Q144" s="1405">
        <f t="shared" si="39"/>
        <v>0</v>
      </c>
      <c r="R144" s="1476">
        <f t="shared" si="44"/>
        <v>0</v>
      </c>
      <c r="S144" s="1358">
        <f t="shared" si="45"/>
        <v>0</v>
      </c>
      <c r="T144" s="1485">
        <f t="shared" si="46"/>
        <v>0</v>
      </c>
      <c r="U144" s="1483">
        <f t="shared" si="40"/>
        <v>0</v>
      </c>
      <c r="V144" s="1483">
        <f t="shared" si="41"/>
        <v>0</v>
      </c>
      <c r="W144" s="1486"/>
      <c r="X144" s="1483">
        <f t="shared" si="42"/>
        <v>0</v>
      </c>
      <c r="Y144" s="1483">
        <f t="shared" si="43"/>
        <v>0</v>
      </c>
      <c r="Z144" s="1486"/>
    </row>
    <row r="145" spans="1:26">
      <c r="A145" s="1414"/>
      <c r="B145" s="1415"/>
      <c r="C145" s="1405">
        <f t="shared" si="32"/>
        <v>1</v>
      </c>
      <c r="D145" s="1411"/>
      <c r="E145" s="1405">
        <f t="shared" si="33"/>
        <v>0</v>
      </c>
      <c r="F145" s="1411"/>
      <c r="G145" s="1405">
        <f t="shared" si="34"/>
        <v>1</v>
      </c>
      <c r="H145" s="1411"/>
      <c r="I145" s="1405">
        <f t="shared" si="35"/>
        <v>1</v>
      </c>
      <c r="J145" s="1411"/>
      <c r="K145" s="1405">
        <f t="shared" si="36"/>
        <v>1</v>
      </c>
      <c r="L145" s="1411"/>
      <c r="M145" s="1405">
        <f t="shared" si="37"/>
        <v>1</v>
      </c>
      <c r="N145" s="1411"/>
      <c r="O145" s="1405">
        <f t="shared" si="38"/>
        <v>1</v>
      </c>
      <c r="P145" s="1411"/>
      <c r="Q145" s="1405">
        <f t="shared" si="39"/>
        <v>0</v>
      </c>
      <c r="R145" s="1476">
        <f t="shared" si="44"/>
        <v>0</v>
      </c>
      <c r="S145" s="1358">
        <f t="shared" si="45"/>
        <v>0</v>
      </c>
      <c r="T145" s="1485">
        <f t="shared" si="46"/>
        <v>0</v>
      </c>
      <c r="U145" s="1483">
        <f t="shared" si="40"/>
        <v>0</v>
      </c>
      <c r="V145" s="1483">
        <f t="shared" si="41"/>
        <v>0</v>
      </c>
      <c r="W145" s="1486"/>
      <c r="X145" s="1483">
        <f t="shared" si="42"/>
        <v>0</v>
      </c>
      <c r="Y145" s="1483">
        <f t="shared" si="43"/>
        <v>0</v>
      </c>
      <c r="Z145" s="1486"/>
    </row>
    <row r="146" spans="1:26">
      <c r="A146" s="1414"/>
      <c r="B146" s="1415"/>
      <c r="C146" s="1405">
        <f t="shared" si="32"/>
        <v>1</v>
      </c>
      <c r="D146" s="1411"/>
      <c r="E146" s="1405">
        <f t="shared" si="33"/>
        <v>0</v>
      </c>
      <c r="F146" s="1411"/>
      <c r="G146" s="1405">
        <f t="shared" si="34"/>
        <v>1</v>
      </c>
      <c r="H146" s="1411"/>
      <c r="I146" s="1405">
        <f t="shared" si="35"/>
        <v>1</v>
      </c>
      <c r="J146" s="1411"/>
      <c r="K146" s="1405">
        <f t="shared" si="36"/>
        <v>1</v>
      </c>
      <c r="L146" s="1411"/>
      <c r="M146" s="1405">
        <f t="shared" si="37"/>
        <v>1</v>
      </c>
      <c r="N146" s="1411"/>
      <c r="O146" s="1405">
        <f t="shared" si="38"/>
        <v>1</v>
      </c>
      <c r="P146" s="1411"/>
      <c r="Q146" s="1405">
        <f t="shared" si="39"/>
        <v>0</v>
      </c>
      <c r="R146" s="1476">
        <f t="shared" si="44"/>
        <v>0</v>
      </c>
      <c r="S146" s="1358">
        <f t="shared" si="45"/>
        <v>0</v>
      </c>
      <c r="T146" s="1485">
        <f t="shared" si="46"/>
        <v>0</v>
      </c>
      <c r="U146" s="1483">
        <f t="shared" si="40"/>
        <v>0</v>
      </c>
      <c r="V146" s="1483">
        <f t="shared" si="41"/>
        <v>0</v>
      </c>
      <c r="W146" s="1486"/>
      <c r="X146" s="1483">
        <f t="shared" si="42"/>
        <v>0</v>
      </c>
      <c r="Y146" s="1483">
        <f t="shared" si="43"/>
        <v>0</v>
      </c>
      <c r="Z146" s="1486"/>
    </row>
    <row r="147" spans="1:26">
      <c r="A147" s="1414"/>
      <c r="B147" s="1415"/>
      <c r="C147" s="1405">
        <f t="shared" si="32"/>
        <v>1</v>
      </c>
      <c r="D147" s="1411"/>
      <c r="E147" s="1405">
        <f t="shared" si="33"/>
        <v>0</v>
      </c>
      <c r="F147" s="1411"/>
      <c r="G147" s="1405">
        <f t="shared" si="34"/>
        <v>1</v>
      </c>
      <c r="H147" s="1411"/>
      <c r="I147" s="1405">
        <f t="shared" si="35"/>
        <v>1</v>
      </c>
      <c r="J147" s="1411"/>
      <c r="K147" s="1405">
        <f t="shared" si="36"/>
        <v>1</v>
      </c>
      <c r="L147" s="1411"/>
      <c r="M147" s="1405">
        <f t="shared" si="37"/>
        <v>1</v>
      </c>
      <c r="N147" s="1411"/>
      <c r="O147" s="1405">
        <f t="shared" si="38"/>
        <v>1</v>
      </c>
      <c r="P147" s="1411"/>
      <c r="Q147" s="1405">
        <f t="shared" si="39"/>
        <v>0</v>
      </c>
      <c r="R147" s="1476">
        <f t="shared" si="44"/>
        <v>0</v>
      </c>
      <c r="S147" s="1358">
        <f t="shared" si="45"/>
        <v>0</v>
      </c>
      <c r="T147" s="1485">
        <f t="shared" si="46"/>
        <v>0</v>
      </c>
      <c r="U147" s="1483">
        <f t="shared" si="40"/>
        <v>0</v>
      </c>
      <c r="V147" s="1483">
        <f t="shared" si="41"/>
        <v>0</v>
      </c>
      <c r="W147" s="1486"/>
      <c r="X147" s="1483">
        <f t="shared" si="42"/>
        <v>0</v>
      </c>
      <c r="Y147" s="1483">
        <f t="shared" si="43"/>
        <v>0</v>
      </c>
      <c r="Z147" s="1486"/>
    </row>
    <row r="148" spans="1:26">
      <c r="A148" s="1414"/>
      <c r="B148" s="1415"/>
      <c r="C148" s="1405">
        <f t="shared" si="32"/>
        <v>1</v>
      </c>
      <c r="D148" s="1411"/>
      <c r="E148" s="1405">
        <f t="shared" si="33"/>
        <v>0</v>
      </c>
      <c r="F148" s="1411"/>
      <c r="G148" s="1405">
        <f t="shared" si="34"/>
        <v>1</v>
      </c>
      <c r="H148" s="1411"/>
      <c r="I148" s="1405">
        <f t="shared" si="35"/>
        <v>1</v>
      </c>
      <c r="J148" s="1411"/>
      <c r="K148" s="1405">
        <f t="shared" si="36"/>
        <v>1</v>
      </c>
      <c r="L148" s="1411"/>
      <c r="M148" s="1405">
        <f t="shared" si="37"/>
        <v>1</v>
      </c>
      <c r="N148" s="1411"/>
      <c r="O148" s="1405">
        <f t="shared" si="38"/>
        <v>1</v>
      </c>
      <c r="P148" s="1411"/>
      <c r="Q148" s="1405">
        <f t="shared" si="39"/>
        <v>0</v>
      </c>
      <c r="R148" s="1476">
        <f t="shared" si="44"/>
        <v>0</v>
      </c>
      <c r="S148" s="1358">
        <f t="shared" si="45"/>
        <v>0</v>
      </c>
      <c r="T148" s="1485">
        <f t="shared" si="46"/>
        <v>0</v>
      </c>
      <c r="U148" s="1483">
        <f t="shared" si="40"/>
        <v>0</v>
      </c>
      <c r="V148" s="1483">
        <f t="shared" si="41"/>
        <v>0</v>
      </c>
      <c r="W148" s="1486"/>
      <c r="X148" s="1483">
        <f t="shared" si="42"/>
        <v>0</v>
      </c>
      <c r="Y148" s="1483">
        <f t="shared" si="43"/>
        <v>0</v>
      </c>
      <c r="Z148" s="1486"/>
    </row>
    <row r="149" spans="1:26">
      <c r="A149" s="1414"/>
      <c r="B149" s="1415"/>
      <c r="C149" s="1405">
        <f t="shared" si="32"/>
        <v>1</v>
      </c>
      <c r="D149" s="1411"/>
      <c r="E149" s="1405">
        <f t="shared" si="33"/>
        <v>0</v>
      </c>
      <c r="F149" s="1411"/>
      <c r="G149" s="1405">
        <f t="shared" si="34"/>
        <v>1</v>
      </c>
      <c r="H149" s="1411"/>
      <c r="I149" s="1405">
        <f t="shared" si="35"/>
        <v>1</v>
      </c>
      <c r="J149" s="1411"/>
      <c r="K149" s="1405">
        <f t="shared" si="36"/>
        <v>1</v>
      </c>
      <c r="L149" s="1411"/>
      <c r="M149" s="1405">
        <f t="shared" si="37"/>
        <v>1</v>
      </c>
      <c r="N149" s="1411"/>
      <c r="O149" s="1405">
        <f t="shared" si="38"/>
        <v>1</v>
      </c>
      <c r="P149" s="1411"/>
      <c r="Q149" s="1405">
        <f t="shared" si="39"/>
        <v>0</v>
      </c>
      <c r="R149" s="1476">
        <f t="shared" si="44"/>
        <v>0</v>
      </c>
      <c r="S149" s="1358">
        <f t="shared" si="45"/>
        <v>0</v>
      </c>
      <c r="T149" s="1485">
        <f t="shared" si="46"/>
        <v>0</v>
      </c>
      <c r="U149" s="1483">
        <f t="shared" si="40"/>
        <v>0</v>
      </c>
      <c r="V149" s="1483">
        <f t="shared" si="41"/>
        <v>0</v>
      </c>
      <c r="W149" s="1486"/>
      <c r="X149" s="1483">
        <f t="shared" si="42"/>
        <v>0</v>
      </c>
      <c r="Y149" s="1483">
        <f t="shared" si="43"/>
        <v>0</v>
      </c>
      <c r="Z149" s="1486"/>
    </row>
    <row r="150" spans="1:26">
      <c r="A150" s="1414"/>
      <c r="B150" s="1415"/>
      <c r="C150" s="1405">
        <f t="shared" si="32"/>
        <v>1</v>
      </c>
      <c r="D150" s="1411"/>
      <c r="E150" s="1405">
        <f t="shared" si="33"/>
        <v>0</v>
      </c>
      <c r="F150" s="1411"/>
      <c r="G150" s="1405">
        <f t="shared" si="34"/>
        <v>1</v>
      </c>
      <c r="H150" s="1411"/>
      <c r="I150" s="1405">
        <f t="shared" si="35"/>
        <v>1</v>
      </c>
      <c r="J150" s="1411"/>
      <c r="K150" s="1405">
        <f t="shared" si="36"/>
        <v>1</v>
      </c>
      <c r="L150" s="1411"/>
      <c r="M150" s="1405">
        <f t="shared" si="37"/>
        <v>1</v>
      </c>
      <c r="N150" s="1411"/>
      <c r="O150" s="1405">
        <f t="shared" si="38"/>
        <v>1</v>
      </c>
      <c r="P150" s="1411"/>
      <c r="Q150" s="1405">
        <f t="shared" si="39"/>
        <v>0</v>
      </c>
      <c r="R150" s="1476">
        <f t="shared" si="44"/>
        <v>0</v>
      </c>
      <c r="S150" s="1358">
        <f t="shared" si="45"/>
        <v>0</v>
      </c>
      <c r="T150" s="1485">
        <f t="shared" si="46"/>
        <v>0</v>
      </c>
      <c r="U150" s="1483">
        <f t="shared" si="40"/>
        <v>0</v>
      </c>
      <c r="V150" s="1483">
        <f t="shared" si="41"/>
        <v>0</v>
      </c>
      <c r="W150" s="1486"/>
      <c r="X150" s="1483">
        <f t="shared" si="42"/>
        <v>0</v>
      </c>
      <c r="Y150" s="1483">
        <f t="shared" si="43"/>
        <v>0</v>
      </c>
      <c r="Z150" s="1486"/>
    </row>
    <row r="151" spans="1:26">
      <c r="A151" s="1414"/>
      <c r="B151" s="1415"/>
      <c r="C151" s="1405">
        <f t="shared" si="32"/>
        <v>1</v>
      </c>
      <c r="D151" s="1411"/>
      <c r="E151" s="1405">
        <f t="shared" si="33"/>
        <v>0</v>
      </c>
      <c r="F151" s="1411"/>
      <c r="G151" s="1405">
        <f t="shared" si="34"/>
        <v>1</v>
      </c>
      <c r="H151" s="1411"/>
      <c r="I151" s="1405">
        <f t="shared" si="35"/>
        <v>1</v>
      </c>
      <c r="J151" s="1411"/>
      <c r="K151" s="1405">
        <f t="shared" si="36"/>
        <v>1</v>
      </c>
      <c r="L151" s="1411"/>
      <c r="M151" s="1405">
        <f t="shared" si="37"/>
        <v>1</v>
      </c>
      <c r="N151" s="1411"/>
      <c r="O151" s="1405">
        <f t="shared" si="38"/>
        <v>1</v>
      </c>
      <c r="P151" s="1411"/>
      <c r="Q151" s="1405">
        <f t="shared" si="39"/>
        <v>0</v>
      </c>
      <c r="R151" s="1476">
        <f t="shared" si="44"/>
        <v>0</v>
      </c>
      <c r="S151" s="1358">
        <f t="shared" si="45"/>
        <v>0</v>
      </c>
      <c r="T151" s="1485">
        <f t="shared" si="46"/>
        <v>0</v>
      </c>
      <c r="U151" s="1483">
        <f t="shared" si="40"/>
        <v>0</v>
      </c>
      <c r="V151" s="1483">
        <f t="shared" si="41"/>
        <v>0</v>
      </c>
      <c r="W151" s="1486"/>
      <c r="X151" s="1483">
        <f t="shared" si="42"/>
        <v>0</v>
      </c>
      <c r="Y151" s="1483">
        <f t="shared" si="43"/>
        <v>0</v>
      </c>
      <c r="Z151" s="1486"/>
    </row>
    <row r="152" spans="1:26">
      <c r="A152" s="1414"/>
      <c r="B152" s="1415"/>
      <c r="C152" s="1405">
        <f t="shared" si="32"/>
        <v>1</v>
      </c>
      <c r="D152" s="1411"/>
      <c r="E152" s="1405">
        <f t="shared" si="33"/>
        <v>0</v>
      </c>
      <c r="F152" s="1411"/>
      <c r="G152" s="1405">
        <f t="shared" si="34"/>
        <v>1</v>
      </c>
      <c r="H152" s="1411"/>
      <c r="I152" s="1405">
        <f t="shared" si="35"/>
        <v>1</v>
      </c>
      <c r="J152" s="1411"/>
      <c r="K152" s="1405">
        <f t="shared" si="36"/>
        <v>1</v>
      </c>
      <c r="L152" s="1411"/>
      <c r="M152" s="1405">
        <f t="shared" si="37"/>
        <v>1</v>
      </c>
      <c r="N152" s="1411"/>
      <c r="O152" s="1405">
        <f t="shared" si="38"/>
        <v>1</v>
      </c>
      <c r="P152" s="1411"/>
      <c r="Q152" s="1405">
        <f t="shared" si="39"/>
        <v>0</v>
      </c>
      <c r="R152" s="1476">
        <f t="shared" si="44"/>
        <v>0</v>
      </c>
      <c r="S152" s="1358">
        <f t="shared" si="45"/>
        <v>0</v>
      </c>
      <c r="T152" s="1485">
        <f t="shared" si="46"/>
        <v>0</v>
      </c>
      <c r="U152" s="1483">
        <f t="shared" si="40"/>
        <v>0</v>
      </c>
      <c r="V152" s="1483">
        <f t="shared" si="41"/>
        <v>0</v>
      </c>
      <c r="W152" s="1486"/>
      <c r="X152" s="1483">
        <f t="shared" si="42"/>
        <v>0</v>
      </c>
      <c r="Y152" s="1483">
        <f t="shared" si="43"/>
        <v>0</v>
      </c>
      <c r="Z152" s="1486"/>
    </row>
    <row r="153" spans="1:26">
      <c r="A153" s="1414"/>
      <c r="B153" s="1415"/>
      <c r="C153" s="1405">
        <f t="shared" si="32"/>
        <v>1</v>
      </c>
      <c r="D153" s="1411"/>
      <c r="E153" s="1405">
        <f t="shared" si="33"/>
        <v>0</v>
      </c>
      <c r="F153" s="1411"/>
      <c r="G153" s="1405">
        <f t="shared" si="34"/>
        <v>1</v>
      </c>
      <c r="H153" s="1411"/>
      <c r="I153" s="1405">
        <f t="shared" si="35"/>
        <v>1</v>
      </c>
      <c r="J153" s="1411"/>
      <c r="K153" s="1405">
        <f t="shared" si="36"/>
        <v>1</v>
      </c>
      <c r="L153" s="1411"/>
      <c r="M153" s="1405">
        <f t="shared" si="37"/>
        <v>1</v>
      </c>
      <c r="N153" s="1411"/>
      <c r="O153" s="1405">
        <f t="shared" si="38"/>
        <v>1</v>
      </c>
      <c r="P153" s="1411"/>
      <c r="Q153" s="1405">
        <f t="shared" si="39"/>
        <v>0</v>
      </c>
      <c r="R153" s="1476">
        <f t="shared" si="44"/>
        <v>0</v>
      </c>
      <c r="S153" s="1358">
        <f t="shared" si="45"/>
        <v>0</v>
      </c>
      <c r="T153" s="1485">
        <f t="shared" si="46"/>
        <v>0</v>
      </c>
      <c r="U153" s="1483">
        <f t="shared" si="40"/>
        <v>0</v>
      </c>
      <c r="V153" s="1483">
        <f t="shared" si="41"/>
        <v>0</v>
      </c>
      <c r="W153" s="1486"/>
      <c r="X153" s="1483">
        <f t="shared" si="42"/>
        <v>0</v>
      </c>
      <c r="Y153" s="1483">
        <f t="shared" si="43"/>
        <v>0</v>
      </c>
      <c r="Z153" s="1486"/>
    </row>
    <row r="154" spans="1:26">
      <c r="A154" s="1414"/>
      <c r="B154" s="1415"/>
      <c r="C154" s="1405">
        <f t="shared" si="32"/>
        <v>1</v>
      </c>
      <c r="D154" s="1411"/>
      <c r="E154" s="1405">
        <f t="shared" si="33"/>
        <v>0</v>
      </c>
      <c r="F154" s="1411"/>
      <c r="G154" s="1405">
        <f t="shared" si="34"/>
        <v>1</v>
      </c>
      <c r="H154" s="1411"/>
      <c r="I154" s="1405">
        <f t="shared" si="35"/>
        <v>1</v>
      </c>
      <c r="J154" s="1411"/>
      <c r="K154" s="1405">
        <f t="shared" si="36"/>
        <v>1</v>
      </c>
      <c r="L154" s="1411"/>
      <c r="M154" s="1405">
        <f t="shared" si="37"/>
        <v>1</v>
      </c>
      <c r="N154" s="1411"/>
      <c r="O154" s="1405">
        <f t="shared" si="38"/>
        <v>1</v>
      </c>
      <c r="P154" s="1411"/>
      <c r="Q154" s="1405">
        <f t="shared" si="39"/>
        <v>0</v>
      </c>
      <c r="R154" s="1476">
        <f t="shared" si="44"/>
        <v>0</v>
      </c>
      <c r="S154" s="1358">
        <f t="shared" si="45"/>
        <v>0</v>
      </c>
      <c r="T154" s="1485">
        <f t="shared" si="46"/>
        <v>0</v>
      </c>
      <c r="U154" s="1483">
        <f t="shared" si="40"/>
        <v>0</v>
      </c>
      <c r="V154" s="1483">
        <f t="shared" si="41"/>
        <v>0</v>
      </c>
      <c r="W154" s="1486"/>
      <c r="X154" s="1483">
        <f t="shared" si="42"/>
        <v>0</v>
      </c>
      <c r="Y154" s="1483">
        <f t="shared" si="43"/>
        <v>0</v>
      </c>
      <c r="Z154" s="1486"/>
    </row>
    <row r="155" spans="1:26">
      <c r="A155" s="1414"/>
      <c r="B155" s="1415"/>
      <c r="C155" s="1405">
        <f t="shared" si="32"/>
        <v>1</v>
      </c>
      <c r="D155" s="1411"/>
      <c r="E155" s="1405">
        <f t="shared" si="33"/>
        <v>0</v>
      </c>
      <c r="F155" s="1411"/>
      <c r="G155" s="1405">
        <f t="shared" si="34"/>
        <v>1</v>
      </c>
      <c r="H155" s="1411"/>
      <c r="I155" s="1405">
        <f t="shared" si="35"/>
        <v>1</v>
      </c>
      <c r="J155" s="1411"/>
      <c r="K155" s="1405">
        <f t="shared" si="36"/>
        <v>1</v>
      </c>
      <c r="L155" s="1411"/>
      <c r="M155" s="1405">
        <f t="shared" si="37"/>
        <v>1</v>
      </c>
      <c r="N155" s="1411"/>
      <c r="O155" s="1405">
        <f t="shared" si="38"/>
        <v>1</v>
      </c>
      <c r="P155" s="1411"/>
      <c r="Q155" s="1405">
        <f t="shared" si="39"/>
        <v>0</v>
      </c>
      <c r="R155" s="1476">
        <f t="shared" si="44"/>
        <v>0</v>
      </c>
      <c r="S155" s="1358">
        <f t="shared" si="45"/>
        <v>0</v>
      </c>
      <c r="T155" s="1485">
        <f t="shared" si="46"/>
        <v>0</v>
      </c>
      <c r="U155" s="1483">
        <f t="shared" si="40"/>
        <v>0</v>
      </c>
      <c r="V155" s="1483">
        <f t="shared" si="41"/>
        <v>0</v>
      </c>
      <c r="W155" s="1486"/>
      <c r="X155" s="1483">
        <f t="shared" si="42"/>
        <v>0</v>
      </c>
      <c r="Y155" s="1483">
        <f t="shared" si="43"/>
        <v>0</v>
      </c>
      <c r="Z155" s="1486"/>
    </row>
    <row r="156" spans="1:26">
      <c r="A156" s="1414"/>
      <c r="B156" s="1415"/>
      <c r="C156" s="1405">
        <f t="shared" ref="C156:C219" si="47">IF(B156="",1,(LOOKUP(B156,$6:$6,$7:$7)-LOOKUP($B$27,$6:$6,$7:$7)+100)/100)</f>
        <v>1</v>
      </c>
      <c r="D156" s="1411"/>
      <c r="E156" s="1405">
        <f t="shared" ref="E156:E219" si="48">(SUMIF($8:$8,D156,$9:$9)-SUMIF($8:$8,$D$27,$9:$9)+100)/100</f>
        <v>0</v>
      </c>
      <c r="F156" s="1411"/>
      <c r="G156" s="1405">
        <f t="shared" ref="G156:G219" si="49">(SUMIF($10:$10,F156,$11:$11)-SUMIF($10:$10,$F$27,$11:$11)+100)/100</f>
        <v>1</v>
      </c>
      <c r="H156" s="1411"/>
      <c r="I156" s="1405">
        <f t="shared" ref="I156:I219" si="50">(SUMIF($12:$12,H156,$13:$13)-SUMIF($12:$12,$H$27,$13:$13)+100)/100</f>
        <v>1</v>
      </c>
      <c r="J156" s="1411"/>
      <c r="K156" s="1405">
        <f t="shared" ref="K156:K219" si="51">(SUMIF($14:$14,J156,$15:$15)-SUMIF($14:$14,$J$27,$15:$15)+100)/100</f>
        <v>1</v>
      </c>
      <c r="L156" s="1411"/>
      <c r="M156" s="1405">
        <f t="shared" ref="M156:M219" si="52">(SUMIF($16:$16,L156,$17:$17)-SUMIF($16:$16,$L$27,$17:$17)+100)/100</f>
        <v>1</v>
      </c>
      <c r="N156" s="1411"/>
      <c r="O156" s="1405">
        <f t="shared" ref="O156:O219" si="53">(SUMIF($18:$18,N156,$19:$19)-SUMIF($18:$18,$N$27,$19:$19)+100)/100</f>
        <v>1</v>
      </c>
      <c r="P156" s="1411"/>
      <c r="Q156" s="1405">
        <f t="shared" ref="Q156:Q219" si="54">(SUMIF($20:$20,P156,$21:$21)-SUMIF($20:$20,$P$27,$21:$21)+100)/100</f>
        <v>0</v>
      </c>
      <c r="R156" s="1476">
        <f t="shared" si="44"/>
        <v>0</v>
      </c>
      <c r="S156" s="1358">
        <f t="shared" si="45"/>
        <v>0</v>
      </c>
      <c r="T156" s="1485">
        <f t="shared" si="46"/>
        <v>0</v>
      </c>
      <c r="U156" s="1483">
        <f t="shared" ref="U156:U219" si="55">ROUND(W156*B156,0)</f>
        <v>0</v>
      </c>
      <c r="V156" s="1483">
        <f t="shared" ref="V156:V219" si="56">ROUND(W156*B156/10000,0)</f>
        <v>0</v>
      </c>
      <c r="W156" s="1486"/>
      <c r="X156" s="1483">
        <f t="shared" ref="X156:X219" si="57">ROUND(Z156*B156,0)</f>
        <v>0</v>
      </c>
      <c r="Y156" s="1483">
        <f t="shared" ref="Y156:Y219" si="58">ROUND(Z156*B156/10000,0)</f>
        <v>0</v>
      </c>
      <c r="Z156" s="1486"/>
    </row>
    <row r="157" spans="1:26">
      <c r="A157" s="1414"/>
      <c r="B157" s="1415"/>
      <c r="C157" s="1405">
        <f t="shared" si="47"/>
        <v>1</v>
      </c>
      <c r="D157" s="1411"/>
      <c r="E157" s="1405">
        <f t="shared" si="48"/>
        <v>0</v>
      </c>
      <c r="F157" s="1411"/>
      <c r="G157" s="1405">
        <f t="shared" si="49"/>
        <v>1</v>
      </c>
      <c r="H157" s="1411"/>
      <c r="I157" s="1405">
        <f t="shared" si="50"/>
        <v>1</v>
      </c>
      <c r="J157" s="1411"/>
      <c r="K157" s="1405">
        <f t="shared" si="51"/>
        <v>1</v>
      </c>
      <c r="L157" s="1411"/>
      <c r="M157" s="1405">
        <f t="shared" si="52"/>
        <v>1</v>
      </c>
      <c r="N157" s="1411"/>
      <c r="O157" s="1405">
        <f t="shared" si="53"/>
        <v>1</v>
      </c>
      <c r="P157" s="1411"/>
      <c r="Q157" s="1405">
        <f t="shared" si="54"/>
        <v>0</v>
      </c>
      <c r="R157" s="1476">
        <f t="shared" ref="R157:R220" si="59">IF(B157="",0,ROUND($R$27*C157*E157*G157*I157*K157*M157*O157*Q157,0))</f>
        <v>0</v>
      </c>
      <c r="S157" s="1358">
        <f t="shared" ref="S157:S220" si="60">ROUND(R157*B157,0)</f>
        <v>0</v>
      </c>
      <c r="T157" s="1485">
        <f t="shared" ref="T157:T220" si="61">ROUND(R157*B157/10000,0)</f>
        <v>0</v>
      </c>
      <c r="U157" s="1483">
        <f t="shared" si="55"/>
        <v>0</v>
      </c>
      <c r="V157" s="1483">
        <f t="shared" si="56"/>
        <v>0</v>
      </c>
      <c r="W157" s="1486"/>
      <c r="X157" s="1483">
        <f t="shared" si="57"/>
        <v>0</v>
      </c>
      <c r="Y157" s="1483">
        <f t="shared" si="58"/>
        <v>0</v>
      </c>
      <c r="Z157" s="1486"/>
    </row>
    <row r="158" spans="1:26">
      <c r="A158" s="1414"/>
      <c r="B158" s="1415"/>
      <c r="C158" s="1405">
        <f t="shared" si="47"/>
        <v>1</v>
      </c>
      <c r="D158" s="1411"/>
      <c r="E158" s="1405">
        <f t="shared" si="48"/>
        <v>0</v>
      </c>
      <c r="F158" s="1411"/>
      <c r="G158" s="1405">
        <f t="shared" si="49"/>
        <v>1</v>
      </c>
      <c r="H158" s="1411"/>
      <c r="I158" s="1405">
        <f t="shared" si="50"/>
        <v>1</v>
      </c>
      <c r="J158" s="1411"/>
      <c r="K158" s="1405">
        <f t="shared" si="51"/>
        <v>1</v>
      </c>
      <c r="L158" s="1411"/>
      <c r="M158" s="1405">
        <f t="shared" si="52"/>
        <v>1</v>
      </c>
      <c r="N158" s="1411"/>
      <c r="O158" s="1405">
        <f t="shared" si="53"/>
        <v>1</v>
      </c>
      <c r="P158" s="1411"/>
      <c r="Q158" s="1405">
        <f t="shared" si="54"/>
        <v>0</v>
      </c>
      <c r="R158" s="1476">
        <f t="shared" si="59"/>
        <v>0</v>
      </c>
      <c r="S158" s="1358">
        <f t="shared" si="60"/>
        <v>0</v>
      </c>
      <c r="T158" s="1485">
        <f t="shared" si="61"/>
        <v>0</v>
      </c>
      <c r="U158" s="1483">
        <f t="shared" si="55"/>
        <v>0</v>
      </c>
      <c r="V158" s="1483">
        <f t="shared" si="56"/>
        <v>0</v>
      </c>
      <c r="W158" s="1486"/>
      <c r="X158" s="1483">
        <f t="shared" si="57"/>
        <v>0</v>
      </c>
      <c r="Y158" s="1483">
        <f t="shared" si="58"/>
        <v>0</v>
      </c>
      <c r="Z158" s="1486"/>
    </row>
    <row r="159" spans="1:26">
      <c r="A159" s="1414"/>
      <c r="B159" s="1415"/>
      <c r="C159" s="1405">
        <f t="shared" si="47"/>
        <v>1</v>
      </c>
      <c r="D159" s="1411"/>
      <c r="E159" s="1405">
        <f t="shared" si="48"/>
        <v>0</v>
      </c>
      <c r="F159" s="1411"/>
      <c r="G159" s="1405">
        <f t="shared" si="49"/>
        <v>1</v>
      </c>
      <c r="H159" s="1411"/>
      <c r="I159" s="1405">
        <f t="shared" si="50"/>
        <v>1</v>
      </c>
      <c r="J159" s="1411"/>
      <c r="K159" s="1405">
        <f t="shared" si="51"/>
        <v>1</v>
      </c>
      <c r="L159" s="1411"/>
      <c r="M159" s="1405">
        <f t="shared" si="52"/>
        <v>1</v>
      </c>
      <c r="N159" s="1411"/>
      <c r="O159" s="1405">
        <f t="shared" si="53"/>
        <v>1</v>
      </c>
      <c r="P159" s="1411"/>
      <c r="Q159" s="1405">
        <f t="shared" si="54"/>
        <v>0</v>
      </c>
      <c r="R159" s="1476">
        <f t="shared" si="59"/>
        <v>0</v>
      </c>
      <c r="S159" s="1358">
        <f t="shared" si="60"/>
        <v>0</v>
      </c>
      <c r="T159" s="1485">
        <f t="shared" si="61"/>
        <v>0</v>
      </c>
      <c r="U159" s="1483">
        <f t="shared" si="55"/>
        <v>0</v>
      </c>
      <c r="V159" s="1483">
        <f t="shared" si="56"/>
        <v>0</v>
      </c>
      <c r="W159" s="1486"/>
      <c r="X159" s="1483">
        <f t="shared" si="57"/>
        <v>0</v>
      </c>
      <c r="Y159" s="1483">
        <f t="shared" si="58"/>
        <v>0</v>
      </c>
      <c r="Z159" s="1486"/>
    </row>
    <row r="160" spans="1:26">
      <c r="A160" s="1414"/>
      <c r="B160" s="1415"/>
      <c r="C160" s="1405">
        <f t="shared" si="47"/>
        <v>1</v>
      </c>
      <c r="D160" s="1411"/>
      <c r="E160" s="1405">
        <f t="shared" si="48"/>
        <v>0</v>
      </c>
      <c r="F160" s="1411"/>
      <c r="G160" s="1405">
        <f t="shared" si="49"/>
        <v>1</v>
      </c>
      <c r="H160" s="1411"/>
      <c r="I160" s="1405">
        <f t="shared" si="50"/>
        <v>1</v>
      </c>
      <c r="J160" s="1411"/>
      <c r="K160" s="1405">
        <f t="shared" si="51"/>
        <v>1</v>
      </c>
      <c r="L160" s="1411"/>
      <c r="M160" s="1405">
        <f t="shared" si="52"/>
        <v>1</v>
      </c>
      <c r="N160" s="1411"/>
      <c r="O160" s="1405">
        <f t="shared" si="53"/>
        <v>1</v>
      </c>
      <c r="P160" s="1411"/>
      <c r="Q160" s="1405">
        <f t="shared" si="54"/>
        <v>0</v>
      </c>
      <c r="R160" s="1476">
        <f t="shared" si="59"/>
        <v>0</v>
      </c>
      <c r="S160" s="1358">
        <f t="shared" si="60"/>
        <v>0</v>
      </c>
      <c r="T160" s="1485">
        <f t="shared" si="61"/>
        <v>0</v>
      </c>
      <c r="U160" s="1483">
        <f t="shared" si="55"/>
        <v>0</v>
      </c>
      <c r="V160" s="1483">
        <f t="shared" si="56"/>
        <v>0</v>
      </c>
      <c r="W160" s="1486"/>
      <c r="X160" s="1483">
        <f t="shared" si="57"/>
        <v>0</v>
      </c>
      <c r="Y160" s="1483">
        <f t="shared" si="58"/>
        <v>0</v>
      </c>
      <c r="Z160" s="1486"/>
    </row>
    <row r="161" spans="1:26">
      <c r="A161" s="1414"/>
      <c r="B161" s="1415"/>
      <c r="C161" s="1405">
        <f t="shared" si="47"/>
        <v>1</v>
      </c>
      <c r="D161" s="1411"/>
      <c r="E161" s="1405">
        <f t="shared" si="48"/>
        <v>0</v>
      </c>
      <c r="F161" s="1411"/>
      <c r="G161" s="1405">
        <f t="shared" si="49"/>
        <v>1</v>
      </c>
      <c r="H161" s="1411"/>
      <c r="I161" s="1405">
        <f t="shared" si="50"/>
        <v>1</v>
      </c>
      <c r="J161" s="1411"/>
      <c r="K161" s="1405">
        <f t="shared" si="51"/>
        <v>1</v>
      </c>
      <c r="L161" s="1411"/>
      <c r="M161" s="1405">
        <f t="shared" si="52"/>
        <v>1</v>
      </c>
      <c r="N161" s="1411"/>
      <c r="O161" s="1405">
        <f t="shared" si="53"/>
        <v>1</v>
      </c>
      <c r="P161" s="1411"/>
      <c r="Q161" s="1405">
        <f t="shared" si="54"/>
        <v>0</v>
      </c>
      <c r="R161" s="1476">
        <f t="shared" si="59"/>
        <v>0</v>
      </c>
      <c r="S161" s="1358">
        <f t="shared" si="60"/>
        <v>0</v>
      </c>
      <c r="T161" s="1485">
        <f t="shared" si="61"/>
        <v>0</v>
      </c>
      <c r="U161" s="1483">
        <f t="shared" si="55"/>
        <v>0</v>
      </c>
      <c r="V161" s="1483">
        <f t="shared" si="56"/>
        <v>0</v>
      </c>
      <c r="W161" s="1486"/>
      <c r="X161" s="1483">
        <f t="shared" si="57"/>
        <v>0</v>
      </c>
      <c r="Y161" s="1483">
        <f t="shared" si="58"/>
        <v>0</v>
      </c>
      <c r="Z161" s="1486"/>
    </row>
    <row r="162" spans="1:26">
      <c r="A162" s="1414"/>
      <c r="B162" s="1415"/>
      <c r="C162" s="1405">
        <f t="shared" si="47"/>
        <v>1</v>
      </c>
      <c r="D162" s="1411"/>
      <c r="E162" s="1405">
        <f t="shared" si="48"/>
        <v>0</v>
      </c>
      <c r="F162" s="1411"/>
      <c r="G162" s="1405">
        <f t="shared" si="49"/>
        <v>1</v>
      </c>
      <c r="H162" s="1411"/>
      <c r="I162" s="1405">
        <f t="shared" si="50"/>
        <v>1</v>
      </c>
      <c r="J162" s="1411"/>
      <c r="K162" s="1405">
        <f t="shared" si="51"/>
        <v>1</v>
      </c>
      <c r="L162" s="1411"/>
      <c r="M162" s="1405">
        <f t="shared" si="52"/>
        <v>1</v>
      </c>
      <c r="N162" s="1411"/>
      <c r="O162" s="1405">
        <f t="shared" si="53"/>
        <v>1</v>
      </c>
      <c r="P162" s="1411"/>
      <c r="Q162" s="1405">
        <f t="shared" si="54"/>
        <v>0</v>
      </c>
      <c r="R162" s="1476">
        <f t="shared" si="59"/>
        <v>0</v>
      </c>
      <c r="S162" s="1358">
        <f t="shared" si="60"/>
        <v>0</v>
      </c>
      <c r="T162" s="1485">
        <f t="shared" si="61"/>
        <v>0</v>
      </c>
      <c r="U162" s="1483">
        <f t="shared" si="55"/>
        <v>0</v>
      </c>
      <c r="V162" s="1483">
        <f t="shared" si="56"/>
        <v>0</v>
      </c>
      <c r="W162" s="1486"/>
      <c r="X162" s="1483">
        <f t="shared" si="57"/>
        <v>0</v>
      </c>
      <c r="Y162" s="1483">
        <f t="shared" si="58"/>
        <v>0</v>
      </c>
      <c r="Z162" s="1486"/>
    </row>
    <row r="163" spans="1:26">
      <c r="A163" s="1414"/>
      <c r="B163" s="1415"/>
      <c r="C163" s="1405">
        <f t="shared" si="47"/>
        <v>1</v>
      </c>
      <c r="D163" s="1411"/>
      <c r="E163" s="1405">
        <f t="shared" si="48"/>
        <v>0</v>
      </c>
      <c r="F163" s="1411"/>
      <c r="G163" s="1405">
        <f t="shared" si="49"/>
        <v>1</v>
      </c>
      <c r="H163" s="1411"/>
      <c r="I163" s="1405">
        <f t="shared" si="50"/>
        <v>1</v>
      </c>
      <c r="J163" s="1411"/>
      <c r="K163" s="1405">
        <f t="shared" si="51"/>
        <v>1</v>
      </c>
      <c r="L163" s="1411"/>
      <c r="M163" s="1405">
        <f t="shared" si="52"/>
        <v>1</v>
      </c>
      <c r="N163" s="1411"/>
      <c r="O163" s="1405">
        <f t="shared" si="53"/>
        <v>1</v>
      </c>
      <c r="P163" s="1411"/>
      <c r="Q163" s="1405">
        <f t="shared" si="54"/>
        <v>0</v>
      </c>
      <c r="R163" s="1476">
        <f t="shared" si="59"/>
        <v>0</v>
      </c>
      <c r="S163" s="1358">
        <f t="shared" si="60"/>
        <v>0</v>
      </c>
      <c r="T163" s="1485">
        <f t="shared" si="61"/>
        <v>0</v>
      </c>
      <c r="U163" s="1483">
        <f t="shared" si="55"/>
        <v>0</v>
      </c>
      <c r="V163" s="1483">
        <f t="shared" si="56"/>
        <v>0</v>
      </c>
      <c r="W163" s="1486"/>
      <c r="X163" s="1483">
        <f t="shared" si="57"/>
        <v>0</v>
      </c>
      <c r="Y163" s="1483">
        <f t="shared" si="58"/>
        <v>0</v>
      </c>
      <c r="Z163" s="1486"/>
    </row>
    <row r="164" spans="1:26">
      <c r="A164" s="1414"/>
      <c r="B164" s="1415"/>
      <c r="C164" s="1405">
        <f t="shared" si="47"/>
        <v>1</v>
      </c>
      <c r="D164" s="1411"/>
      <c r="E164" s="1405">
        <f t="shared" si="48"/>
        <v>0</v>
      </c>
      <c r="F164" s="1411"/>
      <c r="G164" s="1405">
        <f t="shared" si="49"/>
        <v>1</v>
      </c>
      <c r="H164" s="1411"/>
      <c r="I164" s="1405">
        <f t="shared" si="50"/>
        <v>1</v>
      </c>
      <c r="J164" s="1411"/>
      <c r="K164" s="1405">
        <f t="shared" si="51"/>
        <v>1</v>
      </c>
      <c r="L164" s="1411"/>
      <c r="M164" s="1405">
        <f t="shared" si="52"/>
        <v>1</v>
      </c>
      <c r="N164" s="1411"/>
      <c r="O164" s="1405">
        <f t="shared" si="53"/>
        <v>1</v>
      </c>
      <c r="P164" s="1411"/>
      <c r="Q164" s="1405">
        <f t="shared" si="54"/>
        <v>0</v>
      </c>
      <c r="R164" s="1476">
        <f t="shared" si="59"/>
        <v>0</v>
      </c>
      <c r="S164" s="1358">
        <f t="shared" si="60"/>
        <v>0</v>
      </c>
      <c r="T164" s="1485">
        <f t="shared" si="61"/>
        <v>0</v>
      </c>
      <c r="U164" s="1483">
        <f t="shared" si="55"/>
        <v>0</v>
      </c>
      <c r="V164" s="1483">
        <f t="shared" si="56"/>
        <v>0</v>
      </c>
      <c r="W164" s="1486"/>
      <c r="X164" s="1483">
        <f t="shared" si="57"/>
        <v>0</v>
      </c>
      <c r="Y164" s="1483">
        <f t="shared" si="58"/>
        <v>0</v>
      </c>
      <c r="Z164" s="1486"/>
    </row>
    <row r="165" spans="1:26">
      <c r="A165" s="1414"/>
      <c r="B165" s="1415"/>
      <c r="C165" s="1405">
        <f t="shared" si="47"/>
        <v>1</v>
      </c>
      <c r="D165" s="1411"/>
      <c r="E165" s="1405">
        <f t="shared" si="48"/>
        <v>0</v>
      </c>
      <c r="F165" s="1411"/>
      <c r="G165" s="1405">
        <f t="shared" si="49"/>
        <v>1</v>
      </c>
      <c r="H165" s="1411"/>
      <c r="I165" s="1405">
        <f t="shared" si="50"/>
        <v>1</v>
      </c>
      <c r="J165" s="1411"/>
      <c r="K165" s="1405">
        <f t="shared" si="51"/>
        <v>1</v>
      </c>
      <c r="L165" s="1411"/>
      <c r="M165" s="1405">
        <f t="shared" si="52"/>
        <v>1</v>
      </c>
      <c r="N165" s="1411"/>
      <c r="O165" s="1405">
        <f t="shared" si="53"/>
        <v>1</v>
      </c>
      <c r="P165" s="1411"/>
      <c r="Q165" s="1405">
        <f t="shared" si="54"/>
        <v>0</v>
      </c>
      <c r="R165" s="1476">
        <f t="shared" si="59"/>
        <v>0</v>
      </c>
      <c r="S165" s="1358">
        <f t="shared" si="60"/>
        <v>0</v>
      </c>
      <c r="T165" s="1485">
        <f t="shared" si="61"/>
        <v>0</v>
      </c>
      <c r="U165" s="1483">
        <f t="shared" si="55"/>
        <v>0</v>
      </c>
      <c r="V165" s="1483">
        <f t="shared" si="56"/>
        <v>0</v>
      </c>
      <c r="W165" s="1486"/>
      <c r="X165" s="1483">
        <f t="shared" si="57"/>
        <v>0</v>
      </c>
      <c r="Y165" s="1483">
        <f t="shared" si="58"/>
        <v>0</v>
      </c>
      <c r="Z165" s="1486"/>
    </row>
    <row r="166" spans="1:26">
      <c r="A166" s="1414"/>
      <c r="B166" s="1415"/>
      <c r="C166" s="1405">
        <f t="shared" si="47"/>
        <v>1</v>
      </c>
      <c r="D166" s="1411"/>
      <c r="E166" s="1405">
        <f t="shared" si="48"/>
        <v>0</v>
      </c>
      <c r="F166" s="1411"/>
      <c r="G166" s="1405">
        <f t="shared" si="49"/>
        <v>1</v>
      </c>
      <c r="H166" s="1411"/>
      <c r="I166" s="1405">
        <f t="shared" si="50"/>
        <v>1</v>
      </c>
      <c r="J166" s="1411"/>
      <c r="K166" s="1405">
        <f t="shared" si="51"/>
        <v>1</v>
      </c>
      <c r="L166" s="1411"/>
      <c r="M166" s="1405">
        <f t="shared" si="52"/>
        <v>1</v>
      </c>
      <c r="N166" s="1411"/>
      <c r="O166" s="1405">
        <f t="shared" si="53"/>
        <v>1</v>
      </c>
      <c r="P166" s="1411"/>
      <c r="Q166" s="1405">
        <f t="shared" si="54"/>
        <v>0</v>
      </c>
      <c r="R166" s="1476">
        <f t="shared" si="59"/>
        <v>0</v>
      </c>
      <c r="S166" s="1358">
        <f t="shared" si="60"/>
        <v>0</v>
      </c>
      <c r="T166" s="1485">
        <f t="shared" si="61"/>
        <v>0</v>
      </c>
      <c r="U166" s="1483">
        <f t="shared" si="55"/>
        <v>0</v>
      </c>
      <c r="V166" s="1483">
        <f t="shared" si="56"/>
        <v>0</v>
      </c>
      <c r="W166" s="1486"/>
      <c r="X166" s="1483">
        <f t="shared" si="57"/>
        <v>0</v>
      </c>
      <c r="Y166" s="1483">
        <f t="shared" si="58"/>
        <v>0</v>
      </c>
      <c r="Z166" s="1486"/>
    </row>
    <row r="167" spans="1:26">
      <c r="A167" s="1414"/>
      <c r="B167" s="1415"/>
      <c r="C167" s="1405">
        <f t="shared" si="47"/>
        <v>1</v>
      </c>
      <c r="D167" s="1411"/>
      <c r="E167" s="1405">
        <f t="shared" si="48"/>
        <v>0</v>
      </c>
      <c r="F167" s="1411"/>
      <c r="G167" s="1405">
        <f t="shared" si="49"/>
        <v>1</v>
      </c>
      <c r="H167" s="1411"/>
      <c r="I167" s="1405">
        <f t="shared" si="50"/>
        <v>1</v>
      </c>
      <c r="J167" s="1411"/>
      <c r="K167" s="1405">
        <f t="shared" si="51"/>
        <v>1</v>
      </c>
      <c r="L167" s="1411"/>
      <c r="M167" s="1405">
        <f t="shared" si="52"/>
        <v>1</v>
      </c>
      <c r="N167" s="1411"/>
      <c r="O167" s="1405">
        <f t="shared" si="53"/>
        <v>1</v>
      </c>
      <c r="P167" s="1411"/>
      <c r="Q167" s="1405">
        <f t="shared" si="54"/>
        <v>0</v>
      </c>
      <c r="R167" s="1476">
        <f t="shared" si="59"/>
        <v>0</v>
      </c>
      <c r="S167" s="1358">
        <f t="shared" si="60"/>
        <v>0</v>
      </c>
      <c r="T167" s="1485">
        <f t="shared" si="61"/>
        <v>0</v>
      </c>
      <c r="U167" s="1483">
        <f t="shared" si="55"/>
        <v>0</v>
      </c>
      <c r="V167" s="1483">
        <f t="shared" si="56"/>
        <v>0</v>
      </c>
      <c r="W167" s="1486"/>
      <c r="X167" s="1483">
        <f t="shared" si="57"/>
        <v>0</v>
      </c>
      <c r="Y167" s="1483">
        <f t="shared" si="58"/>
        <v>0</v>
      </c>
      <c r="Z167" s="1486"/>
    </row>
    <row r="168" spans="1:26">
      <c r="A168" s="1414"/>
      <c r="B168" s="1415"/>
      <c r="C168" s="1405">
        <f t="shared" si="47"/>
        <v>1</v>
      </c>
      <c r="D168" s="1411"/>
      <c r="E168" s="1405">
        <f t="shared" si="48"/>
        <v>0</v>
      </c>
      <c r="F168" s="1411"/>
      <c r="G168" s="1405">
        <f t="shared" si="49"/>
        <v>1</v>
      </c>
      <c r="H168" s="1411"/>
      <c r="I168" s="1405">
        <f t="shared" si="50"/>
        <v>1</v>
      </c>
      <c r="J168" s="1411"/>
      <c r="K168" s="1405">
        <f t="shared" si="51"/>
        <v>1</v>
      </c>
      <c r="L168" s="1411"/>
      <c r="M168" s="1405">
        <f t="shared" si="52"/>
        <v>1</v>
      </c>
      <c r="N168" s="1411"/>
      <c r="O168" s="1405">
        <f t="shared" si="53"/>
        <v>1</v>
      </c>
      <c r="P168" s="1411"/>
      <c r="Q168" s="1405">
        <f t="shared" si="54"/>
        <v>0</v>
      </c>
      <c r="R168" s="1476">
        <f t="shared" si="59"/>
        <v>0</v>
      </c>
      <c r="S168" s="1358">
        <f t="shared" si="60"/>
        <v>0</v>
      </c>
      <c r="T168" s="1485">
        <f t="shared" si="61"/>
        <v>0</v>
      </c>
      <c r="U168" s="1483">
        <f t="shared" si="55"/>
        <v>0</v>
      </c>
      <c r="V168" s="1483">
        <f t="shared" si="56"/>
        <v>0</v>
      </c>
      <c r="W168" s="1486"/>
      <c r="X168" s="1483">
        <f t="shared" si="57"/>
        <v>0</v>
      </c>
      <c r="Y168" s="1483">
        <f t="shared" si="58"/>
        <v>0</v>
      </c>
      <c r="Z168" s="1486"/>
    </row>
    <row r="169" spans="1:26">
      <c r="A169" s="1414"/>
      <c r="B169" s="1415"/>
      <c r="C169" s="1405">
        <f t="shared" si="47"/>
        <v>1</v>
      </c>
      <c r="D169" s="1411"/>
      <c r="E169" s="1405">
        <f t="shared" si="48"/>
        <v>0</v>
      </c>
      <c r="F169" s="1411"/>
      <c r="G169" s="1405">
        <f t="shared" si="49"/>
        <v>1</v>
      </c>
      <c r="H169" s="1411"/>
      <c r="I169" s="1405">
        <f t="shared" si="50"/>
        <v>1</v>
      </c>
      <c r="J169" s="1411"/>
      <c r="K169" s="1405">
        <f t="shared" si="51"/>
        <v>1</v>
      </c>
      <c r="L169" s="1411"/>
      <c r="M169" s="1405">
        <f t="shared" si="52"/>
        <v>1</v>
      </c>
      <c r="N169" s="1411"/>
      <c r="O169" s="1405">
        <f t="shared" si="53"/>
        <v>1</v>
      </c>
      <c r="P169" s="1411"/>
      <c r="Q169" s="1405">
        <f t="shared" si="54"/>
        <v>0</v>
      </c>
      <c r="R169" s="1476">
        <f t="shared" si="59"/>
        <v>0</v>
      </c>
      <c r="S169" s="1358">
        <f t="shared" si="60"/>
        <v>0</v>
      </c>
      <c r="T169" s="1485">
        <f t="shared" si="61"/>
        <v>0</v>
      </c>
      <c r="U169" s="1483">
        <f t="shared" si="55"/>
        <v>0</v>
      </c>
      <c r="V169" s="1483">
        <f t="shared" si="56"/>
        <v>0</v>
      </c>
      <c r="W169" s="1486"/>
      <c r="X169" s="1483">
        <f t="shared" si="57"/>
        <v>0</v>
      </c>
      <c r="Y169" s="1483">
        <f t="shared" si="58"/>
        <v>0</v>
      </c>
      <c r="Z169" s="1486"/>
    </row>
    <row r="170" spans="1:26">
      <c r="A170" s="1414"/>
      <c r="B170" s="1415"/>
      <c r="C170" s="1405">
        <f t="shared" si="47"/>
        <v>1</v>
      </c>
      <c r="D170" s="1411"/>
      <c r="E170" s="1405">
        <f t="shared" si="48"/>
        <v>0</v>
      </c>
      <c r="F170" s="1411"/>
      <c r="G170" s="1405">
        <f t="shared" si="49"/>
        <v>1</v>
      </c>
      <c r="H170" s="1411"/>
      <c r="I170" s="1405">
        <f t="shared" si="50"/>
        <v>1</v>
      </c>
      <c r="J170" s="1411"/>
      <c r="K170" s="1405">
        <f t="shared" si="51"/>
        <v>1</v>
      </c>
      <c r="L170" s="1411"/>
      <c r="M170" s="1405">
        <f t="shared" si="52"/>
        <v>1</v>
      </c>
      <c r="N170" s="1411"/>
      <c r="O170" s="1405">
        <f t="shared" si="53"/>
        <v>1</v>
      </c>
      <c r="P170" s="1411"/>
      <c r="Q170" s="1405">
        <f t="shared" si="54"/>
        <v>0</v>
      </c>
      <c r="R170" s="1476">
        <f t="shared" si="59"/>
        <v>0</v>
      </c>
      <c r="S170" s="1358">
        <f t="shared" si="60"/>
        <v>0</v>
      </c>
      <c r="T170" s="1485">
        <f t="shared" si="61"/>
        <v>0</v>
      </c>
      <c r="U170" s="1483">
        <f t="shared" si="55"/>
        <v>0</v>
      </c>
      <c r="V170" s="1483">
        <f t="shared" si="56"/>
        <v>0</v>
      </c>
      <c r="W170" s="1486"/>
      <c r="X170" s="1483">
        <f t="shared" si="57"/>
        <v>0</v>
      </c>
      <c r="Y170" s="1483">
        <f t="shared" si="58"/>
        <v>0</v>
      </c>
      <c r="Z170" s="1486"/>
    </row>
    <row r="171" spans="1:26">
      <c r="A171" s="1414"/>
      <c r="B171" s="1415"/>
      <c r="C171" s="1405">
        <f t="shared" si="47"/>
        <v>1</v>
      </c>
      <c r="D171" s="1411"/>
      <c r="E171" s="1405">
        <f t="shared" si="48"/>
        <v>0</v>
      </c>
      <c r="F171" s="1411"/>
      <c r="G171" s="1405">
        <f t="shared" si="49"/>
        <v>1</v>
      </c>
      <c r="H171" s="1411"/>
      <c r="I171" s="1405">
        <f t="shared" si="50"/>
        <v>1</v>
      </c>
      <c r="J171" s="1411"/>
      <c r="K171" s="1405">
        <f t="shared" si="51"/>
        <v>1</v>
      </c>
      <c r="L171" s="1411"/>
      <c r="M171" s="1405">
        <f t="shared" si="52"/>
        <v>1</v>
      </c>
      <c r="N171" s="1411"/>
      <c r="O171" s="1405">
        <f t="shared" si="53"/>
        <v>1</v>
      </c>
      <c r="P171" s="1411"/>
      <c r="Q171" s="1405">
        <f t="shared" si="54"/>
        <v>0</v>
      </c>
      <c r="R171" s="1476">
        <f t="shared" si="59"/>
        <v>0</v>
      </c>
      <c r="S171" s="1358">
        <f t="shared" si="60"/>
        <v>0</v>
      </c>
      <c r="T171" s="1485">
        <f t="shared" si="61"/>
        <v>0</v>
      </c>
      <c r="U171" s="1483">
        <f t="shared" si="55"/>
        <v>0</v>
      </c>
      <c r="V171" s="1483">
        <f t="shared" si="56"/>
        <v>0</v>
      </c>
      <c r="W171" s="1486"/>
      <c r="X171" s="1483">
        <f t="shared" si="57"/>
        <v>0</v>
      </c>
      <c r="Y171" s="1483">
        <f t="shared" si="58"/>
        <v>0</v>
      </c>
      <c r="Z171" s="1486"/>
    </row>
    <row r="172" spans="1:26">
      <c r="A172" s="1414"/>
      <c r="B172" s="1415"/>
      <c r="C172" s="1405">
        <f t="shared" si="47"/>
        <v>1</v>
      </c>
      <c r="D172" s="1411"/>
      <c r="E172" s="1405">
        <f t="shared" si="48"/>
        <v>0</v>
      </c>
      <c r="F172" s="1411"/>
      <c r="G172" s="1405">
        <f t="shared" si="49"/>
        <v>1</v>
      </c>
      <c r="H172" s="1411"/>
      <c r="I172" s="1405">
        <f t="shared" si="50"/>
        <v>1</v>
      </c>
      <c r="J172" s="1411"/>
      <c r="K172" s="1405">
        <f t="shared" si="51"/>
        <v>1</v>
      </c>
      <c r="L172" s="1411"/>
      <c r="M172" s="1405">
        <f t="shared" si="52"/>
        <v>1</v>
      </c>
      <c r="N172" s="1411"/>
      <c r="O172" s="1405">
        <f t="shared" si="53"/>
        <v>1</v>
      </c>
      <c r="P172" s="1411"/>
      <c r="Q172" s="1405">
        <f t="shared" si="54"/>
        <v>0</v>
      </c>
      <c r="R172" s="1476">
        <f t="shared" si="59"/>
        <v>0</v>
      </c>
      <c r="S172" s="1358">
        <f t="shared" si="60"/>
        <v>0</v>
      </c>
      <c r="T172" s="1485">
        <f t="shared" si="61"/>
        <v>0</v>
      </c>
      <c r="U172" s="1483">
        <f t="shared" si="55"/>
        <v>0</v>
      </c>
      <c r="V172" s="1483">
        <f t="shared" si="56"/>
        <v>0</v>
      </c>
      <c r="W172" s="1486"/>
      <c r="X172" s="1483">
        <f t="shared" si="57"/>
        <v>0</v>
      </c>
      <c r="Y172" s="1483">
        <f t="shared" si="58"/>
        <v>0</v>
      </c>
      <c r="Z172" s="1486"/>
    </row>
    <row r="173" spans="1:26">
      <c r="A173" s="1414"/>
      <c r="B173" s="1415"/>
      <c r="C173" s="1405">
        <f t="shared" si="47"/>
        <v>1</v>
      </c>
      <c r="D173" s="1411"/>
      <c r="E173" s="1405">
        <f t="shared" si="48"/>
        <v>0</v>
      </c>
      <c r="F173" s="1411"/>
      <c r="G173" s="1405">
        <f t="shared" si="49"/>
        <v>1</v>
      </c>
      <c r="H173" s="1411"/>
      <c r="I173" s="1405">
        <f t="shared" si="50"/>
        <v>1</v>
      </c>
      <c r="J173" s="1411"/>
      <c r="K173" s="1405">
        <f t="shared" si="51"/>
        <v>1</v>
      </c>
      <c r="L173" s="1411"/>
      <c r="M173" s="1405">
        <f t="shared" si="52"/>
        <v>1</v>
      </c>
      <c r="N173" s="1411"/>
      <c r="O173" s="1405">
        <f t="shared" si="53"/>
        <v>1</v>
      </c>
      <c r="P173" s="1411"/>
      <c r="Q173" s="1405">
        <f t="shared" si="54"/>
        <v>0</v>
      </c>
      <c r="R173" s="1476">
        <f t="shared" si="59"/>
        <v>0</v>
      </c>
      <c r="S173" s="1358">
        <f t="shared" si="60"/>
        <v>0</v>
      </c>
      <c r="T173" s="1485">
        <f t="shared" si="61"/>
        <v>0</v>
      </c>
      <c r="U173" s="1483">
        <f t="shared" si="55"/>
        <v>0</v>
      </c>
      <c r="V173" s="1483">
        <f t="shared" si="56"/>
        <v>0</v>
      </c>
      <c r="W173" s="1486"/>
      <c r="X173" s="1483">
        <f t="shared" si="57"/>
        <v>0</v>
      </c>
      <c r="Y173" s="1483">
        <f t="shared" si="58"/>
        <v>0</v>
      </c>
      <c r="Z173" s="1486"/>
    </row>
    <row r="174" spans="1:26">
      <c r="A174" s="1414"/>
      <c r="B174" s="1415"/>
      <c r="C174" s="1405">
        <f t="shared" si="47"/>
        <v>1</v>
      </c>
      <c r="D174" s="1411"/>
      <c r="E174" s="1405">
        <f t="shared" si="48"/>
        <v>0</v>
      </c>
      <c r="F174" s="1411"/>
      <c r="G174" s="1405">
        <f t="shared" si="49"/>
        <v>1</v>
      </c>
      <c r="H174" s="1411"/>
      <c r="I174" s="1405">
        <f t="shared" si="50"/>
        <v>1</v>
      </c>
      <c r="J174" s="1411"/>
      <c r="K174" s="1405">
        <f t="shared" si="51"/>
        <v>1</v>
      </c>
      <c r="L174" s="1411"/>
      <c r="M174" s="1405">
        <f t="shared" si="52"/>
        <v>1</v>
      </c>
      <c r="N174" s="1411"/>
      <c r="O174" s="1405">
        <f t="shared" si="53"/>
        <v>1</v>
      </c>
      <c r="P174" s="1411"/>
      <c r="Q174" s="1405">
        <f t="shared" si="54"/>
        <v>0</v>
      </c>
      <c r="R174" s="1476">
        <f t="shared" si="59"/>
        <v>0</v>
      </c>
      <c r="S174" s="1358">
        <f t="shared" si="60"/>
        <v>0</v>
      </c>
      <c r="T174" s="1485">
        <f t="shared" si="61"/>
        <v>0</v>
      </c>
      <c r="U174" s="1483">
        <f t="shared" si="55"/>
        <v>0</v>
      </c>
      <c r="V174" s="1483">
        <f t="shared" si="56"/>
        <v>0</v>
      </c>
      <c r="W174" s="1486"/>
      <c r="X174" s="1483">
        <f t="shared" si="57"/>
        <v>0</v>
      </c>
      <c r="Y174" s="1483">
        <f t="shared" si="58"/>
        <v>0</v>
      </c>
      <c r="Z174" s="1486"/>
    </row>
    <row r="175" spans="1:26">
      <c r="A175" s="1414"/>
      <c r="B175" s="1415"/>
      <c r="C175" s="1405">
        <f t="shared" si="47"/>
        <v>1</v>
      </c>
      <c r="D175" s="1411"/>
      <c r="E175" s="1405">
        <f t="shared" si="48"/>
        <v>0</v>
      </c>
      <c r="F175" s="1411"/>
      <c r="G175" s="1405">
        <f t="shared" si="49"/>
        <v>1</v>
      </c>
      <c r="H175" s="1411"/>
      <c r="I175" s="1405">
        <f t="shared" si="50"/>
        <v>1</v>
      </c>
      <c r="J175" s="1411"/>
      <c r="K175" s="1405">
        <f t="shared" si="51"/>
        <v>1</v>
      </c>
      <c r="L175" s="1411"/>
      <c r="M175" s="1405">
        <f t="shared" si="52"/>
        <v>1</v>
      </c>
      <c r="N175" s="1411"/>
      <c r="O175" s="1405">
        <f t="shared" si="53"/>
        <v>1</v>
      </c>
      <c r="P175" s="1411"/>
      <c r="Q175" s="1405">
        <f t="shared" si="54"/>
        <v>0</v>
      </c>
      <c r="R175" s="1476">
        <f t="shared" si="59"/>
        <v>0</v>
      </c>
      <c r="S175" s="1358">
        <f t="shared" si="60"/>
        <v>0</v>
      </c>
      <c r="T175" s="1485">
        <f t="shared" si="61"/>
        <v>0</v>
      </c>
      <c r="U175" s="1483">
        <f t="shared" si="55"/>
        <v>0</v>
      </c>
      <c r="V175" s="1483">
        <f t="shared" si="56"/>
        <v>0</v>
      </c>
      <c r="W175" s="1486"/>
      <c r="X175" s="1483">
        <f t="shared" si="57"/>
        <v>0</v>
      </c>
      <c r="Y175" s="1483">
        <f t="shared" si="58"/>
        <v>0</v>
      </c>
      <c r="Z175" s="1486"/>
    </row>
    <row r="176" spans="1:26">
      <c r="A176" s="1414"/>
      <c r="B176" s="1415"/>
      <c r="C176" s="1405">
        <f t="shared" si="47"/>
        <v>1</v>
      </c>
      <c r="D176" s="1411"/>
      <c r="E176" s="1405">
        <f t="shared" si="48"/>
        <v>0</v>
      </c>
      <c r="F176" s="1411"/>
      <c r="G176" s="1405">
        <f t="shared" si="49"/>
        <v>1</v>
      </c>
      <c r="H176" s="1411"/>
      <c r="I176" s="1405">
        <f t="shared" si="50"/>
        <v>1</v>
      </c>
      <c r="J176" s="1411"/>
      <c r="K176" s="1405">
        <f t="shared" si="51"/>
        <v>1</v>
      </c>
      <c r="L176" s="1411"/>
      <c r="M176" s="1405">
        <f t="shared" si="52"/>
        <v>1</v>
      </c>
      <c r="N176" s="1411"/>
      <c r="O176" s="1405">
        <f t="shared" si="53"/>
        <v>1</v>
      </c>
      <c r="P176" s="1411"/>
      <c r="Q176" s="1405">
        <f t="shared" si="54"/>
        <v>0</v>
      </c>
      <c r="R176" s="1476">
        <f t="shared" si="59"/>
        <v>0</v>
      </c>
      <c r="S176" s="1358">
        <f t="shared" si="60"/>
        <v>0</v>
      </c>
      <c r="T176" s="1485">
        <f t="shared" si="61"/>
        <v>0</v>
      </c>
      <c r="U176" s="1483">
        <f t="shared" si="55"/>
        <v>0</v>
      </c>
      <c r="V176" s="1483">
        <f t="shared" si="56"/>
        <v>0</v>
      </c>
      <c r="W176" s="1486"/>
      <c r="X176" s="1483">
        <f t="shared" si="57"/>
        <v>0</v>
      </c>
      <c r="Y176" s="1483">
        <f t="shared" si="58"/>
        <v>0</v>
      </c>
      <c r="Z176" s="1486"/>
    </row>
    <row r="177" spans="1:26">
      <c r="A177" s="1414"/>
      <c r="B177" s="1415"/>
      <c r="C177" s="1405">
        <f t="shared" si="47"/>
        <v>1</v>
      </c>
      <c r="D177" s="1411"/>
      <c r="E177" s="1405">
        <f t="shared" si="48"/>
        <v>0</v>
      </c>
      <c r="F177" s="1411"/>
      <c r="G177" s="1405">
        <f t="shared" si="49"/>
        <v>1</v>
      </c>
      <c r="H177" s="1411"/>
      <c r="I177" s="1405">
        <f t="shared" si="50"/>
        <v>1</v>
      </c>
      <c r="J177" s="1411"/>
      <c r="K177" s="1405">
        <f t="shared" si="51"/>
        <v>1</v>
      </c>
      <c r="L177" s="1411"/>
      <c r="M177" s="1405">
        <f t="shared" si="52"/>
        <v>1</v>
      </c>
      <c r="N177" s="1411"/>
      <c r="O177" s="1405">
        <f t="shared" si="53"/>
        <v>1</v>
      </c>
      <c r="P177" s="1411"/>
      <c r="Q177" s="1405">
        <f t="shared" si="54"/>
        <v>0</v>
      </c>
      <c r="R177" s="1476">
        <f t="shared" si="59"/>
        <v>0</v>
      </c>
      <c r="S177" s="1358">
        <f t="shared" si="60"/>
        <v>0</v>
      </c>
      <c r="T177" s="1485">
        <f t="shared" si="61"/>
        <v>0</v>
      </c>
      <c r="U177" s="1483">
        <f t="shared" si="55"/>
        <v>0</v>
      </c>
      <c r="V177" s="1483">
        <f t="shared" si="56"/>
        <v>0</v>
      </c>
      <c r="W177" s="1486"/>
      <c r="X177" s="1483">
        <f t="shared" si="57"/>
        <v>0</v>
      </c>
      <c r="Y177" s="1483">
        <f t="shared" si="58"/>
        <v>0</v>
      </c>
      <c r="Z177" s="1486"/>
    </row>
    <row r="178" spans="1:26">
      <c r="A178" s="1414"/>
      <c r="B178" s="1415"/>
      <c r="C178" s="1405">
        <f t="shared" si="47"/>
        <v>1</v>
      </c>
      <c r="D178" s="1411"/>
      <c r="E178" s="1405">
        <f t="shared" si="48"/>
        <v>0</v>
      </c>
      <c r="F178" s="1411"/>
      <c r="G178" s="1405">
        <f t="shared" si="49"/>
        <v>1</v>
      </c>
      <c r="H178" s="1411"/>
      <c r="I178" s="1405">
        <f t="shared" si="50"/>
        <v>1</v>
      </c>
      <c r="J178" s="1411"/>
      <c r="K178" s="1405">
        <f t="shared" si="51"/>
        <v>1</v>
      </c>
      <c r="L178" s="1411"/>
      <c r="M178" s="1405">
        <f t="shared" si="52"/>
        <v>1</v>
      </c>
      <c r="N178" s="1411"/>
      <c r="O178" s="1405">
        <f t="shared" si="53"/>
        <v>1</v>
      </c>
      <c r="P178" s="1411"/>
      <c r="Q178" s="1405">
        <f t="shared" si="54"/>
        <v>0</v>
      </c>
      <c r="R178" s="1476">
        <f t="shared" si="59"/>
        <v>0</v>
      </c>
      <c r="S178" s="1358">
        <f t="shared" si="60"/>
        <v>0</v>
      </c>
      <c r="T178" s="1485">
        <f t="shared" si="61"/>
        <v>0</v>
      </c>
      <c r="U178" s="1483">
        <f t="shared" si="55"/>
        <v>0</v>
      </c>
      <c r="V178" s="1483">
        <f t="shared" si="56"/>
        <v>0</v>
      </c>
      <c r="W178" s="1486"/>
      <c r="X178" s="1483">
        <f t="shared" si="57"/>
        <v>0</v>
      </c>
      <c r="Y178" s="1483">
        <f t="shared" si="58"/>
        <v>0</v>
      </c>
      <c r="Z178" s="1486"/>
    </row>
    <row r="179" spans="1:26">
      <c r="A179" s="1414"/>
      <c r="B179" s="1415"/>
      <c r="C179" s="1405">
        <f t="shared" si="47"/>
        <v>1</v>
      </c>
      <c r="D179" s="1411"/>
      <c r="E179" s="1405">
        <f t="shared" si="48"/>
        <v>0</v>
      </c>
      <c r="F179" s="1411"/>
      <c r="G179" s="1405">
        <f t="shared" si="49"/>
        <v>1</v>
      </c>
      <c r="H179" s="1411"/>
      <c r="I179" s="1405">
        <f t="shared" si="50"/>
        <v>1</v>
      </c>
      <c r="J179" s="1411"/>
      <c r="K179" s="1405">
        <f t="shared" si="51"/>
        <v>1</v>
      </c>
      <c r="L179" s="1411"/>
      <c r="M179" s="1405">
        <f t="shared" si="52"/>
        <v>1</v>
      </c>
      <c r="N179" s="1411"/>
      <c r="O179" s="1405">
        <f t="shared" si="53"/>
        <v>1</v>
      </c>
      <c r="P179" s="1411"/>
      <c r="Q179" s="1405">
        <f t="shared" si="54"/>
        <v>0</v>
      </c>
      <c r="R179" s="1476">
        <f t="shared" si="59"/>
        <v>0</v>
      </c>
      <c r="S179" s="1358">
        <f t="shared" si="60"/>
        <v>0</v>
      </c>
      <c r="T179" s="1485">
        <f t="shared" si="61"/>
        <v>0</v>
      </c>
      <c r="U179" s="1483">
        <f t="shared" si="55"/>
        <v>0</v>
      </c>
      <c r="V179" s="1483">
        <f t="shared" si="56"/>
        <v>0</v>
      </c>
      <c r="W179" s="1486"/>
      <c r="X179" s="1483">
        <f t="shared" si="57"/>
        <v>0</v>
      </c>
      <c r="Y179" s="1483">
        <f t="shared" si="58"/>
        <v>0</v>
      </c>
      <c r="Z179" s="1486"/>
    </row>
    <row r="180" spans="1:26">
      <c r="A180" s="1414"/>
      <c r="B180" s="1415"/>
      <c r="C180" s="1405">
        <f t="shared" si="47"/>
        <v>1</v>
      </c>
      <c r="D180" s="1411"/>
      <c r="E180" s="1405">
        <f t="shared" si="48"/>
        <v>0</v>
      </c>
      <c r="F180" s="1411"/>
      <c r="G180" s="1405">
        <f t="shared" si="49"/>
        <v>1</v>
      </c>
      <c r="H180" s="1411"/>
      <c r="I180" s="1405">
        <f t="shared" si="50"/>
        <v>1</v>
      </c>
      <c r="J180" s="1411"/>
      <c r="K180" s="1405">
        <f t="shared" si="51"/>
        <v>1</v>
      </c>
      <c r="L180" s="1411"/>
      <c r="M180" s="1405">
        <f t="shared" si="52"/>
        <v>1</v>
      </c>
      <c r="N180" s="1411"/>
      <c r="O180" s="1405">
        <f t="shared" si="53"/>
        <v>1</v>
      </c>
      <c r="P180" s="1411"/>
      <c r="Q180" s="1405">
        <f t="shared" si="54"/>
        <v>0</v>
      </c>
      <c r="R180" s="1476">
        <f t="shared" si="59"/>
        <v>0</v>
      </c>
      <c r="S180" s="1358">
        <f t="shared" si="60"/>
        <v>0</v>
      </c>
      <c r="T180" s="1485">
        <f t="shared" si="61"/>
        <v>0</v>
      </c>
      <c r="U180" s="1483">
        <f t="shared" si="55"/>
        <v>0</v>
      </c>
      <c r="V180" s="1483">
        <f t="shared" si="56"/>
        <v>0</v>
      </c>
      <c r="W180" s="1486"/>
      <c r="X180" s="1483">
        <f t="shared" si="57"/>
        <v>0</v>
      </c>
      <c r="Y180" s="1483">
        <f t="shared" si="58"/>
        <v>0</v>
      </c>
      <c r="Z180" s="1486"/>
    </row>
    <row r="181" spans="1:26">
      <c r="A181" s="1414"/>
      <c r="B181" s="1415"/>
      <c r="C181" s="1405">
        <f t="shared" si="47"/>
        <v>1</v>
      </c>
      <c r="D181" s="1411"/>
      <c r="E181" s="1405">
        <f t="shared" si="48"/>
        <v>0</v>
      </c>
      <c r="F181" s="1411"/>
      <c r="G181" s="1405">
        <f t="shared" si="49"/>
        <v>1</v>
      </c>
      <c r="H181" s="1411"/>
      <c r="I181" s="1405">
        <f t="shared" si="50"/>
        <v>1</v>
      </c>
      <c r="J181" s="1411"/>
      <c r="K181" s="1405">
        <f t="shared" si="51"/>
        <v>1</v>
      </c>
      <c r="L181" s="1411"/>
      <c r="M181" s="1405">
        <f t="shared" si="52"/>
        <v>1</v>
      </c>
      <c r="N181" s="1411"/>
      <c r="O181" s="1405">
        <f t="shared" si="53"/>
        <v>1</v>
      </c>
      <c r="P181" s="1411"/>
      <c r="Q181" s="1405">
        <f t="shared" si="54"/>
        <v>0</v>
      </c>
      <c r="R181" s="1476">
        <f t="shared" si="59"/>
        <v>0</v>
      </c>
      <c r="S181" s="1358">
        <f t="shared" si="60"/>
        <v>0</v>
      </c>
      <c r="T181" s="1485">
        <f t="shared" si="61"/>
        <v>0</v>
      </c>
      <c r="U181" s="1483">
        <f t="shared" si="55"/>
        <v>0</v>
      </c>
      <c r="V181" s="1483">
        <f t="shared" si="56"/>
        <v>0</v>
      </c>
      <c r="W181" s="1486"/>
      <c r="X181" s="1483">
        <f t="shared" si="57"/>
        <v>0</v>
      </c>
      <c r="Y181" s="1483">
        <f t="shared" si="58"/>
        <v>0</v>
      </c>
      <c r="Z181" s="1486"/>
    </row>
    <row r="182" spans="1:26">
      <c r="A182" s="1414"/>
      <c r="B182" s="1415"/>
      <c r="C182" s="1405">
        <f t="shared" si="47"/>
        <v>1</v>
      </c>
      <c r="D182" s="1411"/>
      <c r="E182" s="1405">
        <f t="shared" si="48"/>
        <v>0</v>
      </c>
      <c r="F182" s="1411"/>
      <c r="G182" s="1405">
        <f t="shared" si="49"/>
        <v>1</v>
      </c>
      <c r="H182" s="1411"/>
      <c r="I182" s="1405">
        <f t="shared" si="50"/>
        <v>1</v>
      </c>
      <c r="J182" s="1411"/>
      <c r="K182" s="1405">
        <f t="shared" si="51"/>
        <v>1</v>
      </c>
      <c r="L182" s="1411"/>
      <c r="M182" s="1405">
        <f t="shared" si="52"/>
        <v>1</v>
      </c>
      <c r="N182" s="1411"/>
      <c r="O182" s="1405">
        <f t="shared" si="53"/>
        <v>1</v>
      </c>
      <c r="P182" s="1411"/>
      <c r="Q182" s="1405">
        <f t="shared" si="54"/>
        <v>0</v>
      </c>
      <c r="R182" s="1476">
        <f t="shared" si="59"/>
        <v>0</v>
      </c>
      <c r="S182" s="1358">
        <f t="shared" si="60"/>
        <v>0</v>
      </c>
      <c r="T182" s="1485">
        <f t="shared" si="61"/>
        <v>0</v>
      </c>
      <c r="U182" s="1483">
        <f t="shared" si="55"/>
        <v>0</v>
      </c>
      <c r="V182" s="1483">
        <f t="shared" si="56"/>
        <v>0</v>
      </c>
      <c r="W182" s="1486"/>
      <c r="X182" s="1483">
        <f t="shared" si="57"/>
        <v>0</v>
      </c>
      <c r="Y182" s="1483">
        <f t="shared" si="58"/>
        <v>0</v>
      </c>
      <c r="Z182" s="1486"/>
    </row>
    <row r="183" spans="1:26">
      <c r="A183" s="1414"/>
      <c r="B183" s="1415"/>
      <c r="C183" s="1405">
        <f t="shared" si="47"/>
        <v>1</v>
      </c>
      <c r="D183" s="1411"/>
      <c r="E183" s="1405">
        <f t="shared" si="48"/>
        <v>0</v>
      </c>
      <c r="F183" s="1411"/>
      <c r="G183" s="1405">
        <f t="shared" si="49"/>
        <v>1</v>
      </c>
      <c r="H183" s="1411"/>
      <c r="I183" s="1405">
        <f t="shared" si="50"/>
        <v>1</v>
      </c>
      <c r="J183" s="1411"/>
      <c r="K183" s="1405">
        <f t="shared" si="51"/>
        <v>1</v>
      </c>
      <c r="L183" s="1411"/>
      <c r="M183" s="1405">
        <f t="shared" si="52"/>
        <v>1</v>
      </c>
      <c r="N183" s="1411"/>
      <c r="O183" s="1405">
        <f t="shared" si="53"/>
        <v>1</v>
      </c>
      <c r="P183" s="1411"/>
      <c r="Q183" s="1405">
        <f t="shared" si="54"/>
        <v>0</v>
      </c>
      <c r="R183" s="1476">
        <f t="shared" si="59"/>
        <v>0</v>
      </c>
      <c r="S183" s="1358">
        <f t="shared" si="60"/>
        <v>0</v>
      </c>
      <c r="T183" s="1485">
        <f t="shared" si="61"/>
        <v>0</v>
      </c>
      <c r="U183" s="1483">
        <f t="shared" si="55"/>
        <v>0</v>
      </c>
      <c r="V183" s="1483">
        <f t="shared" si="56"/>
        <v>0</v>
      </c>
      <c r="W183" s="1486"/>
      <c r="X183" s="1483">
        <f t="shared" si="57"/>
        <v>0</v>
      </c>
      <c r="Y183" s="1483">
        <f t="shared" si="58"/>
        <v>0</v>
      </c>
      <c r="Z183" s="1486"/>
    </row>
    <row r="184" spans="1:26">
      <c r="A184" s="1414"/>
      <c r="B184" s="1415"/>
      <c r="C184" s="1405">
        <f t="shared" si="47"/>
        <v>1</v>
      </c>
      <c r="D184" s="1411"/>
      <c r="E184" s="1405">
        <f t="shared" si="48"/>
        <v>0</v>
      </c>
      <c r="F184" s="1411"/>
      <c r="G184" s="1405">
        <f t="shared" si="49"/>
        <v>1</v>
      </c>
      <c r="H184" s="1411"/>
      <c r="I184" s="1405">
        <f t="shared" si="50"/>
        <v>1</v>
      </c>
      <c r="J184" s="1411"/>
      <c r="K184" s="1405">
        <f t="shared" si="51"/>
        <v>1</v>
      </c>
      <c r="L184" s="1411"/>
      <c r="M184" s="1405">
        <f t="shared" si="52"/>
        <v>1</v>
      </c>
      <c r="N184" s="1411"/>
      <c r="O184" s="1405">
        <f t="shared" si="53"/>
        <v>1</v>
      </c>
      <c r="P184" s="1411"/>
      <c r="Q184" s="1405">
        <f t="shared" si="54"/>
        <v>0</v>
      </c>
      <c r="R184" s="1476">
        <f t="shared" si="59"/>
        <v>0</v>
      </c>
      <c r="S184" s="1358">
        <f t="shared" si="60"/>
        <v>0</v>
      </c>
      <c r="T184" s="1485">
        <f t="shared" si="61"/>
        <v>0</v>
      </c>
      <c r="U184" s="1483">
        <f t="shared" si="55"/>
        <v>0</v>
      </c>
      <c r="V184" s="1483">
        <f t="shared" si="56"/>
        <v>0</v>
      </c>
      <c r="W184" s="1486"/>
      <c r="X184" s="1483">
        <f t="shared" si="57"/>
        <v>0</v>
      </c>
      <c r="Y184" s="1483">
        <f t="shared" si="58"/>
        <v>0</v>
      </c>
      <c r="Z184" s="1486"/>
    </row>
    <row r="185" spans="1:26">
      <c r="A185" s="1414"/>
      <c r="B185" s="1415"/>
      <c r="C185" s="1405">
        <f t="shared" si="47"/>
        <v>1</v>
      </c>
      <c r="D185" s="1411"/>
      <c r="E185" s="1405">
        <f t="shared" si="48"/>
        <v>0</v>
      </c>
      <c r="F185" s="1411"/>
      <c r="G185" s="1405">
        <f t="shared" si="49"/>
        <v>1</v>
      </c>
      <c r="H185" s="1411"/>
      <c r="I185" s="1405">
        <f t="shared" si="50"/>
        <v>1</v>
      </c>
      <c r="J185" s="1411"/>
      <c r="K185" s="1405">
        <f t="shared" si="51"/>
        <v>1</v>
      </c>
      <c r="L185" s="1411"/>
      <c r="M185" s="1405">
        <f t="shared" si="52"/>
        <v>1</v>
      </c>
      <c r="N185" s="1411"/>
      <c r="O185" s="1405">
        <f t="shared" si="53"/>
        <v>1</v>
      </c>
      <c r="P185" s="1411"/>
      <c r="Q185" s="1405">
        <f t="shared" si="54"/>
        <v>0</v>
      </c>
      <c r="R185" s="1476">
        <f t="shared" si="59"/>
        <v>0</v>
      </c>
      <c r="S185" s="1358">
        <f t="shared" si="60"/>
        <v>0</v>
      </c>
      <c r="T185" s="1485">
        <f t="shared" si="61"/>
        <v>0</v>
      </c>
      <c r="U185" s="1483">
        <f t="shared" si="55"/>
        <v>0</v>
      </c>
      <c r="V185" s="1483">
        <f t="shared" si="56"/>
        <v>0</v>
      </c>
      <c r="W185" s="1486"/>
      <c r="X185" s="1483">
        <f t="shared" si="57"/>
        <v>0</v>
      </c>
      <c r="Y185" s="1483">
        <f t="shared" si="58"/>
        <v>0</v>
      </c>
      <c r="Z185" s="1486"/>
    </row>
    <row r="186" spans="1:26">
      <c r="A186" s="1414"/>
      <c r="B186" s="1415"/>
      <c r="C186" s="1405">
        <f t="shared" si="47"/>
        <v>1</v>
      </c>
      <c r="D186" s="1411"/>
      <c r="E186" s="1405">
        <f t="shared" si="48"/>
        <v>0</v>
      </c>
      <c r="F186" s="1411"/>
      <c r="G186" s="1405">
        <f t="shared" si="49"/>
        <v>1</v>
      </c>
      <c r="H186" s="1411"/>
      <c r="I186" s="1405">
        <f t="shared" si="50"/>
        <v>1</v>
      </c>
      <c r="J186" s="1411"/>
      <c r="K186" s="1405">
        <f t="shared" si="51"/>
        <v>1</v>
      </c>
      <c r="L186" s="1411"/>
      <c r="M186" s="1405">
        <f t="shared" si="52"/>
        <v>1</v>
      </c>
      <c r="N186" s="1411"/>
      <c r="O186" s="1405">
        <f t="shared" si="53"/>
        <v>1</v>
      </c>
      <c r="P186" s="1411"/>
      <c r="Q186" s="1405">
        <f t="shared" si="54"/>
        <v>0</v>
      </c>
      <c r="R186" s="1476">
        <f t="shared" si="59"/>
        <v>0</v>
      </c>
      <c r="S186" s="1358">
        <f t="shared" si="60"/>
        <v>0</v>
      </c>
      <c r="T186" s="1485">
        <f t="shared" si="61"/>
        <v>0</v>
      </c>
      <c r="U186" s="1483">
        <f t="shared" si="55"/>
        <v>0</v>
      </c>
      <c r="V186" s="1483">
        <f t="shared" si="56"/>
        <v>0</v>
      </c>
      <c r="W186" s="1486"/>
      <c r="X186" s="1483">
        <f t="shared" si="57"/>
        <v>0</v>
      </c>
      <c r="Y186" s="1483">
        <f t="shared" si="58"/>
        <v>0</v>
      </c>
      <c r="Z186" s="1486"/>
    </row>
    <row r="187" spans="1:26">
      <c r="A187" s="1414"/>
      <c r="B187" s="1415"/>
      <c r="C187" s="1405">
        <f t="shared" si="47"/>
        <v>1</v>
      </c>
      <c r="D187" s="1411"/>
      <c r="E187" s="1405">
        <f t="shared" si="48"/>
        <v>0</v>
      </c>
      <c r="F187" s="1411"/>
      <c r="G187" s="1405">
        <f t="shared" si="49"/>
        <v>1</v>
      </c>
      <c r="H187" s="1411"/>
      <c r="I187" s="1405">
        <f t="shared" si="50"/>
        <v>1</v>
      </c>
      <c r="J187" s="1411"/>
      <c r="K187" s="1405">
        <f t="shared" si="51"/>
        <v>1</v>
      </c>
      <c r="L187" s="1411"/>
      <c r="M187" s="1405">
        <f t="shared" si="52"/>
        <v>1</v>
      </c>
      <c r="N187" s="1411"/>
      <c r="O187" s="1405">
        <f t="shared" si="53"/>
        <v>1</v>
      </c>
      <c r="P187" s="1411"/>
      <c r="Q187" s="1405">
        <f t="shared" si="54"/>
        <v>0</v>
      </c>
      <c r="R187" s="1476">
        <f t="shared" si="59"/>
        <v>0</v>
      </c>
      <c r="S187" s="1358">
        <f t="shared" si="60"/>
        <v>0</v>
      </c>
      <c r="T187" s="1485">
        <f t="shared" si="61"/>
        <v>0</v>
      </c>
      <c r="U187" s="1483">
        <f t="shared" si="55"/>
        <v>0</v>
      </c>
      <c r="V187" s="1483">
        <f t="shared" si="56"/>
        <v>0</v>
      </c>
      <c r="W187" s="1486"/>
      <c r="X187" s="1483">
        <f t="shared" si="57"/>
        <v>0</v>
      </c>
      <c r="Y187" s="1483">
        <f t="shared" si="58"/>
        <v>0</v>
      </c>
      <c r="Z187" s="1486"/>
    </row>
    <row r="188" spans="1:26">
      <c r="A188" s="1414"/>
      <c r="B188" s="1415"/>
      <c r="C188" s="1405">
        <f t="shared" si="47"/>
        <v>1</v>
      </c>
      <c r="D188" s="1411"/>
      <c r="E188" s="1405">
        <f t="shared" si="48"/>
        <v>0</v>
      </c>
      <c r="F188" s="1411"/>
      <c r="G188" s="1405">
        <f t="shared" si="49"/>
        <v>1</v>
      </c>
      <c r="H188" s="1411"/>
      <c r="I188" s="1405">
        <f t="shared" si="50"/>
        <v>1</v>
      </c>
      <c r="J188" s="1411"/>
      <c r="K188" s="1405">
        <f t="shared" si="51"/>
        <v>1</v>
      </c>
      <c r="L188" s="1411"/>
      <c r="M188" s="1405">
        <f t="shared" si="52"/>
        <v>1</v>
      </c>
      <c r="N188" s="1411"/>
      <c r="O188" s="1405">
        <f t="shared" si="53"/>
        <v>1</v>
      </c>
      <c r="P188" s="1411"/>
      <c r="Q188" s="1405">
        <f t="shared" si="54"/>
        <v>0</v>
      </c>
      <c r="R188" s="1476">
        <f t="shared" si="59"/>
        <v>0</v>
      </c>
      <c r="S188" s="1358">
        <f t="shared" si="60"/>
        <v>0</v>
      </c>
      <c r="T188" s="1485">
        <f t="shared" si="61"/>
        <v>0</v>
      </c>
      <c r="U188" s="1483">
        <f t="shared" si="55"/>
        <v>0</v>
      </c>
      <c r="V188" s="1483">
        <f t="shared" si="56"/>
        <v>0</v>
      </c>
      <c r="W188" s="1486"/>
      <c r="X188" s="1483">
        <f t="shared" si="57"/>
        <v>0</v>
      </c>
      <c r="Y188" s="1483">
        <f t="shared" si="58"/>
        <v>0</v>
      </c>
      <c r="Z188" s="1486"/>
    </row>
    <row r="189" spans="1:26">
      <c r="A189" s="1414"/>
      <c r="B189" s="1415"/>
      <c r="C189" s="1405">
        <f t="shared" si="47"/>
        <v>1</v>
      </c>
      <c r="D189" s="1411"/>
      <c r="E189" s="1405">
        <f t="shared" si="48"/>
        <v>0</v>
      </c>
      <c r="F189" s="1411"/>
      <c r="G189" s="1405">
        <f t="shared" si="49"/>
        <v>1</v>
      </c>
      <c r="H189" s="1411"/>
      <c r="I189" s="1405">
        <f t="shared" si="50"/>
        <v>1</v>
      </c>
      <c r="J189" s="1411"/>
      <c r="K189" s="1405">
        <f t="shared" si="51"/>
        <v>1</v>
      </c>
      <c r="L189" s="1411"/>
      <c r="M189" s="1405">
        <f t="shared" si="52"/>
        <v>1</v>
      </c>
      <c r="N189" s="1411"/>
      <c r="O189" s="1405">
        <f t="shared" si="53"/>
        <v>1</v>
      </c>
      <c r="P189" s="1411"/>
      <c r="Q189" s="1405">
        <f t="shared" si="54"/>
        <v>0</v>
      </c>
      <c r="R189" s="1476">
        <f t="shared" si="59"/>
        <v>0</v>
      </c>
      <c r="S189" s="1358">
        <f t="shared" si="60"/>
        <v>0</v>
      </c>
      <c r="T189" s="1485">
        <f t="shared" si="61"/>
        <v>0</v>
      </c>
      <c r="U189" s="1483">
        <f t="shared" si="55"/>
        <v>0</v>
      </c>
      <c r="V189" s="1483">
        <f t="shared" si="56"/>
        <v>0</v>
      </c>
      <c r="W189" s="1486"/>
      <c r="X189" s="1483">
        <f t="shared" si="57"/>
        <v>0</v>
      </c>
      <c r="Y189" s="1483">
        <f t="shared" si="58"/>
        <v>0</v>
      </c>
      <c r="Z189" s="1486"/>
    </row>
    <row r="190" spans="1:26">
      <c r="A190" s="1414"/>
      <c r="B190" s="1415"/>
      <c r="C190" s="1405">
        <f t="shared" si="47"/>
        <v>1</v>
      </c>
      <c r="D190" s="1411"/>
      <c r="E190" s="1405">
        <f t="shared" si="48"/>
        <v>0</v>
      </c>
      <c r="F190" s="1411"/>
      <c r="G190" s="1405">
        <f t="shared" si="49"/>
        <v>1</v>
      </c>
      <c r="H190" s="1411"/>
      <c r="I190" s="1405">
        <f t="shared" si="50"/>
        <v>1</v>
      </c>
      <c r="J190" s="1411"/>
      <c r="K190" s="1405">
        <f t="shared" si="51"/>
        <v>1</v>
      </c>
      <c r="L190" s="1411"/>
      <c r="M190" s="1405">
        <f t="shared" si="52"/>
        <v>1</v>
      </c>
      <c r="N190" s="1411"/>
      <c r="O190" s="1405">
        <f t="shared" si="53"/>
        <v>1</v>
      </c>
      <c r="P190" s="1411"/>
      <c r="Q190" s="1405">
        <f t="shared" si="54"/>
        <v>0</v>
      </c>
      <c r="R190" s="1476">
        <f t="shared" si="59"/>
        <v>0</v>
      </c>
      <c r="S190" s="1358">
        <f t="shared" si="60"/>
        <v>0</v>
      </c>
      <c r="T190" s="1485">
        <f t="shared" si="61"/>
        <v>0</v>
      </c>
      <c r="U190" s="1483">
        <f t="shared" si="55"/>
        <v>0</v>
      </c>
      <c r="V190" s="1483">
        <f t="shared" si="56"/>
        <v>0</v>
      </c>
      <c r="W190" s="1486"/>
      <c r="X190" s="1483">
        <f t="shared" si="57"/>
        <v>0</v>
      </c>
      <c r="Y190" s="1483">
        <f t="shared" si="58"/>
        <v>0</v>
      </c>
      <c r="Z190" s="1486"/>
    </row>
    <row r="191" spans="1:26">
      <c r="A191" s="1414"/>
      <c r="B191" s="1415"/>
      <c r="C191" s="1405">
        <f t="shared" si="47"/>
        <v>1</v>
      </c>
      <c r="D191" s="1411"/>
      <c r="E191" s="1405">
        <f t="shared" si="48"/>
        <v>0</v>
      </c>
      <c r="F191" s="1411"/>
      <c r="G191" s="1405">
        <f t="shared" si="49"/>
        <v>1</v>
      </c>
      <c r="H191" s="1411"/>
      <c r="I191" s="1405">
        <f t="shared" si="50"/>
        <v>1</v>
      </c>
      <c r="J191" s="1411"/>
      <c r="K191" s="1405">
        <f t="shared" si="51"/>
        <v>1</v>
      </c>
      <c r="L191" s="1411"/>
      <c r="M191" s="1405">
        <f t="shared" si="52"/>
        <v>1</v>
      </c>
      <c r="N191" s="1411"/>
      <c r="O191" s="1405">
        <f t="shared" si="53"/>
        <v>1</v>
      </c>
      <c r="P191" s="1411"/>
      <c r="Q191" s="1405">
        <f t="shared" si="54"/>
        <v>0</v>
      </c>
      <c r="R191" s="1476">
        <f t="shared" si="59"/>
        <v>0</v>
      </c>
      <c r="S191" s="1358">
        <f t="shared" si="60"/>
        <v>0</v>
      </c>
      <c r="T191" s="1485">
        <f t="shared" si="61"/>
        <v>0</v>
      </c>
      <c r="U191" s="1483">
        <f t="shared" si="55"/>
        <v>0</v>
      </c>
      <c r="V191" s="1483">
        <f t="shared" si="56"/>
        <v>0</v>
      </c>
      <c r="W191" s="1486"/>
      <c r="X191" s="1483">
        <f t="shared" si="57"/>
        <v>0</v>
      </c>
      <c r="Y191" s="1483">
        <f t="shared" si="58"/>
        <v>0</v>
      </c>
      <c r="Z191" s="1486"/>
    </row>
    <row r="192" spans="1:26">
      <c r="A192" s="1414"/>
      <c r="B192" s="1415"/>
      <c r="C192" s="1405">
        <f t="shared" si="47"/>
        <v>1</v>
      </c>
      <c r="D192" s="1411"/>
      <c r="E192" s="1405">
        <f t="shared" si="48"/>
        <v>0</v>
      </c>
      <c r="F192" s="1411"/>
      <c r="G192" s="1405">
        <f t="shared" si="49"/>
        <v>1</v>
      </c>
      <c r="H192" s="1411"/>
      <c r="I192" s="1405">
        <f t="shared" si="50"/>
        <v>1</v>
      </c>
      <c r="J192" s="1411"/>
      <c r="K192" s="1405">
        <f t="shared" si="51"/>
        <v>1</v>
      </c>
      <c r="L192" s="1411"/>
      <c r="M192" s="1405">
        <f t="shared" si="52"/>
        <v>1</v>
      </c>
      <c r="N192" s="1411"/>
      <c r="O192" s="1405">
        <f t="shared" si="53"/>
        <v>1</v>
      </c>
      <c r="P192" s="1411"/>
      <c r="Q192" s="1405">
        <f t="shared" si="54"/>
        <v>0</v>
      </c>
      <c r="R192" s="1476">
        <f t="shared" si="59"/>
        <v>0</v>
      </c>
      <c r="S192" s="1358">
        <f t="shared" si="60"/>
        <v>0</v>
      </c>
      <c r="T192" s="1485">
        <f t="shared" si="61"/>
        <v>0</v>
      </c>
      <c r="U192" s="1483">
        <f t="shared" si="55"/>
        <v>0</v>
      </c>
      <c r="V192" s="1483">
        <f t="shared" si="56"/>
        <v>0</v>
      </c>
      <c r="W192" s="1486"/>
      <c r="X192" s="1483">
        <f t="shared" si="57"/>
        <v>0</v>
      </c>
      <c r="Y192" s="1483">
        <f t="shared" si="58"/>
        <v>0</v>
      </c>
      <c r="Z192" s="1486"/>
    </row>
    <row r="193" spans="1:26">
      <c r="A193" s="1414"/>
      <c r="B193" s="1415"/>
      <c r="C193" s="1405">
        <f t="shared" si="47"/>
        <v>1</v>
      </c>
      <c r="D193" s="1411"/>
      <c r="E193" s="1405">
        <f t="shared" si="48"/>
        <v>0</v>
      </c>
      <c r="F193" s="1411"/>
      <c r="G193" s="1405">
        <f t="shared" si="49"/>
        <v>1</v>
      </c>
      <c r="H193" s="1411"/>
      <c r="I193" s="1405">
        <f t="shared" si="50"/>
        <v>1</v>
      </c>
      <c r="J193" s="1411"/>
      <c r="K193" s="1405">
        <f t="shared" si="51"/>
        <v>1</v>
      </c>
      <c r="L193" s="1411"/>
      <c r="M193" s="1405">
        <f t="shared" si="52"/>
        <v>1</v>
      </c>
      <c r="N193" s="1411"/>
      <c r="O193" s="1405">
        <f t="shared" si="53"/>
        <v>1</v>
      </c>
      <c r="P193" s="1411"/>
      <c r="Q193" s="1405">
        <f t="shared" si="54"/>
        <v>0</v>
      </c>
      <c r="R193" s="1476">
        <f t="shared" si="59"/>
        <v>0</v>
      </c>
      <c r="S193" s="1358">
        <f t="shared" si="60"/>
        <v>0</v>
      </c>
      <c r="T193" s="1485">
        <f t="shared" si="61"/>
        <v>0</v>
      </c>
      <c r="U193" s="1483">
        <f t="shared" si="55"/>
        <v>0</v>
      </c>
      <c r="V193" s="1483">
        <f t="shared" si="56"/>
        <v>0</v>
      </c>
      <c r="W193" s="1486"/>
      <c r="X193" s="1483">
        <f t="shared" si="57"/>
        <v>0</v>
      </c>
      <c r="Y193" s="1483">
        <f t="shared" si="58"/>
        <v>0</v>
      </c>
      <c r="Z193" s="1486"/>
    </row>
    <row r="194" spans="1:26">
      <c r="A194" s="1414"/>
      <c r="B194" s="1415"/>
      <c r="C194" s="1405">
        <f t="shared" si="47"/>
        <v>1</v>
      </c>
      <c r="D194" s="1411"/>
      <c r="E194" s="1405">
        <f t="shared" si="48"/>
        <v>0</v>
      </c>
      <c r="F194" s="1411"/>
      <c r="G194" s="1405">
        <f t="shared" si="49"/>
        <v>1</v>
      </c>
      <c r="H194" s="1411"/>
      <c r="I194" s="1405">
        <f t="shared" si="50"/>
        <v>1</v>
      </c>
      <c r="J194" s="1411"/>
      <c r="K194" s="1405">
        <f t="shared" si="51"/>
        <v>1</v>
      </c>
      <c r="L194" s="1411"/>
      <c r="M194" s="1405">
        <f t="shared" si="52"/>
        <v>1</v>
      </c>
      <c r="N194" s="1411"/>
      <c r="O194" s="1405">
        <f t="shared" si="53"/>
        <v>1</v>
      </c>
      <c r="P194" s="1411"/>
      <c r="Q194" s="1405">
        <f t="shared" si="54"/>
        <v>0</v>
      </c>
      <c r="R194" s="1476">
        <f t="shared" si="59"/>
        <v>0</v>
      </c>
      <c r="S194" s="1358">
        <f t="shared" si="60"/>
        <v>0</v>
      </c>
      <c r="T194" s="1485">
        <f t="shared" si="61"/>
        <v>0</v>
      </c>
      <c r="U194" s="1483">
        <f t="shared" si="55"/>
        <v>0</v>
      </c>
      <c r="V194" s="1483">
        <f t="shared" si="56"/>
        <v>0</v>
      </c>
      <c r="W194" s="1486"/>
      <c r="X194" s="1483">
        <f t="shared" si="57"/>
        <v>0</v>
      </c>
      <c r="Y194" s="1483">
        <f t="shared" si="58"/>
        <v>0</v>
      </c>
      <c r="Z194" s="1486"/>
    </row>
    <row r="195" spans="1:26">
      <c r="A195" s="1414"/>
      <c r="B195" s="1415"/>
      <c r="C195" s="1405">
        <f t="shared" si="47"/>
        <v>1</v>
      </c>
      <c r="D195" s="1411"/>
      <c r="E195" s="1405">
        <f t="shared" si="48"/>
        <v>0</v>
      </c>
      <c r="F195" s="1411"/>
      <c r="G195" s="1405">
        <f t="shared" si="49"/>
        <v>1</v>
      </c>
      <c r="H195" s="1411"/>
      <c r="I195" s="1405">
        <f t="shared" si="50"/>
        <v>1</v>
      </c>
      <c r="J195" s="1411"/>
      <c r="K195" s="1405">
        <f t="shared" si="51"/>
        <v>1</v>
      </c>
      <c r="L195" s="1411"/>
      <c r="M195" s="1405">
        <f t="shared" si="52"/>
        <v>1</v>
      </c>
      <c r="N195" s="1411"/>
      <c r="O195" s="1405">
        <f t="shared" si="53"/>
        <v>1</v>
      </c>
      <c r="P195" s="1411"/>
      <c r="Q195" s="1405">
        <f t="shared" si="54"/>
        <v>0</v>
      </c>
      <c r="R195" s="1476">
        <f t="shared" si="59"/>
        <v>0</v>
      </c>
      <c r="S195" s="1358">
        <f t="shared" si="60"/>
        <v>0</v>
      </c>
      <c r="T195" s="1485">
        <f t="shared" si="61"/>
        <v>0</v>
      </c>
      <c r="U195" s="1483">
        <f t="shared" si="55"/>
        <v>0</v>
      </c>
      <c r="V195" s="1483">
        <f t="shared" si="56"/>
        <v>0</v>
      </c>
      <c r="W195" s="1486"/>
      <c r="X195" s="1483">
        <f t="shared" si="57"/>
        <v>0</v>
      </c>
      <c r="Y195" s="1483">
        <f t="shared" si="58"/>
        <v>0</v>
      </c>
      <c r="Z195" s="1486"/>
    </row>
    <row r="196" spans="1:26">
      <c r="A196" s="1414"/>
      <c r="B196" s="1415"/>
      <c r="C196" s="1405">
        <f t="shared" si="47"/>
        <v>1</v>
      </c>
      <c r="D196" s="1411"/>
      <c r="E196" s="1405">
        <f t="shared" si="48"/>
        <v>0</v>
      </c>
      <c r="F196" s="1411"/>
      <c r="G196" s="1405">
        <f t="shared" si="49"/>
        <v>1</v>
      </c>
      <c r="H196" s="1411"/>
      <c r="I196" s="1405">
        <f t="shared" si="50"/>
        <v>1</v>
      </c>
      <c r="J196" s="1411"/>
      <c r="K196" s="1405">
        <f t="shared" si="51"/>
        <v>1</v>
      </c>
      <c r="L196" s="1411"/>
      <c r="M196" s="1405">
        <f t="shared" si="52"/>
        <v>1</v>
      </c>
      <c r="N196" s="1411"/>
      <c r="O196" s="1405">
        <f t="shared" si="53"/>
        <v>1</v>
      </c>
      <c r="P196" s="1411"/>
      <c r="Q196" s="1405">
        <f t="shared" si="54"/>
        <v>0</v>
      </c>
      <c r="R196" s="1476">
        <f t="shared" si="59"/>
        <v>0</v>
      </c>
      <c r="S196" s="1358">
        <f t="shared" si="60"/>
        <v>0</v>
      </c>
      <c r="T196" s="1485">
        <f t="shared" si="61"/>
        <v>0</v>
      </c>
      <c r="U196" s="1483">
        <f t="shared" si="55"/>
        <v>0</v>
      </c>
      <c r="V196" s="1483">
        <f t="shared" si="56"/>
        <v>0</v>
      </c>
      <c r="W196" s="1486"/>
      <c r="X196" s="1483">
        <f t="shared" si="57"/>
        <v>0</v>
      </c>
      <c r="Y196" s="1483">
        <f t="shared" si="58"/>
        <v>0</v>
      </c>
      <c r="Z196" s="1486"/>
    </row>
    <row r="197" spans="1:26">
      <c r="A197" s="1414"/>
      <c r="B197" s="1415"/>
      <c r="C197" s="1405">
        <f t="shared" si="47"/>
        <v>1</v>
      </c>
      <c r="D197" s="1411"/>
      <c r="E197" s="1405">
        <f t="shared" si="48"/>
        <v>0</v>
      </c>
      <c r="F197" s="1411"/>
      <c r="G197" s="1405">
        <f t="shared" si="49"/>
        <v>1</v>
      </c>
      <c r="H197" s="1411"/>
      <c r="I197" s="1405">
        <f t="shared" si="50"/>
        <v>1</v>
      </c>
      <c r="J197" s="1411"/>
      <c r="K197" s="1405">
        <f t="shared" si="51"/>
        <v>1</v>
      </c>
      <c r="L197" s="1411"/>
      <c r="M197" s="1405">
        <f t="shared" si="52"/>
        <v>1</v>
      </c>
      <c r="N197" s="1411"/>
      <c r="O197" s="1405">
        <f t="shared" si="53"/>
        <v>1</v>
      </c>
      <c r="P197" s="1411"/>
      <c r="Q197" s="1405">
        <f t="shared" si="54"/>
        <v>0</v>
      </c>
      <c r="R197" s="1476">
        <f t="shared" si="59"/>
        <v>0</v>
      </c>
      <c r="S197" s="1358">
        <f t="shared" si="60"/>
        <v>0</v>
      </c>
      <c r="T197" s="1485">
        <f t="shared" si="61"/>
        <v>0</v>
      </c>
      <c r="U197" s="1483">
        <f t="shared" si="55"/>
        <v>0</v>
      </c>
      <c r="V197" s="1483">
        <f t="shared" si="56"/>
        <v>0</v>
      </c>
      <c r="W197" s="1486"/>
      <c r="X197" s="1483">
        <f t="shared" si="57"/>
        <v>0</v>
      </c>
      <c r="Y197" s="1483">
        <f t="shared" si="58"/>
        <v>0</v>
      </c>
      <c r="Z197" s="1486"/>
    </row>
    <row r="198" spans="1:26">
      <c r="A198" s="1414"/>
      <c r="B198" s="1415"/>
      <c r="C198" s="1405">
        <f t="shared" si="47"/>
        <v>1</v>
      </c>
      <c r="D198" s="1411"/>
      <c r="E198" s="1405">
        <f t="shared" si="48"/>
        <v>0</v>
      </c>
      <c r="F198" s="1411"/>
      <c r="G198" s="1405">
        <f t="shared" si="49"/>
        <v>1</v>
      </c>
      <c r="H198" s="1411"/>
      <c r="I198" s="1405">
        <f t="shared" si="50"/>
        <v>1</v>
      </c>
      <c r="J198" s="1411"/>
      <c r="K198" s="1405">
        <f t="shared" si="51"/>
        <v>1</v>
      </c>
      <c r="L198" s="1411"/>
      <c r="M198" s="1405">
        <f t="shared" si="52"/>
        <v>1</v>
      </c>
      <c r="N198" s="1411"/>
      <c r="O198" s="1405">
        <f t="shared" si="53"/>
        <v>1</v>
      </c>
      <c r="P198" s="1411"/>
      <c r="Q198" s="1405">
        <f t="shared" si="54"/>
        <v>0</v>
      </c>
      <c r="R198" s="1476">
        <f t="shared" si="59"/>
        <v>0</v>
      </c>
      <c r="S198" s="1358">
        <f t="shared" si="60"/>
        <v>0</v>
      </c>
      <c r="T198" s="1485">
        <f t="shared" si="61"/>
        <v>0</v>
      </c>
      <c r="U198" s="1483">
        <f t="shared" si="55"/>
        <v>0</v>
      </c>
      <c r="V198" s="1483">
        <f t="shared" si="56"/>
        <v>0</v>
      </c>
      <c r="W198" s="1486"/>
      <c r="X198" s="1483">
        <f t="shared" si="57"/>
        <v>0</v>
      </c>
      <c r="Y198" s="1483">
        <f t="shared" si="58"/>
        <v>0</v>
      </c>
      <c r="Z198" s="1486"/>
    </row>
    <row r="199" spans="1:26">
      <c r="A199" s="1414"/>
      <c r="B199" s="1415"/>
      <c r="C199" s="1405">
        <f t="shared" si="47"/>
        <v>1</v>
      </c>
      <c r="D199" s="1411"/>
      <c r="E199" s="1405">
        <f t="shared" si="48"/>
        <v>0</v>
      </c>
      <c r="F199" s="1411"/>
      <c r="G199" s="1405">
        <f t="shared" si="49"/>
        <v>1</v>
      </c>
      <c r="H199" s="1411"/>
      <c r="I199" s="1405">
        <f t="shared" si="50"/>
        <v>1</v>
      </c>
      <c r="J199" s="1411"/>
      <c r="K199" s="1405">
        <f t="shared" si="51"/>
        <v>1</v>
      </c>
      <c r="L199" s="1411"/>
      <c r="M199" s="1405">
        <f t="shared" si="52"/>
        <v>1</v>
      </c>
      <c r="N199" s="1411"/>
      <c r="O199" s="1405">
        <f t="shared" si="53"/>
        <v>1</v>
      </c>
      <c r="P199" s="1411"/>
      <c r="Q199" s="1405">
        <f t="shared" si="54"/>
        <v>0</v>
      </c>
      <c r="R199" s="1476">
        <f t="shared" si="59"/>
        <v>0</v>
      </c>
      <c r="S199" s="1358">
        <f t="shared" si="60"/>
        <v>0</v>
      </c>
      <c r="T199" s="1485">
        <f t="shared" si="61"/>
        <v>0</v>
      </c>
      <c r="U199" s="1483">
        <f t="shared" si="55"/>
        <v>0</v>
      </c>
      <c r="V199" s="1483">
        <f t="shared" si="56"/>
        <v>0</v>
      </c>
      <c r="W199" s="1486"/>
      <c r="X199" s="1483">
        <f t="shared" si="57"/>
        <v>0</v>
      </c>
      <c r="Y199" s="1483">
        <f t="shared" si="58"/>
        <v>0</v>
      </c>
      <c r="Z199" s="1486"/>
    </row>
    <row r="200" spans="1:26">
      <c r="A200" s="1414"/>
      <c r="B200" s="1415"/>
      <c r="C200" s="1405">
        <f t="shared" si="47"/>
        <v>1</v>
      </c>
      <c r="D200" s="1411"/>
      <c r="E200" s="1405">
        <f t="shared" si="48"/>
        <v>0</v>
      </c>
      <c r="F200" s="1411"/>
      <c r="G200" s="1405">
        <f t="shared" si="49"/>
        <v>1</v>
      </c>
      <c r="H200" s="1411"/>
      <c r="I200" s="1405">
        <f t="shared" si="50"/>
        <v>1</v>
      </c>
      <c r="J200" s="1411"/>
      <c r="K200" s="1405">
        <f t="shared" si="51"/>
        <v>1</v>
      </c>
      <c r="L200" s="1411"/>
      <c r="M200" s="1405">
        <f t="shared" si="52"/>
        <v>1</v>
      </c>
      <c r="N200" s="1411"/>
      <c r="O200" s="1405">
        <f t="shared" si="53"/>
        <v>1</v>
      </c>
      <c r="P200" s="1411"/>
      <c r="Q200" s="1405">
        <f t="shared" si="54"/>
        <v>0</v>
      </c>
      <c r="R200" s="1476">
        <f t="shared" si="59"/>
        <v>0</v>
      </c>
      <c r="S200" s="1358">
        <f t="shared" si="60"/>
        <v>0</v>
      </c>
      <c r="T200" s="1485">
        <f t="shared" si="61"/>
        <v>0</v>
      </c>
      <c r="U200" s="1483">
        <f t="shared" si="55"/>
        <v>0</v>
      </c>
      <c r="V200" s="1483">
        <f t="shared" si="56"/>
        <v>0</v>
      </c>
      <c r="W200" s="1486"/>
      <c r="X200" s="1483">
        <f t="shared" si="57"/>
        <v>0</v>
      </c>
      <c r="Y200" s="1483">
        <f t="shared" si="58"/>
        <v>0</v>
      </c>
      <c r="Z200" s="1486"/>
    </row>
    <row r="201" spans="1:26">
      <c r="A201" s="1414"/>
      <c r="B201" s="1415"/>
      <c r="C201" s="1405">
        <f t="shared" si="47"/>
        <v>1</v>
      </c>
      <c r="D201" s="1411"/>
      <c r="E201" s="1405">
        <f t="shared" si="48"/>
        <v>0</v>
      </c>
      <c r="F201" s="1411"/>
      <c r="G201" s="1405">
        <f t="shared" si="49"/>
        <v>1</v>
      </c>
      <c r="H201" s="1411"/>
      <c r="I201" s="1405">
        <f t="shared" si="50"/>
        <v>1</v>
      </c>
      <c r="J201" s="1411"/>
      <c r="K201" s="1405">
        <f t="shared" si="51"/>
        <v>1</v>
      </c>
      <c r="L201" s="1411"/>
      <c r="M201" s="1405">
        <f t="shared" si="52"/>
        <v>1</v>
      </c>
      <c r="N201" s="1411"/>
      <c r="O201" s="1405">
        <f t="shared" si="53"/>
        <v>1</v>
      </c>
      <c r="P201" s="1411"/>
      <c r="Q201" s="1405">
        <f t="shared" si="54"/>
        <v>0</v>
      </c>
      <c r="R201" s="1476">
        <f t="shared" si="59"/>
        <v>0</v>
      </c>
      <c r="S201" s="1358">
        <f t="shared" si="60"/>
        <v>0</v>
      </c>
      <c r="T201" s="1485">
        <f t="shared" si="61"/>
        <v>0</v>
      </c>
      <c r="U201" s="1483">
        <f t="shared" si="55"/>
        <v>0</v>
      </c>
      <c r="V201" s="1483">
        <f t="shared" si="56"/>
        <v>0</v>
      </c>
      <c r="W201" s="1486"/>
      <c r="X201" s="1483">
        <f t="shared" si="57"/>
        <v>0</v>
      </c>
      <c r="Y201" s="1483">
        <f t="shared" si="58"/>
        <v>0</v>
      </c>
      <c r="Z201" s="1486"/>
    </row>
    <row r="202" spans="1:26">
      <c r="A202" s="1414"/>
      <c r="B202" s="1415"/>
      <c r="C202" s="1405">
        <f t="shared" si="47"/>
        <v>1</v>
      </c>
      <c r="D202" s="1411"/>
      <c r="E202" s="1405">
        <f t="shared" si="48"/>
        <v>0</v>
      </c>
      <c r="F202" s="1411"/>
      <c r="G202" s="1405">
        <f t="shared" si="49"/>
        <v>1</v>
      </c>
      <c r="H202" s="1411"/>
      <c r="I202" s="1405">
        <f t="shared" si="50"/>
        <v>1</v>
      </c>
      <c r="J202" s="1411"/>
      <c r="K202" s="1405">
        <f t="shared" si="51"/>
        <v>1</v>
      </c>
      <c r="L202" s="1411"/>
      <c r="M202" s="1405">
        <f t="shared" si="52"/>
        <v>1</v>
      </c>
      <c r="N202" s="1411"/>
      <c r="O202" s="1405">
        <f t="shared" si="53"/>
        <v>1</v>
      </c>
      <c r="P202" s="1411"/>
      <c r="Q202" s="1405">
        <f t="shared" si="54"/>
        <v>0</v>
      </c>
      <c r="R202" s="1476">
        <f t="shared" si="59"/>
        <v>0</v>
      </c>
      <c r="S202" s="1358">
        <f t="shared" si="60"/>
        <v>0</v>
      </c>
      <c r="T202" s="1485">
        <f t="shared" si="61"/>
        <v>0</v>
      </c>
      <c r="U202" s="1483">
        <f t="shared" si="55"/>
        <v>0</v>
      </c>
      <c r="V202" s="1483">
        <f t="shared" si="56"/>
        <v>0</v>
      </c>
      <c r="W202" s="1486"/>
      <c r="X202" s="1483">
        <f t="shared" si="57"/>
        <v>0</v>
      </c>
      <c r="Y202" s="1483">
        <f t="shared" si="58"/>
        <v>0</v>
      </c>
      <c r="Z202" s="1486"/>
    </row>
    <row r="203" spans="1:26">
      <c r="A203" s="1414"/>
      <c r="B203" s="1415"/>
      <c r="C203" s="1405">
        <f t="shared" si="47"/>
        <v>1</v>
      </c>
      <c r="D203" s="1411"/>
      <c r="E203" s="1405">
        <f t="shared" si="48"/>
        <v>0</v>
      </c>
      <c r="F203" s="1411"/>
      <c r="G203" s="1405">
        <f t="shared" si="49"/>
        <v>1</v>
      </c>
      <c r="H203" s="1411"/>
      <c r="I203" s="1405">
        <f t="shared" si="50"/>
        <v>1</v>
      </c>
      <c r="J203" s="1411"/>
      <c r="K203" s="1405">
        <f t="shared" si="51"/>
        <v>1</v>
      </c>
      <c r="L203" s="1411"/>
      <c r="M203" s="1405">
        <f t="shared" si="52"/>
        <v>1</v>
      </c>
      <c r="N203" s="1411"/>
      <c r="O203" s="1405">
        <f t="shared" si="53"/>
        <v>1</v>
      </c>
      <c r="P203" s="1411"/>
      <c r="Q203" s="1405">
        <f t="shared" si="54"/>
        <v>0</v>
      </c>
      <c r="R203" s="1476">
        <f t="shared" si="59"/>
        <v>0</v>
      </c>
      <c r="S203" s="1358">
        <f t="shared" si="60"/>
        <v>0</v>
      </c>
      <c r="T203" s="1485">
        <f t="shared" si="61"/>
        <v>0</v>
      </c>
      <c r="U203" s="1483">
        <f t="shared" si="55"/>
        <v>0</v>
      </c>
      <c r="V203" s="1483">
        <f t="shared" si="56"/>
        <v>0</v>
      </c>
      <c r="W203" s="1486"/>
      <c r="X203" s="1483">
        <f t="shared" si="57"/>
        <v>0</v>
      </c>
      <c r="Y203" s="1483">
        <f t="shared" si="58"/>
        <v>0</v>
      </c>
      <c r="Z203" s="1486"/>
    </row>
    <row r="204" spans="1:26">
      <c r="A204" s="1414"/>
      <c r="B204" s="1415"/>
      <c r="C204" s="1405">
        <f t="shared" si="47"/>
        <v>1</v>
      </c>
      <c r="D204" s="1411"/>
      <c r="E204" s="1405">
        <f t="shared" si="48"/>
        <v>0</v>
      </c>
      <c r="F204" s="1411"/>
      <c r="G204" s="1405">
        <f t="shared" si="49"/>
        <v>1</v>
      </c>
      <c r="H204" s="1411"/>
      <c r="I204" s="1405">
        <f t="shared" si="50"/>
        <v>1</v>
      </c>
      <c r="J204" s="1411"/>
      <c r="K204" s="1405">
        <f t="shared" si="51"/>
        <v>1</v>
      </c>
      <c r="L204" s="1411"/>
      <c r="M204" s="1405">
        <f t="shared" si="52"/>
        <v>1</v>
      </c>
      <c r="N204" s="1411"/>
      <c r="O204" s="1405">
        <f t="shared" si="53"/>
        <v>1</v>
      </c>
      <c r="P204" s="1411"/>
      <c r="Q204" s="1405">
        <f t="shared" si="54"/>
        <v>0</v>
      </c>
      <c r="R204" s="1476">
        <f t="shared" si="59"/>
        <v>0</v>
      </c>
      <c r="S204" s="1358">
        <f t="shared" si="60"/>
        <v>0</v>
      </c>
      <c r="T204" s="1485">
        <f t="shared" si="61"/>
        <v>0</v>
      </c>
      <c r="U204" s="1483">
        <f t="shared" si="55"/>
        <v>0</v>
      </c>
      <c r="V204" s="1483">
        <f t="shared" si="56"/>
        <v>0</v>
      </c>
      <c r="W204" s="1486"/>
      <c r="X204" s="1483">
        <f t="shared" si="57"/>
        <v>0</v>
      </c>
      <c r="Y204" s="1483">
        <f t="shared" si="58"/>
        <v>0</v>
      </c>
      <c r="Z204" s="1486"/>
    </row>
    <row r="205" spans="1:26">
      <c r="A205" s="1414"/>
      <c r="B205" s="1415"/>
      <c r="C205" s="1405">
        <f t="shared" si="47"/>
        <v>1</v>
      </c>
      <c r="D205" s="1411"/>
      <c r="E205" s="1405">
        <f t="shared" si="48"/>
        <v>0</v>
      </c>
      <c r="F205" s="1411"/>
      <c r="G205" s="1405">
        <f t="shared" si="49"/>
        <v>1</v>
      </c>
      <c r="H205" s="1411"/>
      <c r="I205" s="1405">
        <f t="shared" si="50"/>
        <v>1</v>
      </c>
      <c r="J205" s="1411"/>
      <c r="K205" s="1405">
        <f t="shared" si="51"/>
        <v>1</v>
      </c>
      <c r="L205" s="1411"/>
      <c r="M205" s="1405">
        <f t="shared" si="52"/>
        <v>1</v>
      </c>
      <c r="N205" s="1411"/>
      <c r="O205" s="1405">
        <f t="shared" si="53"/>
        <v>1</v>
      </c>
      <c r="P205" s="1411"/>
      <c r="Q205" s="1405">
        <f t="shared" si="54"/>
        <v>0</v>
      </c>
      <c r="R205" s="1476">
        <f t="shared" si="59"/>
        <v>0</v>
      </c>
      <c r="S205" s="1358">
        <f t="shared" si="60"/>
        <v>0</v>
      </c>
      <c r="T205" s="1485">
        <f t="shared" si="61"/>
        <v>0</v>
      </c>
      <c r="U205" s="1483">
        <f t="shared" si="55"/>
        <v>0</v>
      </c>
      <c r="V205" s="1483">
        <f t="shared" si="56"/>
        <v>0</v>
      </c>
      <c r="W205" s="1486"/>
      <c r="X205" s="1483">
        <f t="shared" si="57"/>
        <v>0</v>
      </c>
      <c r="Y205" s="1483">
        <f t="shared" si="58"/>
        <v>0</v>
      </c>
      <c r="Z205" s="1486"/>
    </row>
    <row r="206" spans="1:26">
      <c r="A206" s="1414"/>
      <c r="B206" s="1415"/>
      <c r="C206" s="1405">
        <f t="shared" si="47"/>
        <v>1</v>
      </c>
      <c r="D206" s="1411"/>
      <c r="E206" s="1405">
        <f t="shared" si="48"/>
        <v>0</v>
      </c>
      <c r="F206" s="1411"/>
      <c r="G206" s="1405">
        <f t="shared" si="49"/>
        <v>1</v>
      </c>
      <c r="H206" s="1411"/>
      <c r="I206" s="1405">
        <f t="shared" si="50"/>
        <v>1</v>
      </c>
      <c r="J206" s="1411"/>
      <c r="K206" s="1405">
        <f t="shared" si="51"/>
        <v>1</v>
      </c>
      <c r="L206" s="1411"/>
      <c r="M206" s="1405">
        <f t="shared" si="52"/>
        <v>1</v>
      </c>
      <c r="N206" s="1411"/>
      <c r="O206" s="1405">
        <f t="shared" si="53"/>
        <v>1</v>
      </c>
      <c r="P206" s="1411"/>
      <c r="Q206" s="1405">
        <f t="shared" si="54"/>
        <v>0</v>
      </c>
      <c r="R206" s="1476">
        <f t="shared" si="59"/>
        <v>0</v>
      </c>
      <c r="S206" s="1358">
        <f t="shared" si="60"/>
        <v>0</v>
      </c>
      <c r="T206" s="1485">
        <f t="shared" si="61"/>
        <v>0</v>
      </c>
      <c r="U206" s="1483">
        <f t="shared" si="55"/>
        <v>0</v>
      </c>
      <c r="V206" s="1483">
        <f t="shared" si="56"/>
        <v>0</v>
      </c>
      <c r="W206" s="1486"/>
      <c r="X206" s="1483">
        <f t="shared" si="57"/>
        <v>0</v>
      </c>
      <c r="Y206" s="1483">
        <f t="shared" si="58"/>
        <v>0</v>
      </c>
      <c r="Z206" s="1486"/>
    </row>
    <row r="207" spans="1:26">
      <c r="A207" s="1414"/>
      <c r="B207" s="1415"/>
      <c r="C207" s="1405">
        <f t="shared" si="47"/>
        <v>1</v>
      </c>
      <c r="D207" s="1411"/>
      <c r="E207" s="1405">
        <f t="shared" si="48"/>
        <v>0</v>
      </c>
      <c r="F207" s="1411"/>
      <c r="G207" s="1405">
        <f t="shared" si="49"/>
        <v>1</v>
      </c>
      <c r="H207" s="1411"/>
      <c r="I207" s="1405">
        <f t="shared" si="50"/>
        <v>1</v>
      </c>
      <c r="J207" s="1411"/>
      <c r="K207" s="1405">
        <f t="shared" si="51"/>
        <v>1</v>
      </c>
      <c r="L207" s="1411"/>
      <c r="M207" s="1405">
        <f t="shared" si="52"/>
        <v>1</v>
      </c>
      <c r="N207" s="1411"/>
      <c r="O207" s="1405">
        <f t="shared" si="53"/>
        <v>1</v>
      </c>
      <c r="P207" s="1411"/>
      <c r="Q207" s="1405">
        <f t="shared" si="54"/>
        <v>0</v>
      </c>
      <c r="R207" s="1476">
        <f t="shared" si="59"/>
        <v>0</v>
      </c>
      <c r="S207" s="1358">
        <f t="shared" si="60"/>
        <v>0</v>
      </c>
      <c r="T207" s="1485">
        <f t="shared" si="61"/>
        <v>0</v>
      </c>
      <c r="U207" s="1483">
        <f t="shared" si="55"/>
        <v>0</v>
      </c>
      <c r="V207" s="1483">
        <f t="shared" si="56"/>
        <v>0</v>
      </c>
      <c r="W207" s="1486"/>
      <c r="X207" s="1483">
        <f t="shared" si="57"/>
        <v>0</v>
      </c>
      <c r="Y207" s="1483">
        <f t="shared" si="58"/>
        <v>0</v>
      </c>
      <c r="Z207" s="1486"/>
    </row>
    <row r="208" spans="1:26">
      <c r="A208" s="1414"/>
      <c r="B208" s="1415"/>
      <c r="C208" s="1405">
        <f t="shared" si="47"/>
        <v>1</v>
      </c>
      <c r="D208" s="1411"/>
      <c r="E208" s="1405">
        <f t="shared" si="48"/>
        <v>0</v>
      </c>
      <c r="F208" s="1411"/>
      <c r="G208" s="1405">
        <f t="shared" si="49"/>
        <v>1</v>
      </c>
      <c r="H208" s="1411"/>
      <c r="I208" s="1405">
        <f t="shared" si="50"/>
        <v>1</v>
      </c>
      <c r="J208" s="1411"/>
      <c r="K208" s="1405">
        <f t="shared" si="51"/>
        <v>1</v>
      </c>
      <c r="L208" s="1411"/>
      <c r="M208" s="1405">
        <f t="shared" si="52"/>
        <v>1</v>
      </c>
      <c r="N208" s="1411"/>
      <c r="O208" s="1405">
        <f t="shared" si="53"/>
        <v>1</v>
      </c>
      <c r="P208" s="1411"/>
      <c r="Q208" s="1405">
        <f t="shared" si="54"/>
        <v>0</v>
      </c>
      <c r="R208" s="1476">
        <f t="shared" si="59"/>
        <v>0</v>
      </c>
      <c r="S208" s="1358">
        <f t="shared" si="60"/>
        <v>0</v>
      </c>
      <c r="T208" s="1485">
        <f t="shared" si="61"/>
        <v>0</v>
      </c>
      <c r="U208" s="1483">
        <f t="shared" si="55"/>
        <v>0</v>
      </c>
      <c r="V208" s="1483">
        <f t="shared" si="56"/>
        <v>0</v>
      </c>
      <c r="W208" s="1486"/>
      <c r="X208" s="1483">
        <f t="shared" si="57"/>
        <v>0</v>
      </c>
      <c r="Y208" s="1483">
        <f t="shared" si="58"/>
        <v>0</v>
      </c>
      <c r="Z208" s="1486"/>
    </row>
    <row r="209" spans="1:26">
      <c r="A209" s="1414"/>
      <c r="B209" s="1415"/>
      <c r="C209" s="1405">
        <f t="shared" si="47"/>
        <v>1</v>
      </c>
      <c r="D209" s="1411"/>
      <c r="E209" s="1405">
        <f t="shared" si="48"/>
        <v>0</v>
      </c>
      <c r="F209" s="1411"/>
      <c r="G209" s="1405">
        <f t="shared" si="49"/>
        <v>1</v>
      </c>
      <c r="H209" s="1411"/>
      <c r="I209" s="1405">
        <f t="shared" si="50"/>
        <v>1</v>
      </c>
      <c r="J209" s="1411"/>
      <c r="K209" s="1405">
        <f t="shared" si="51"/>
        <v>1</v>
      </c>
      <c r="L209" s="1411"/>
      <c r="M209" s="1405">
        <f t="shared" si="52"/>
        <v>1</v>
      </c>
      <c r="N209" s="1411"/>
      <c r="O209" s="1405">
        <f t="shared" si="53"/>
        <v>1</v>
      </c>
      <c r="P209" s="1411"/>
      <c r="Q209" s="1405">
        <f t="shared" si="54"/>
        <v>0</v>
      </c>
      <c r="R209" s="1476">
        <f t="shared" si="59"/>
        <v>0</v>
      </c>
      <c r="S209" s="1358">
        <f t="shared" si="60"/>
        <v>0</v>
      </c>
      <c r="T209" s="1485">
        <f t="shared" si="61"/>
        <v>0</v>
      </c>
      <c r="U209" s="1483">
        <f t="shared" si="55"/>
        <v>0</v>
      </c>
      <c r="V209" s="1483">
        <f t="shared" si="56"/>
        <v>0</v>
      </c>
      <c r="W209" s="1486"/>
      <c r="X209" s="1483">
        <f t="shared" si="57"/>
        <v>0</v>
      </c>
      <c r="Y209" s="1483">
        <f t="shared" si="58"/>
        <v>0</v>
      </c>
      <c r="Z209" s="1486"/>
    </row>
    <row r="210" spans="1:26">
      <c r="A210" s="1414"/>
      <c r="B210" s="1415"/>
      <c r="C210" s="1405">
        <f t="shared" si="47"/>
        <v>1</v>
      </c>
      <c r="D210" s="1411"/>
      <c r="E210" s="1405">
        <f t="shared" si="48"/>
        <v>0</v>
      </c>
      <c r="F210" s="1411"/>
      <c r="G210" s="1405">
        <f t="shared" si="49"/>
        <v>1</v>
      </c>
      <c r="H210" s="1411"/>
      <c r="I210" s="1405">
        <f t="shared" si="50"/>
        <v>1</v>
      </c>
      <c r="J210" s="1411"/>
      <c r="K210" s="1405">
        <f t="shared" si="51"/>
        <v>1</v>
      </c>
      <c r="L210" s="1411"/>
      <c r="M210" s="1405">
        <f t="shared" si="52"/>
        <v>1</v>
      </c>
      <c r="N210" s="1411"/>
      <c r="O210" s="1405">
        <f t="shared" si="53"/>
        <v>1</v>
      </c>
      <c r="P210" s="1411"/>
      <c r="Q210" s="1405">
        <f t="shared" si="54"/>
        <v>0</v>
      </c>
      <c r="R210" s="1476">
        <f t="shared" si="59"/>
        <v>0</v>
      </c>
      <c r="S210" s="1358">
        <f t="shared" si="60"/>
        <v>0</v>
      </c>
      <c r="T210" s="1485">
        <f t="shared" si="61"/>
        <v>0</v>
      </c>
      <c r="U210" s="1483">
        <f t="shared" si="55"/>
        <v>0</v>
      </c>
      <c r="V210" s="1483">
        <f t="shared" si="56"/>
        <v>0</v>
      </c>
      <c r="W210" s="1486"/>
      <c r="X210" s="1483">
        <f t="shared" si="57"/>
        <v>0</v>
      </c>
      <c r="Y210" s="1483">
        <f t="shared" si="58"/>
        <v>0</v>
      </c>
      <c r="Z210" s="1486"/>
    </row>
    <row r="211" spans="1:26">
      <c r="A211" s="1414"/>
      <c r="B211" s="1415"/>
      <c r="C211" s="1405">
        <f t="shared" si="47"/>
        <v>1</v>
      </c>
      <c r="D211" s="1411"/>
      <c r="E211" s="1405">
        <f t="shared" si="48"/>
        <v>0</v>
      </c>
      <c r="F211" s="1411"/>
      <c r="G211" s="1405">
        <f t="shared" si="49"/>
        <v>1</v>
      </c>
      <c r="H211" s="1411"/>
      <c r="I211" s="1405">
        <f t="shared" si="50"/>
        <v>1</v>
      </c>
      <c r="J211" s="1411"/>
      <c r="K211" s="1405">
        <f t="shared" si="51"/>
        <v>1</v>
      </c>
      <c r="L211" s="1411"/>
      <c r="M211" s="1405">
        <f t="shared" si="52"/>
        <v>1</v>
      </c>
      <c r="N211" s="1411"/>
      <c r="O211" s="1405">
        <f t="shared" si="53"/>
        <v>1</v>
      </c>
      <c r="P211" s="1411"/>
      <c r="Q211" s="1405">
        <f t="shared" si="54"/>
        <v>0</v>
      </c>
      <c r="R211" s="1476">
        <f t="shared" si="59"/>
        <v>0</v>
      </c>
      <c r="S211" s="1358">
        <f t="shared" si="60"/>
        <v>0</v>
      </c>
      <c r="T211" s="1485">
        <f t="shared" si="61"/>
        <v>0</v>
      </c>
      <c r="U211" s="1483">
        <f t="shared" si="55"/>
        <v>0</v>
      </c>
      <c r="V211" s="1483">
        <f t="shared" si="56"/>
        <v>0</v>
      </c>
      <c r="W211" s="1486"/>
      <c r="X211" s="1483">
        <f t="shared" si="57"/>
        <v>0</v>
      </c>
      <c r="Y211" s="1483">
        <f t="shared" si="58"/>
        <v>0</v>
      </c>
      <c r="Z211" s="1486"/>
    </row>
    <row r="212" spans="1:26">
      <c r="A212" s="1414"/>
      <c r="B212" s="1415"/>
      <c r="C212" s="1405">
        <f t="shared" si="47"/>
        <v>1</v>
      </c>
      <c r="D212" s="1411"/>
      <c r="E212" s="1405">
        <f t="shared" si="48"/>
        <v>0</v>
      </c>
      <c r="F212" s="1411"/>
      <c r="G212" s="1405">
        <f t="shared" si="49"/>
        <v>1</v>
      </c>
      <c r="H212" s="1411"/>
      <c r="I212" s="1405">
        <f t="shared" si="50"/>
        <v>1</v>
      </c>
      <c r="J212" s="1411"/>
      <c r="K212" s="1405">
        <f t="shared" si="51"/>
        <v>1</v>
      </c>
      <c r="L212" s="1411"/>
      <c r="M212" s="1405">
        <f t="shared" si="52"/>
        <v>1</v>
      </c>
      <c r="N212" s="1411"/>
      <c r="O212" s="1405">
        <f t="shared" si="53"/>
        <v>1</v>
      </c>
      <c r="P212" s="1411"/>
      <c r="Q212" s="1405">
        <f t="shared" si="54"/>
        <v>0</v>
      </c>
      <c r="R212" s="1476">
        <f t="shared" si="59"/>
        <v>0</v>
      </c>
      <c r="S212" s="1358">
        <f t="shared" si="60"/>
        <v>0</v>
      </c>
      <c r="T212" s="1485">
        <f t="shared" si="61"/>
        <v>0</v>
      </c>
      <c r="U212" s="1483">
        <f t="shared" si="55"/>
        <v>0</v>
      </c>
      <c r="V212" s="1483">
        <f t="shared" si="56"/>
        <v>0</v>
      </c>
      <c r="W212" s="1486"/>
      <c r="X212" s="1483">
        <f t="shared" si="57"/>
        <v>0</v>
      </c>
      <c r="Y212" s="1483">
        <f t="shared" si="58"/>
        <v>0</v>
      </c>
      <c r="Z212" s="1486"/>
    </row>
    <row r="213" spans="1:26">
      <c r="A213" s="1414"/>
      <c r="B213" s="1415"/>
      <c r="C213" s="1405">
        <f t="shared" si="47"/>
        <v>1</v>
      </c>
      <c r="D213" s="1411"/>
      <c r="E213" s="1405">
        <f t="shared" si="48"/>
        <v>0</v>
      </c>
      <c r="F213" s="1411"/>
      <c r="G213" s="1405">
        <f t="shared" si="49"/>
        <v>1</v>
      </c>
      <c r="H213" s="1411"/>
      <c r="I213" s="1405">
        <f t="shared" si="50"/>
        <v>1</v>
      </c>
      <c r="J213" s="1411"/>
      <c r="K213" s="1405">
        <f t="shared" si="51"/>
        <v>1</v>
      </c>
      <c r="L213" s="1411"/>
      <c r="M213" s="1405">
        <f t="shared" si="52"/>
        <v>1</v>
      </c>
      <c r="N213" s="1411"/>
      <c r="O213" s="1405">
        <f t="shared" si="53"/>
        <v>1</v>
      </c>
      <c r="P213" s="1411"/>
      <c r="Q213" s="1405">
        <f t="shared" si="54"/>
        <v>0</v>
      </c>
      <c r="R213" s="1476">
        <f t="shared" si="59"/>
        <v>0</v>
      </c>
      <c r="S213" s="1358">
        <f t="shared" si="60"/>
        <v>0</v>
      </c>
      <c r="T213" s="1485">
        <f t="shared" si="61"/>
        <v>0</v>
      </c>
      <c r="U213" s="1483">
        <f t="shared" si="55"/>
        <v>0</v>
      </c>
      <c r="V213" s="1483">
        <f t="shared" si="56"/>
        <v>0</v>
      </c>
      <c r="W213" s="1486"/>
      <c r="X213" s="1483">
        <f t="shared" si="57"/>
        <v>0</v>
      </c>
      <c r="Y213" s="1483">
        <f t="shared" si="58"/>
        <v>0</v>
      </c>
      <c r="Z213" s="1486"/>
    </row>
    <row r="214" spans="1:26">
      <c r="A214" s="1414"/>
      <c r="B214" s="1415"/>
      <c r="C214" s="1405">
        <f t="shared" si="47"/>
        <v>1</v>
      </c>
      <c r="D214" s="1411"/>
      <c r="E214" s="1405">
        <f t="shared" si="48"/>
        <v>0</v>
      </c>
      <c r="F214" s="1411"/>
      <c r="G214" s="1405">
        <f t="shared" si="49"/>
        <v>1</v>
      </c>
      <c r="H214" s="1411"/>
      <c r="I214" s="1405">
        <f t="shared" si="50"/>
        <v>1</v>
      </c>
      <c r="J214" s="1411"/>
      <c r="K214" s="1405">
        <f t="shared" si="51"/>
        <v>1</v>
      </c>
      <c r="L214" s="1411"/>
      <c r="M214" s="1405">
        <f t="shared" si="52"/>
        <v>1</v>
      </c>
      <c r="N214" s="1411"/>
      <c r="O214" s="1405">
        <f t="shared" si="53"/>
        <v>1</v>
      </c>
      <c r="P214" s="1411"/>
      <c r="Q214" s="1405">
        <f t="shared" si="54"/>
        <v>0</v>
      </c>
      <c r="R214" s="1476">
        <f t="shared" si="59"/>
        <v>0</v>
      </c>
      <c r="S214" s="1358">
        <f t="shared" si="60"/>
        <v>0</v>
      </c>
      <c r="T214" s="1485">
        <f t="shared" si="61"/>
        <v>0</v>
      </c>
      <c r="U214" s="1483">
        <f t="shared" si="55"/>
        <v>0</v>
      </c>
      <c r="V214" s="1483">
        <f t="shared" si="56"/>
        <v>0</v>
      </c>
      <c r="W214" s="1486"/>
      <c r="X214" s="1483">
        <f t="shared" si="57"/>
        <v>0</v>
      </c>
      <c r="Y214" s="1483">
        <f t="shared" si="58"/>
        <v>0</v>
      </c>
      <c r="Z214" s="1486"/>
    </row>
    <row r="215" spans="1:26">
      <c r="A215" s="1414"/>
      <c r="B215" s="1415"/>
      <c r="C215" s="1405">
        <f t="shared" si="47"/>
        <v>1</v>
      </c>
      <c r="D215" s="1411"/>
      <c r="E215" s="1405">
        <f t="shared" si="48"/>
        <v>0</v>
      </c>
      <c r="F215" s="1411"/>
      <c r="G215" s="1405">
        <f t="shared" si="49"/>
        <v>1</v>
      </c>
      <c r="H215" s="1411"/>
      <c r="I215" s="1405">
        <f t="shared" si="50"/>
        <v>1</v>
      </c>
      <c r="J215" s="1411"/>
      <c r="K215" s="1405">
        <f t="shared" si="51"/>
        <v>1</v>
      </c>
      <c r="L215" s="1411"/>
      <c r="M215" s="1405">
        <f t="shared" si="52"/>
        <v>1</v>
      </c>
      <c r="N215" s="1411"/>
      <c r="O215" s="1405">
        <f t="shared" si="53"/>
        <v>1</v>
      </c>
      <c r="P215" s="1411"/>
      <c r="Q215" s="1405">
        <f t="shared" si="54"/>
        <v>0</v>
      </c>
      <c r="R215" s="1476">
        <f t="shared" si="59"/>
        <v>0</v>
      </c>
      <c r="S215" s="1358">
        <f t="shared" si="60"/>
        <v>0</v>
      </c>
      <c r="T215" s="1485">
        <f t="shared" si="61"/>
        <v>0</v>
      </c>
      <c r="U215" s="1483">
        <f t="shared" si="55"/>
        <v>0</v>
      </c>
      <c r="V215" s="1483">
        <f t="shared" si="56"/>
        <v>0</v>
      </c>
      <c r="W215" s="1486"/>
      <c r="X215" s="1483">
        <f t="shared" si="57"/>
        <v>0</v>
      </c>
      <c r="Y215" s="1483">
        <f t="shared" si="58"/>
        <v>0</v>
      </c>
      <c r="Z215" s="1486"/>
    </row>
    <row r="216" spans="1:26">
      <c r="A216" s="1414"/>
      <c r="B216" s="1415"/>
      <c r="C216" s="1405">
        <f t="shared" si="47"/>
        <v>1</v>
      </c>
      <c r="D216" s="1411"/>
      <c r="E216" s="1405">
        <f t="shared" si="48"/>
        <v>0</v>
      </c>
      <c r="F216" s="1411"/>
      <c r="G216" s="1405">
        <f t="shared" si="49"/>
        <v>1</v>
      </c>
      <c r="H216" s="1411"/>
      <c r="I216" s="1405">
        <f t="shared" si="50"/>
        <v>1</v>
      </c>
      <c r="J216" s="1411"/>
      <c r="K216" s="1405">
        <f t="shared" si="51"/>
        <v>1</v>
      </c>
      <c r="L216" s="1411"/>
      <c r="M216" s="1405">
        <f t="shared" si="52"/>
        <v>1</v>
      </c>
      <c r="N216" s="1411"/>
      <c r="O216" s="1405">
        <f t="shared" si="53"/>
        <v>1</v>
      </c>
      <c r="P216" s="1411"/>
      <c r="Q216" s="1405">
        <f t="shared" si="54"/>
        <v>0</v>
      </c>
      <c r="R216" s="1476">
        <f t="shared" si="59"/>
        <v>0</v>
      </c>
      <c r="S216" s="1358">
        <f t="shared" si="60"/>
        <v>0</v>
      </c>
      <c r="T216" s="1485">
        <f t="shared" si="61"/>
        <v>0</v>
      </c>
      <c r="U216" s="1483">
        <f t="shared" si="55"/>
        <v>0</v>
      </c>
      <c r="V216" s="1483">
        <f t="shared" si="56"/>
        <v>0</v>
      </c>
      <c r="W216" s="1486"/>
      <c r="X216" s="1483">
        <f t="shared" si="57"/>
        <v>0</v>
      </c>
      <c r="Y216" s="1483">
        <f t="shared" si="58"/>
        <v>0</v>
      </c>
      <c r="Z216" s="1486"/>
    </row>
    <row r="217" spans="1:26">
      <c r="A217" s="1414"/>
      <c r="B217" s="1415"/>
      <c r="C217" s="1405">
        <f t="shared" si="47"/>
        <v>1</v>
      </c>
      <c r="D217" s="1411"/>
      <c r="E217" s="1405">
        <f t="shared" si="48"/>
        <v>0</v>
      </c>
      <c r="F217" s="1411"/>
      <c r="G217" s="1405">
        <f t="shared" si="49"/>
        <v>1</v>
      </c>
      <c r="H217" s="1411"/>
      <c r="I217" s="1405">
        <f t="shared" si="50"/>
        <v>1</v>
      </c>
      <c r="J217" s="1411"/>
      <c r="K217" s="1405">
        <f t="shared" si="51"/>
        <v>1</v>
      </c>
      <c r="L217" s="1411"/>
      <c r="M217" s="1405">
        <f t="shared" si="52"/>
        <v>1</v>
      </c>
      <c r="N217" s="1411"/>
      <c r="O217" s="1405">
        <f t="shared" si="53"/>
        <v>1</v>
      </c>
      <c r="P217" s="1411"/>
      <c r="Q217" s="1405">
        <f t="shared" si="54"/>
        <v>0</v>
      </c>
      <c r="R217" s="1476">
        <f t="shared" si="59"/>
        <v>0</v>
      </c>
      <c r="S217" s="1358">
        <f t="shared" si="60"/>
        <v>0</v>
      </c>
      <c r="T217" s="1485">
        <f t="shared" si="61"/>
        <v>0</v>
      </c>
      <c r="U217" s="1483">
        <f t="shared" si="55"/>
        <v>0</v>
      </c>
      <c r="V217" s="1483">
        <f t="shared" si="56"/>
        <v>0</v>
      </c>
      <c r="W217" s="1486"/>
      <c r="X217" s="1483">
        <f t="shared" si="57"/>
        <v>0</v>
      </c>
      <c r="Y217" s="1483">
        <f t="shared" si="58"/>
        <v>0</v>
      </c>
      <c r="Z217" s="1486"/>
    </row>
    <row r="218" spans="1:26">
      <c r="A218" s="1414"/>
      <c r="B218" s="1415"/>
      <c r="C218" s="1405">
        <f t="shared" si="47"/>
        <v>1</v>
      </c>
      <c r="D218" s="1411"/>
      <c r="E218" s="1405">
        <f t="shared" si="48"/>
        <v>0</v>
      </c>
      <c r="F218" s="1411"/>
      <c r="G218" s="1405">
        <f t="shared" si="49"/>
        <v>1</v>
      </c>
      <c r="H218" s="1411"/>
      <c r="I218" s="1405">
        <f t="shared" si="50"/>
        <v>1</v>
      </c>
      <c r="J218" s="1411"/>
      <c r="K218" s="1405">
        <f t="shared" si="51"/>
        <v>1</v>
      </c>
      <c r="L218" s="1411"/>
      <c r="M218" s="1405">
        <f t="shared" si="52"/>
        <v>1</v>
      </c>
      <c r="N218" s="1411"/>
      <c r="O218" s="1405">
        <f t="shared" si="53"/>
        <v>1</v>
      </c>
      <c r="P218" s="1411"/>
      <c r="Q218" s="1405">
        <f t="shared" si="54"/>
        <v>0</v>
      </c>
      <c r="R218" s="1476">
        <f t="shared" si="59"/>
        <v>0</v>
      </c>
      <c r="S218" s="1358">
        <f t="shared" si="60"/>
        <v>0</v>
      </c>
      <c r="T218" s="1485">
        <f t="shared" si="61"/>
        <v>0</v>
      </c>
      <c r="U218" s="1483">
        <f t="shared" si="55"/>
        <v>0</v>
      </c>
      <c r="V218" s="1483">
        <f t="shared" si="56"/>
        <v>0</v>
      </c>
      <c r="W218" s="1486"/>
      <c r="X218" s="1483">
        <f t="shared" si="57"/>
        <v>0</v>
      </c>
      <c r="Y218" s="1483">
        <f t="shared" si="58"/>
        <v>0</v>
      </c>
      <c r="Z218" s="1486"/>
    </row>
    <row r="219" spans="1:26">
      <c r="A219" s="1414"/>
      <c r="B219" s="1415"/>
      <c r="C219" s="1405">
        <f t="shared" si="47"/>
        <v>1</v>
      </c>
      <c r="D219" s="1411"/>
      <c r="E219" s="1405">
        <f t="shared" si="48"/>
        <v>0</v>
      </c>
      <c r="F219" s="1411"/>
      <c r="G219" s="1405">
        <f t="shared" si="49"/>
        <v>1</v>
      </c>
      <c r="H219" s="1411"/>
      <c r="I219" s="1405">
        <f t="shared" si="50"/>
        <v>1</v>
      </c>
      <c r="J219" s="1411"/>
      <c r="K219" s="1405">
        <f t="shared" si="51"/>
        <v>1</v>
      </c>
      <c r="L219" s="1411"/>
      <c r="M219" s="1405">
        <f t="shared" si="52"/>
        <v>1</v>
      </c>
      <c r="N219" s="1411"/>
      <c r="O219" s="1405">
        <f t="shared" si="53"/>
        <v>1</v>
      </c>
      <c r="P219" s="1411"/>
      <c r="Q219" s="1405">
        <f t="shared" si="54"/>
        <v>0</v>
      </c>
      <c r="R219" s="1476">
        <f t="shared" si="59"/>
        <v>0</v>
      </c>
      <c r="S219" s="1358">
        <f t="shared" si="60"/>
        <v>0</v>
      </c>
      <c r="T219" s="1485">
        <f t="shared" si="61"/>
        <v>0</v>
      </c>
      <c r="U219" s="1483">
        <f t="shared" si="55"/>
        <v>0</v>
      </c>
      <c r="V219" s="1483">
        <f t="shared" si="56"/>
        <v>0</v>
      </c>
      <c r="W219" s="1486"/>
      <c r="X219" s="1483">
        <f t="shared" si="57"/>
        <v>0</v>
      </c>
      <c r="Y219" s="1483">
        <f t="shared" si="58"/>
        <v>0</v>
      </c>
      <c r="Z219" s="1486"/>
    </row>
    <row r="220" spans="1:26">
      <c r="A220" s="1414"/>
      <c r="B220" s="1415"/>
      <c r="C220" s="1405">
        <f t="shared" ref="C220:C283" si="62">IF(B220="",1,(LOOKUP(B220,$6:$6,$7:$7)-LOOKUP($B$27,$6:$6,$7:$7)+100)/100)</f>
        <v>1</v>
      </c>
      <c r="D220" s="1411"/>
      <c r="E220" s="1405">
        <f t="shared" ref="E220:E283" si="63">(SUMIF($8:$8,D220,$9:$9)-SUMIF($8:$8,$D$27,$9:$9)+100)/100</f>
        <v>0</v>
      </c>
      <c r="F220" s="1411"/>
      <c r="G220" s="1405">
        <f t="shared" ref="G220:G283" si="64">(SUMIF($10:$10,F220,$11:$11)-SUMIF($10:$10,$F$27,$11:$11)+100)/100</f>
        <v>1</v>
      </c>
      <c r="H220" s="1411"/>
      <c r="I220" s="1405">
        <f t="shared" ref="I220:I283" si="65">(SUMIF($12:$12,H220,$13:$13)-SUMIF($12:$12,$H$27,$13:$13)+100)/100</f>
        <v>1</v>
      </c>
      <c r="J220" s="1411"/>
      <c r="K220" s="1405">
        <f t="shared" ref="K220:K283" si="66">(SUMIF($14:$14,J220,$15:$15)-SUMIF($14:$14,$J$27,$15:$15)+100)/100</f>
        <v>1</v>
      </c>
      <c r="L220" s="1411"/>
      <c r="M220" s="1405">
        <f t="shared" ref="M220:M283" si="67">(SUMIF($16:$16,L220,$17:$17)-SUMIF($16:$16,$L$27,$17:$17)+100)/100</f>
        <v>1</v>
      </c>
      <c r="N220" s="1411"/>
      <c r="O220" s="1405">
        <f t="shared" ref="O220:O283" si="68">(SUMIF($18:$18,N220,$19:$19)-SUMIF($18:$18,$N$27,$19:$19)+100)/100</f>
        <v>1</v>
      </c>
      <c r="P220" s="1411"/>
      <c r="Q220" s="1405">
        <f t="shared" ref="Q220:Q283" si="69">(SUMIF($20:$20,P220,$21:$21)-SUMIF($20:$20,$P$27,$21:$21)+100)/100</f>
        <v>0</v>
      </c>
      <c r="R220" s="1476">
        <f t="shared" si="59"/>
        <v>0</v>
      </c>
      <c r="S220" s="1358">
        <f t="shared" si="60"/>
        <v>0</v>
      </c>
      <c r="T220" s="1485">
        <f t="shared" si="61"/>
        <v>0</v>
      </c>
      <c r="U220" s="1483">
        <f t="shared" ref="U220:U283" si="70">ROUND(W220*B220,0)</f>
        <v>0</v>
      </c>
      <c r="V220" s="1483">
        <f t="shared" ref="V220:V283" si="71">ROUND(W220*B220/10000,0)</f>
        <v>0</v>
      </c>
      <c r="W220" s="1486"/>
      <c r="X220" s="1483">
        <f t="shared" ref="X220:X283" si="72">ROUND(Z220*B220,0)</f>
        <v>0</v>
      </c>
      <c r="Y220" s="1483">
        <f t="shared" ref="Y220:Y283" si="73">ROUND(Z220*B220/10000,0)</f>
        <v>0</v>
      </c>
      <c r="Z220" s="1486"/>
    </row>
    <row r="221" spans="1:26">
      <c r="A221" s="1414"/>
      <c r="B221" s="1415"/>
      <c r="C221" s="1405">
        <f t="shared" si="62"/>
        <v>1</v>
      </c>
      <c r="D221" s="1411"/>
      <c r="E221" s="1405">
        <f t="shared" si="63"/>
        <v>0</v>
      </c>
      <c r="F221" s="1411"/>
      <c r="G221" s="1405">
        <f t="shared" si="64"/>
        <v>1</v>
      </c>
      <c r="H221" s="1411"/>
      <c r="I221" s="1405">
        <f t="shared" si="65"/>
        <v>1</v>
      </c>
      <c r="J221" s="1411"/>
      <c r="K221" s="1405">
        <f t="shared" si="66"/>
        <v>1</v>
      </c>
      <c r="L221" s="1411"/>
      <c r="M221" s="1405">
        <f t="shared" si="67"/>
        <v>1</v>
      </c>
      <c r="N221" s="1411"/>
      <c r="O221" s="1405">
        <f t="shared" si="68"/>
        <v>1</v>
      </c>
      <c r="P221" s="1411"/>
      <c r="Q221" s="1405">
        <f t="shared" si="69"/>
        <v>0</v>
      </c>
      <c r="R221" s="1476">
        <f t="shared" ref="R221:R284" si="74">IF(B221="",0,ROUND($R$27*C221*E221*G221*I221*K221*M221*O221*Q221,0))</f>
        <v>0</v>
      </c>
      <c r="S221" s="1358">
        <f t="shared" ref="S221:S284" si="75">ROUND(R221*B221,0)</f>
        <v>0</v>
      </c>
      <c r="T221" s="1485">
        <f t="shared" ref="T221:T284" si="76">ROUND(R221*B221/10000,0)</f>
        <v>0</v>
      </c>
      <c r="U221" s="1483">
        <f t="shared" si="70"/>
        <v>0</v>
      </c>
      <c r="V221" s="1483">
        <f t="shared" si="71"/>
        <v>0</v>
      </c>
      <c r="W221" s="1486"/>
      <c r="X221" s="1483">
        <f t="shared" si="72"/>
        <v>0</v>
      </c>
      <c r="Y221" s="1483">
        <f t="shared" si="73"/>
        <v>0</v>
      </c>
      <c r="Z221" s="1486"/>
    </row>
    <row r="222" spans="1:26">
      <c r="A222" s="1414"/>
      <c r="B222" s="1415"/>
      <c r="C222" s="1405">
        <f t="shared" si="62"/>
        <v>1</v>
      </c>
      <c r="D222" s="1411"/>
      <c r="E222" s="1405">
        <f t="shared" si="63"/>
        <v>0</v>
      </c>
      <c r="F222" s="1411"/>
      <c r="G222" s="1405">
        <f t="shared" si="64"/>
        <v>1</v>
      </c>
      <c r="H222" s="1411"/>
      <c r="I222" s="1405">
        <f t="shared" si="65"/>
        <v>1</v>
      </c>
      <c r="J222" s="1411"/>
      <c r="K222" s="1405">
        <f t="shared" si="66"/>
        <v>1</v>
      </c>
      <c r="L222" s="1411"/>
      <c r="M222" s="1405">
        <f t="shared" si="67"/>
        <v>1</v>
      </c>
      <c r="N222" s="1411"/>
      <c r="O222" s="1405">
        <f t="shared" si="68"/>
        <v>1</v>
      </c>
      <c r="P222" s="1411"/>
      <c r="Q222" s="1405">
        <f t="shared" si="69"/>
        <v>0</v>
      </c>
      <c r="R222" s="1476">
        <f t="shared" si="74"/>
        <v>0</v>
      </c>
      <c r="S222" s="1358">
        <f t="shared" si="75"/>
        <v>0</v>
      </c>
      <c r="T222" s="1485">
        <f t="shared" si="76"/>
        <v>0</v>
      </c>
      <c r="U222" s="1483">
        <f t="shared" si="70"/>
        <v>0</v>
      </c>
      <c r="V222" s="1483">
        <f t="shared" si="71"/>
        <v>0</v>
      </c>
      <c r="W222" s="1486"/>
      <c r="X222" s="1483">
        <f t="shared" si="72"/>
        <v>0</v>
      </c>
      <c r="Y222" s="1483">
        <f t="shared" si="73"/>
        <v>0</v>
      </c>
      <c r="Z222" s="1486"/>
    </row>
    <row r="223" spans="1:26">
      <c r="A223" s="1414"/>
      <c r="B223" s="1415"/>
      <c r="C223" s="1405">
        <f t="shared" si="62"/>
        <v>1</v>
      </c>
      <c r="D223" s="1411"/>
      <c r="E223" s="1405">
        <f t="shared" si="63"/>
        <v>0</v>
      </c>
      <c r="F223" s="1411"/>
      <c r="G223" s="1405">
        <f t="shared" si="64"/>
        <v>1</v>
      </c>
      <c r="H223" s="1411"/>
      <c r="I223" s="1405">
        <f t="shared" si="65"/>
        <v>1</v>
      </c>
      <c r="J223" s="1411"/>
      <c r="K223" s="1405">
        <f t="shared" si="66"/>
        <v>1</v>
      </c>
      <c r="L223" s="1411"/>
      <c r="M223" s="1405">
        <f t="shared" si="67"/>
        <v>1</v>
      </c>
      <c r="N223" s="1411"/>
      <c r="O223" s="1405">
        <f t="shared" si="68"/>
        <v>1</v>
      </c>
      <c r="P223" s="1411"/>
      <c r="Q223" s="1405">
        <f t="shared" si="69"/>
        <v>0</v>
      </c>
      <c r="R223" s="1476">
        <f t="shared" si="74"/>
        <v>0</v>
      </c>
      <c r="S223" s="1358">
        <f t="shared" si="75"/>
        <v>0</v>
      </c>
      <c r="T223" s="1485">
        <f t="shared" si="76"/>
        <v>0</v>
      </c>
      <c r="U223" s="1483">
        <f t="shared" si="70"/>
        <v>0</v>
      </c>
      <c r="V223" s="1483">
        <f t="shared" si="71"/>
        <v>0</v>
      </c>
      <c r="W223" s="1486"/>
      <c r="X223" s="1483">
        <f t="shared" si="72"/>
        <v>0</v>
      </c>
      <c r="Y223" s="1483">
        <f t="shared" si="73"/>
        <v>0</v>
      </c>
      <c r="Z223" s="1486"/>
    </row>
    <row r="224" spans="1:26">
      <c r="A224" s="1414"/>
      <c r="B224" s="1415"/>
      <c r="C224" s="1405">
        <f t="shared" si="62"/>
        <v>1</v>
      </c>
      <c r="D224" s="1411"/>
      <c r="E224" s="1405">
        <f t="shared" si="63"/>
        <v>0</v>
      </c>
      <c r="F224" s="1411"/>
      <c r="G224" s="1405">
        <f t="shared" si="64"/>
        <v>1</v>
      </c>
      <c r="H224" s="1411"/>
      <c r="I224" s="1405">
        <f t="shared" si="65"/>
        <v>1</v>
      </c>
      <c r="J224" s="1411"/>
      <c r="K224" s="1405">
        <f t="shared" si="66"/>
        <v>1</v>
      </c>
      <c r="L224" s="1411"/>
      <c r="M224" s="1405">
        <f t="shared" si="67"/>
        <v>1</v>
      </c>
      <c r="N224" s="1411"/>
      <c r="O224" s="1405">
        <f t="shared" si="68"/>
        <v>1</v>
      </c>
      <c r="P224" s="1411"/>
      <c r="Q224" s="1405">
        <f t="shared" si="69"/>
        <v>0</v>
      </c>
      <c r="R224" s="1476">
        <f t="shared" si="74"/>
        <v>0</v>
      </c>
      <c r="S224" s="1358">
        <f t="shared" si="75"/>
        <v>0</v>
      </c>
      <c r="T224" s="1485">
        <f t="shared" si="76"/>
        <v>0</v>
      </c>
      <c r="U224" s="1483">
        <f t="shared" si="70"/>
        <v>0</v>
      </c>
      <c r="V224" s="1483">
        <f t="shared" si="71"/>
        <v>0</v>
      </c>
      <c r="W224" s="1486"/>
      <c r="X224" s="1483">
        <f t="shared" si="72"/>
        <v>0</v>
      </c>
      <c r="Y224" s="1483">
        <f t="shared" si="73"/>
        <v>0</v>
      </c>
      <c r="Z224" s="1486"/>
    </row>
    <row r="225" spans="1:26">
      <c r="A225" s="1414"/>
      <c r="B225" s="1415"/>
      <c r="C225" s="1405">
        <f t="shared" si="62"/>
        <v>1</v>
      </c>
      <c r="D225" s="1411"/>
      <c r="E225" s="1405">
        <f t="shared" si="63"/>
        <v>0</v>
      </c>
      <c r="F225" s="1411"/>
      <c r="G225" s="1405">
        <f t="shared" si="64"/>
        <v>1</v>
      </c>
      <c r="H225" s="1411"/>
      <c r="I225" s="1405">
        <f t="shared" si="65"/>
        <v>1</v>
      </c>
      <c r="J225" s="1411"/>
      <c r="K225" s="1405">
        <f t="shared" si="66"/>
        <v>1</v>
      </c>
      <c r="L225" s="1411"/>
      <c r="M225" s="1405">
        <f t="shared" si="67"/>
        <v>1</v>
      </c>
      <c r="N225" s="1411"/>
      <c r="O225" s="1405">
        <f t="shared" si="68"/>
        <v>1</v>
      </c>
      <c r="P225" s="1411"/>
      <c r="Q225" s="1405">
        <f t="shared" si="69"/>
        <v>0</v>
      </c>
      <c r="R225" s="1476">
        <f t="shared" si="74"/>
        <v>0</v>
      </c>
      <c r="S225" s="1358">
        <f t="shared" si="75"/>
        <v>0</v>
      </c>
      <c r="T225" s="1485">
        <f t="shared" si="76"/>
        <v>0</v>
      </c>
      <c r="U225" s="1483">
        <f t="shared" si="70"/>
        <v>0</v>
      </c>
      <c r="V225" s="1483">
        <f t="shared" si="71"/>
        <v>0</v>
      </c>
      <c r="W225" s="1486"/>
      <c r="X225" s="1483">
        <f t="shared" si="72"/>
        <v>0</v>
      </c>
      <c r="Y225" s="1483">
        <f t="shared" si="73"/>
        <v>0</v>
      </c>
      <c r="Z225" s="1486"/>
    </row>
    <row r="226" spans="1:26">
      <c r="A226" s="1414"/>
      <c r="B226" s="1415"/>
      <c r="C226" s="1405">
        <f t="shared" si="62"/>
        <v>1</v>
      </c>
      <c r="D226" s="1411"/>
      <c r="E226" s="1405">
        <f t="shared" si="63"/>
        <v>0</v>
      </c>
      <c r="F226" s="1411"/>
      <c r="G226" s="1405">
        <f t="shared" si="64"/>
        <v>1</v>
      </c>
      <c r="H226" s="1411"/>
      <c r="I226" s="1405">
        <f t="shared" si="65"/>
        <v>1</v>
      </c>
      <c r="J226" s="1411"/>
      <c r="K226" s="1405">
        <f t="shared" si="66"/>
        <v>1</v>
      </c>
      <c r="L226" s="1411"/>
      <c r="M226" s="1405">
        <f t="shared" si="67"/>
        <v>1</v>
      </c>
      <c r="N226" s="1411"/>
      <c r="O226" s="1405">
        <f t="shared" si="68"/>
        <v>1</v>
      </c>
      <c r="P226" s="1411"/>
      <c r="Q226" s="1405">
        <f t="shared" si="69"/>
        <v>0</v>
      </c>
      <c r="R226" s="1476">
        <f t="shared" si="74"/>
        <v>0</v>
      </c>
      <c r="S226" s="1358">
        <f t="shared" si="75"/>
        <v>0</v>
      </c>
      <c r="T226" s="1485">
        <f t="shared" si="76"/>
        <v>0</v>
      </c>
      <c r="U226" s="1483">
        <f t="shared" si="70"/>
        <v>0</v>
      </c>
      <c r="V226" s="1483">
        <f t="shared" si="71"/>
        <v>0</v>
      </c>
      <c r="W226" s="1486"/>
      <c r="X226" s="1483">
        <f t="shared" si="72"/>
        <v>0</v>
      </c>
      <c r="Y226" s="1483">
        <f t="shared" si="73"/>
        <v>0</v>
      </c>
      <c r="Z226" s="1486"/>
    </row>
    <row r="227" spans="1:26">
      <c r="A227" s="1414"/>
      <c r="B227" s="1415"/>
      <c r="C227" s="1405">
        <f t="shared" si="62"/>
        <v>1</v>
      </c>
      <c r="D227" s="1411"/>
      <c r="E227" s="1405">
        <f t="shared" si="63"/>
        <v>0</v>
      </c>
      <c r="F227" s="1411"/>
      <c r="G227" s="1405">
        <f t="shared" si="64"/>
        <v>1</v>
      </c>
      <c r="H227" s="1411"/>
      <c r="I227" s="1405">
        <f t="shared" si="65"/>
        <v>1</v>
      </c>
      <c r="J227" s="1411"/>
      <c r="K227" s="1405">
        <f t="shared" si="66"/>
        <v>1</v>
      </c>
      <c r="L227" s="1411"/>
      <c r="M227" s="1405">
        <f t="shared" si="67"/>
        <v>1</v>
      </c>
      <c r="N227" s="1411"/>
      <c r="O227" s="1405">
        <f t="shared" si="68"/>
        <v>1</v>
      </c>
      <c r="P227" s="1411"/>
      <c r="Q227" s="1405">
        <f t="shared" si="69"/>
        <v>0</v>
      </c>
      <c r="R227" s="1476">
        <f t="shared" si="74"/>
        <v>0</v>
      </c>
      <c r="S227" s="1358">
        <f t="shared" si="75"/>
        <v>0</v>
      </c>
      <c r="T227" s="1485">
        <f t="shared" si="76"/>
        <v>0</v>
      </c>
      <c r="U227" s="1483">
        <f t="shared" si="70"/>
        <v>0</v>
      </c>
      <c r="V227" s="1483">
        <f t="shared" si="71"/>
        <v>0</v>
      </c>
      <c r="W227" s="1486"/>
      <c r="X227" s="1483">
        <f t="shared" si="72"/>
        <v>0</v>
      </c>
      <c r="Y227" s="1483">
        <f t="shared" si="73"/>
        <v>0</v>
      </c>
      <c r="Z227" s="1486"/>
    </row>
    <row r="228" spans="1:26">
      <c r="A228" s="1414"/>
      <c r="B228" s="1415"/>
      <c r="C228" s="1405">
        <f t="shared" si="62"/>
        <v>1</v>
      </c>
      <c r="D228" s="1411"/>
      <c r="E228" s="1405">
        <f t="shared" si="63"/>
        <v>0</v>
      </c>
      <c r="F228" s="1411"/>
      <c r="G228" s="1405">
        <f t="shared" si="64"/>
        <v>1</v>
      </c>
      <c r="H228" s="1411"/>
      <c r="I228" s="1405">
        <f t="shared" si="65"/>
        <v>1</v>
      </c>
      <c r="J228" s="1411"/>
      <c r="K228" s="1405">
        <f t="shared" si="66"/>
        <v>1</v>
      </c>
      <c r="L228" s="1411"/>
      <c r="M228" s="1405">
        <f t="shared" si="67"/>
        <v>1</v>
      </c>
      <c r="N228" s="1411"/>
      <c r="O228" s="1405">
        <f t="shared" si="68"/>
        <v>1</v>
      </c>
      <c r="P228" s="1411"/>
      <c r="Q228" s="1405">
        <f t="shared" si="69"/>
        <v>0</v>
      </c>
      <c r="R228" s="1476">
        <f t="shared" si="74"/>
        <v>0</v>
      </c>
      <c r="S228" s="1358">
        <f t="shared" si="75"/>
        <v>0</v>
      </c>
      <c r="T228" s="1485">
        <f t="shared" si="76"/>
        <v>0</v>
      </c>
      <c r="U228" s="1483">
        <f t="shared" si="70"/>
        <v>0</v>
      </c>
      <c r="V228" s="1483">
        <f t="shared" si="71"/>
        <v>0</v>
      </c>
      <c r="W228" s="1486"/>
      <c r="X228" s="1483">
        <f t="shared" si="72"/>
        <v>0</v>
      </c>
      <c r="Y228" s="1483">
        <f t="shared" si="73"/>
        <v>0</v>
      </c>
      <c r="Z228" s="1486"/>
    </row>
    <row r="229" spans="1:26">
      <c r="A229" s="1414"/>
      <c r="B229" s="1415"/>
      <c r="C229" s="1405">
        <f t="shared" si="62"/>
        <v>1</v>
      </c>
      <c r="D229" s="1411"/>
      <c r="E229" s="1405">
        <f t="shared" si="63"/>
        <v>0</v>
      </c>
      <c r="F229" s="1411"/>
      <c r="G229" s="1405">
        <f t="shared" si="64"/>
        <v>1</v>
      </c>
      <c r="H229" s="1411"/>
      <c r="I229" s="1405">
        <f t="shared" si="65"/>
        <v>1</v>
      </c>
      <c r="J229" s="1411"/>
      <c r="K229" s="1405">
        <f t="shared" si="66"/>
        <v>1</v>
      </c>
      <c r="L229" s="1411"/>
      <c r="M229" s="1405">
        <f t="shared" si="67"/>
        <v>1</v>
      </c>
      <c r="N229" s="1411"/>
      <c r="O229" s="1405">
        <f t="shared" si="68"/>
        <v>1</v>
      </c>
      <c r="P229" s="1411"/>
      <c r="Q229" s="1405">
        <f t="shared" si="69"/>
        <v>0</v>
      </c>
      <c r="R229" s="1476">
        <f t="shared" si="74"/>
        <v>0</v>
      </c>
      <c r="S229" s="1358">
        <f t="shared" si="75"/>
        <v>0</v>
      </c>
      <c r="T229" s="1485">
        <f t="shared" si="76"/>
        <v>0</v>
      </c>
      <c r="U229" s="1483">
        <f t="shared" si="70"/>
        <v>0</v>
      </c>
      <c r="V229" s="1483">
        <f t="shared" si="71"/>
        <v>0</v>
      </c>
      <c r="W229" s="1486"/>
      <c r="X229" s="1483">
        <f t="shared" si="72"/>
        <v>0</v>
      </c>
      <c r="Y229" s="1483">
        <f t="shared" si="73"/>
        <v>0</v>
      </c>
      <c r="Z229" s="1486"/>
    </row>
    <row r="230" spans="1:26">
      <c r="A230" s="1414"/>
      <c r="B230" s="1415"/>
      <c r="C230" s="1405">
        <f t="shared" si="62"/>
        <v>1</v>
      </c>
      <c r="D230" s="1411"/>
      <c r="E230" s="1405">
        <f t="shared" si="63"/>
        <v>0</v>
      </c>
      <c r="F230" s="1411"/>
      <c r="G230" s="1405">
        <f t="shared" si="64"/>
        <v>1</v>
      </c>
      <c r="H230" s="1411"/>
      <c r="I230" s="1405">
        <f t="shared" si="65"/>
        <v>1</v>
      </c>
      <c r="J230" s="1411"/>
      <c r="K230" s="1405">
        <f t="shared" si="66"/>
        <v>1</v>
      </c>
      <c r="L230" s="1411"/>
      <c r="M230" s="1405">
        <f t="shared" si="67"/>
        <v>1</v>
      </c>
      <c r="N230" s="1411"/>
      <c r="O230" s="1405">
        <f t="shared" si="68"/>
        <v>1</v>
      </c>
      <c r="P230" s="1411"/>
      <c r="Q230" s="1405">
        <f t="shared" si="69"/>
        <v>0</v>
      </c>
      <c r="R230" s="1476">
        <f t="shared" si="74"/>
        <v>0</v>
      </c>
      <c r="S230" s="1358">
        <f t="shared" si="75"/>
        <v>0</v>
      </c>
      <c r="T230" s="1485">
        <f t="shared" si="76"/>
        <v>0</v>
      </c>
      <c r="U230" s="1483">
        <f t="shared" si="70"/>
        <v>0</v>
      </c>
      <c r="V230" s="1483">
        <f t="shared" si="71"/>
        <v>0</v>
      </c>
      <c r="W230" s="1486"/>
      <c r="X230" s="1483">
        <f t="shared" si="72"/>
        <v>0</v>
      </c>
      <c r="Y230" s="1483">
        <f t="shared" si="73"/>
        <v>0</v>
      </c>
      <c r="Z230" s="1486"/>
    </row>
    <row r="231" spans="1:26">
      <c r="A231" s="1414"/>
      <c r="B231" s="1415"/>
      <c r="C231" s="1405">
        <f t="shared" si="62"/>
        <v>1</v>
      </c>
      <c r="D231" s="1411"/>
      <c r="E231" s="1405">
        <f t="shared" si="63"/>
        <v>0</v>
      </c>
      <c r="F231" s="1411"/>
      <c r="G231" s="1405">
        <f t="shared" si="64"/>
        <v>1</v>
      </c>
      <c r="H231" s="1411"/>
      <c r="I231" s="1405">
        <f t="shared" si="65"/>
        <v>1</v>
      </c>
      <c r="J231" s="1411"/>
      <c r="K231" s="1405">
        <f t="shared" si="66"/>
        <v>1</v>
      </c>
      <c r="L231" s="1411"/>
      <c r="M231" s="1405">
        <f t="shared" si="67"/>
        <v>1</v>
      </c>
      <c r="N231" s="1411"/>
      <c r="O231" s="1405">
        <f t="shared" si="68"/>
        <v>1</v>
      </c>
      <c r="P231" s="1411"/>
      <c r="Q231" s="1405">
        <f t="shared" si="69"/>
        <v>0</v>
      </c>
      <c r="R231" s="1476">
        <f t="shared" si="74"/>
        <v>0</v>
      </c>
      <c r="S231" s="1358">
        <f t="shared" si="75"/>
        <v>0</v>
      </c>
      <c r="T231" s="1485">
        <f t="shared" si="76"/>
        <v>0</v>
      </c>
      <c r="U231" s="1483">
        <f t="shared" si="70"/>
        <v>0</v>
      </c>
      <c r="V231" s="1483">
        <f t="shared" si="71"/>
        <v>0</v>
      </c>
      <c r="W231" s="1486"/>
      <c r="X231" s="1483">
        <f t="shared" si="72"/>
        <v>0</v>
      </c>
      <c r="Y231" s="1483">
        <f t="shared" si="73"/>
        <v>0</v>
      </c>
      <c r="Z231" s="1486"/>
    </row>
    <row r="232" spans="1:26">
      <c r="A232" s="1414"/>
      <c r="B232" s="1415"/>
      <c r="C232" s="1405">
        <f t="shared" si="62"/>
        <v>1</v>
      </c>
      <c r="D232" s="1411"/>
      <c r="E232" s="1405">
        <f t="shared" si="63"/>
        <v>0</v>
      </c>
      <c r="F232" s="1411"/>
      <c r="G232" s="1405">
        <f t="shared" si="64"/>
        <v>1</v>
      </c>
      <c r="H232" s="1411"/>
      <c r="I232" s="1405">
        <f t="shared" si="65"/>
        <v>1</v>
      </c>
      <c r="J232" s="1411"/>
      <c r="K232" s="1405">
        <f t="shared" si="66"/>
        <v>1</v>
      </c>
      <c r="L232" s="1411"/>
      <c r="M232" s="1405">
        <f t="shared" si="67"/>
        <v>1</v>
      </c>
      <c r="N232" s="1411"/>
      <c r="O232" s="1405">
        <f t="shared" si="68"/>
        <v>1</v>
      </c>
      <c r="P232" s="1411"/>
      <c r="Q232" s="1405">
        <f t="shared" si="69"/>
        <v>0</v>
      </c>
      <c r="R232" s="1476">
        <f t="shared" si="74"/>
        <v>0</v>
      </c>
      <c r="S232" s="1358">
        <f t="shared" si="75"/>
        <v>0</v>
      </c>
      <c r="T232" s="1485">
        <f t="shared" si="76"/>
        <v>0</v>
      </c>
      <c r="U232" s="1483">
        <f t="shared" si="70"/>
        <v>0</v>
      </c>
      <c r="V232" s="1483">
        <f t="shared" si="71"/>
        <v>0</v>
      </c>
      <c r="W232" s="1486"/>
      <c r="X232" s="1483">
        <f t="shared" si="72"/>
        <v>0</v>
      </c>
      <c r="Y232" s="1483">
        <f t="shared" si="73"/>
        <v>0</v>
      </c>
      <c r="Z232" s="1486"/>
    </row>
    <row r="233" spans="1:26">
      <c r="A233" s="1414"/>
      <c r="B233" s="1415"/>
      <c r="C233" s="1405">
        <f t="shared" si="62"/>
        <v>1</v>
      </c>
      <c r="D233" s="1411"/>
      <c r="E233" s="1405">
        <f t="shared" si="63"/>
        <v>0</v>
      </c>
      <c r="F233" s="1411"/>
      <c r="G233" s="1405">
        <f t="shared" si="64"/>
        <v>1</v>
      </c>
      <c r="H233" s="1411"/>
      <c r="I233" s="1405">
        <f t="shared" si="65"/>
        <v>1</v>
      </c>
      <c r="J233" s="1411"/>
      <c r="K233" s="1405">
        <f t="shared" si="66"/>
        <v>1</v>
      </c>
      <c r="L233" s="1411"/>
      <c r="M233" s="1405">
        <f t="shared" si="67"/>
        <v>1</v>
      </c>
      <c r="N233" s="1411"/>
      <c r="O233" s="1405">
        <f t="shared" si="68"/>
        <v>1</v>
      </c>
      <c r="P233" s="1411"/>
      <c r="Q233" s="1405">
        <f t="shared" si="69"/>
        <v>0</v>
      </c>
      <c r="R233" s="1476">
        <f t="shared" si="74"/>
        <v>0</v>
      </c>
      <c r="S233" s="1358">
        <f t="shared" si="75"/>
        <v>0</v>
      </c>
      <c r="T233" s="1485">
        <f t="shared" si="76"/>
        <v>0</v>
      </c>
      <c r="U233" s="1483">
        <f t="shared" si="70"/>
        <v>0</v>
      </c>
      <c r="V233" s="1483">
        <f t="shared" si="71"/>
        <v>0</v>
      </c>
      <c r="W233" s="1486"/>
      <c r="X233" s="1483">
        <f t="shared" si="72"/>
        <v>0</v>
      </c>
      <c r="Y233" s="1483">
        <f t="shared" si="73"/>
        <v>0</v>
      </c>
      <c r="Z233" s="1486"/>
    </row>
    <row r="234" spans="1:26">
      <c r="A234" s="1414"/>
      <c r="B234" s="1415"/>
      <c r="C234" s="1405">
        <f t="shared" si="62"/>
        <v>1</v>
      </c>
      <c r="D234" s="1411"/>
      <c r="E234" s="1405">
        <f t="shared" si="63"/>
        <v>0</v>
      </c>
      <c r="F234" s="1411"/>
      <c r="G234" s="1405">
        <f t="shared" si="64"/>
        <v>1</v>
      </c>
      <c r="H234" s="1411"/>
      <c r="I234" s="1405">
        <f t="shared" si="65"/>
        <v>1</v>
      </c>
      <c r="J234" s="1411"/>
      <c r="K234" s="1405">
        <f t="shared" si="66"/>
        <v>1</v>
      </c>
      <c r="L234" s="1411"/>
      <c r="M234" s="1405">
        <f t="shared" si="67"/>
        <v>1</v>
      </c>
      <c r="N234" s="1411"/>
      <c r="O234" s="1405">
        <f t="shared" si="68"/>
        <v>1</v>
      </c>
      <c r="P234" s="1411"/>
      <c r="Q234" s="1405">
        <f t="shared" si="69"/>
        <v>0</v>
      </c>
      <c r="R234" s="1476">
        <f t="shared" si="74"/>
        <v>0</v>
      </c>
      <c r="S234" s="1358">
        <f t="shared" si="75"/>
        <v>0</v>
      </c>
      <c r="T234" s="1485">
        <f t="shared" si="76"/>
        <v>0</v>
      </c>
      <c r="U234" s="1483">
        <f t="shared" si="70"/>
        <v>0</v>
      </c>
      <c r="V234" s="1483">
        <f t="shared" si="71"/>
        <v>0</v>
      </c>
      <c r="W234" s="1486"/>
      <c r="X234" s="1483">
        <f t="shared" si="72"/>
        <v>0</v>
      </c>
      <c r="Y234" s="1483">
        <f t="shared" si="73"/>
        <v>0</v>
      </c>
      <c r="Z234" s="1486"/>
    </row>
    <row r="235" spans="1:26">
      <c r="A235" s="1414"/>
      <c r="B235" s="1415"/>
      <c r="C235" s="1405">
        <f t="shared" si="62"/>
        <v>1</v>
      </c>
      <c r="D235" s="1411"/>
      <c r="E235" s="1405">
        <f t="shared" si="63"/>
        <v>0</v>
      </c>
      <c r="F235" s="1411"/>
      <c r="G235" s="1405">
        <f t="shared" si="64"/>
        <v>1</v>
      </c>
      <c r="H235" s="1411"/>
      <c r="I235" s="1405">
        <f t="shared" si="65"/>
        <v>1</v>
      </c>
      <c r="J235" s="1411"/>
      <c r="K235" s="1405">
        <f t="shared" si="66"/>
        <v>1</v>
      </c>
      <c r="L235" s="1411"/>
      <c r="M235" s="1405">
        <f t="shared" si="67"/>
        <v>1</v>
      </c>
      <c r="N235" s="1411"/>
      <c r="O235" s="1405">
        <f t="shared" si="68"/>
        <v>1</v>
      </c>
      <c r="P235" s="1411"/>
      <c r="Q235" s="1405">
        <f t="shared" si="69"/>
        <v>0</v>
      </c>
      <c r="R235" s="1476">
        <f t="shared" si="74"/>
        <v>0</v>
      </c>
      <c r="S235" s="1358">
        <f t="shared" si="75"/>
        <v>0</v>
      </c>
      <c r="T235" s="1485">
        <f t="shared" si="76"/>
        <v>0</v>
      </c>
      <c r="U235" s="1483">
        <f t="shared" si="70"/>
        <v>0</v>
      </c>
      <c r="V235" s="1483">
        <f t="shared" si="71"/>
        <v>0</v>
      </c>
      <c r="W235" s="1486"/>
      <c r="X235" s="1483">
        <f t="shared" si="72"/>
        <v>0</v>
      </c>
      <c r="Y235" s="1483">
        <f t="shared" si="73"/>
        <v>0</v>
      </c>
      <c r="Z235" s="1486"/>
    </row>
    <row r="236" spans="1:26">
      <c r="A236" s="1414"/>
      <c r="B236" s="1415"/>
      <c r="C236" s="1405">
        <f t="shared" si="62"/>
        <v>1</v>
      </c>
      <c r="D236" s="1411"/>
      <c r="E236" s="1405">
        <f t="shared" si="63"/>
        <v>0</v>
      </c>
      <c r="F236" s="1411"/>
      <c r="G236" s="1405">
        <f t="shared" si="64"/>
        <v>1</v>
      </c>
      <c r="H236" s="1411"/>
      <c r="I236" s="1405">
        <f t="shared" si="65"/>
        <v>1</v>
      </c>
      <c r="J236" s="1411"/>
      <c r="K236" s="1405">
        <f t="shared" si="66"/>
        <v>1</v>
      </c>
      <c r="L236" s="1411"/>
      <c r="M236" s="1405">
        <f t="shared" si="67"/>
        <v>1</v>
      </c>
      <c r="N236" s="1411"/>
      <c r="O236" s="1405">
        <f t="shared" si="68"/>
        <v>1</v>
      </c>
      <c r="P236" s="1411"/>
      <c r="Q236" s="1405">
        <f t="shared" si="69"/>
        <v>0</v>
      </c>
      <c r="R236" s="1476">
        <f t="shared" si="74"/>
        <v>0</v>
      </c>
      <c r="S236" s="1358">
        <f t="shared" si="75"/>
        <v>0</v>
      </c>
      <c r="T236" s="1485">
        <f t="shared" si="76"/>
        <v>0</v>
      </c>
      <c r="U236" s="1483">
        <f t="shared" si="70"/>
        <v>0</v>
      </c>
      <c r="V236" s="1483">
        <f t="shared" si="71"/>
        <v>0</v>
      </c>
      <c r="W236" s="1486"/>
      <c r="X236" s="1483">
        <f t="shared" si="72"/>
        <v>0</v>
      </c>
      <c r="Y236" s="1483">
        <f t="shared" si="73"/>
        <v>0</v>
      </c>
      <c r="Z236" s="1486"/>
    </row>
    <row r="237" spans="1:26">
      <c r="A237" s="1414"/>
      <c r="B237" s="1415"/>
      <c r="C237" s="1405">
        <f t="shared" si="62"/>
        <v>1</v>
      </c>
      <c r="D237" s="1411"/>
      <c r="E237" s="1405">
        <f t="shared" si="63"/>
        <v>0</v>
      </c>
      <c r="F237" s="1411"/>
      <c r="G237" s="1405">
        <f t="shared" si="64"/>
        <v>1</v>
      </c>
      <c r="H237" s="1411"/>
      <c r="I237" s="1405">
        <f t="shared" si="65"/>
        <v>1</v>
      </c>
      <c r="J237" s="1411"/>
      <c r="K237" s="1405">
        <f t="shared" si="66"/>
        <v>1</v>
      </c>
      <c r="L237" s="1411"/>
      <c r="M237" s="1405">
        <f t="shared" si="67"/>
        <v>1</v>
      </c>
      <c r="N237" s="1411"/>
      <c r="O237" s="1405">
        <f t="shared" si="68"/>
        <v>1</v>
      </c>
      <c r="P237" s="1411"/>
      <c r="Q237" s="1405">
        <f t="shared" si="69"/>
        <v>0</v>
      </c>
      <c r="R237" s="1476">
        <f t="shared" si="74"/>
        <v>0</v>
      </c>
      <c r="S237" s="1358">
        <f t="shared" si="75"/>
        <v>0</v>
      </c>
      <c r="T237" s="1485">
        <f t="shared" si="76"/>
        <v>0</v>
      </c>
      <c r="U237" s="1483">
        <f t="shared" si="70"/>
        <v>0</v>
      </c>
      <c r="V237" s="1483">
        <f t="shared" si="71"/>
        <v>0</v>
      </c>
      <c r="W237" s="1486"/>
      <c r="X237" s="1483">
        <f t="shared" si="72"/>
        <v>0</v>
      </c>
      <c r="Y237" s="1483">
        <f t="shared" si="73"/>
        <v>0</v>
      </c>
      <c r="Z237" s="1486"/>
    </row>
    <row r="238" spans="1:26">
      <c r="A238" s="1414"/>
      <c r="B238" s="1415"/>
      <c r="C238" s="1405">
        <f t="shared" si="62"/>
        <v>1</v>
      </c>
      <c r="D238" s="1411"/>
      <c r="E238" s="1405">
        <f t="shared" si="63"/>
        <v>0</v>
      </c>
      <c r="F238" s="1411"/>
      <c r="G238" s="1405">
        <f t="shared" si="64"/>
        <v>1</v>
      </c>
      <c r="H238" s="1411"/>
      <c r="I238" s="1405">
        <f t="shared" si="65"/>
        <v>1</v>
      </c>
      <c r="J238" s="1411"/>
      <c r="K238" s="1405">
        <f t="shared" si="66"/>
        <v>1</v>
      </c>
      <c r="L238" s="1411"/>
      <c r="M238" s="1405">
        <f t="shared" si="67"/>
        <v>1</v>
      </c>
      <c r="N238" s="1411"/>
      <c r="O238" s="1405">
        <f t="shared" si="68"/>
        <v>1</v>
      </c>
      <c r="P238" s="1411"/>
      <c r="Q238" s="1405">
        <f t="shared" si="69"/>
        <v>0</v>
      </c>
      <c r="R238" s="1476">
        <f t="shared" si="74"/>
        <v>0</v>
      </c>
      <c r="S238" s="1358">
        <f t="shared" si="75"/>
        <v>0</v>
      </c>
      <c r="T238" s="1485">
        <f t="shared" si="76"/>
        <v>0</v>
      </c>
      <c r="U238" s="1483">
        <f t="shared" si="70"/>
        <v>0</v>
      </c>
      <c r="V238" s="1483">
        <f t="shared" si="71"/>
        <v>0</v>
      </c>
      <c r="W238" s="1486"/>
      <c r="X238" s="1483">
        <f t="shared" si="72"/>
        <v>0</v>
      </c>
      <c r="Y238" s="1483">
        <f t="shared" si="73"/>
        <v>0</v>
      </c>
      <c r="Z238" s="1486"/>
    </row>
    <row r="239" spans="1:26">
      <c r="A239" s="1414"/>
      <c r="B239" s="1415"/>
      <c r="C239" s="1405">
        <f t="shared" si="62"/>
        <v>1</v>
      </c>
      <c r="D239" s="1411"/>
      <c r="E239" s="1405">
        <f t="shared" si="63"/>
        <v>0</v>
      </c>
      <c r="F239" s="1411"/>
      <c r="G239" s="1405">
        <f t="shared" si="64"/>
        <v>1</v>
      </c>
      <c r="H239" s="1411"/>
      <c r="I239" s="1405">
        <f t="shared" si="65"/>
        <v>1</v>
      </c>
      <c r="J239" s="1411"/>
      <c r="K239" s="1405">
        <f t="shared" si="66"/>
        <v>1</v>
      </c>
      <c r="L239" s="1411"/>
      <c r="M239" s="1405">
        <f t="shared" si="67"/>
        <v>1</v>
      </c>
      <c r="N239" s="1411"/>
      <c r="O239" s="1405">
        <f t="shared" si="68"/>
        <v>1</v>
      </c>
      <c r="P239" s="1411"/>
      <c r="Q239" s="1405">
        <f t="shared" si="69"/>
        <v>0</v>
      </c>
      <c r="R239" s="1476">
        <f t="shared" si="74"/>
        <v>0</v>
      </c>
      <c r="S239" s="1358">
        <f t="shared" si="75"/>
        <v>0</v>
      </c>
      <c r="T239" s="1485">
        <f t="shared" si="76"/>
        <v>0</v>
      </c>
      <c r="U239" s="1483">
        <f t="shared" si="70"/>
        <v>0</v>
      </c>
      <c r="V239" s="1483">
        <f t="shared" si="71"/>
        <v>0</v>
      </c>
      <c r="W239" s="1486"/>
      <c r="X239" s="1483">
        <f t="shared" si="72"/>
        <v>0</v>
      </c>
      <c r="Y239" s="1483">
        <f t="shared" si="73"/>
        <v>0</v>
      </c>
      <c r="Z239" s="1486"/>
    </row>
    <row r="240" spans="1:26">
      <c r="A240" s="1414"/>
      <c r="B240" s="1415"/>
      <c r="C240" s="1405">
        <f t="shared" si="62"/>
        <v>1</v>
      </c>
      <c r="D240" s="1411"/>
      <c r="E240" s="1405">
        <f t="shared" si="63"/>
        <v>0</v>
      </c>
      <c r="F240" s="1411"/>
      <c r="G240" s="1405">
        <f t="shared" si="64"/>
        <v>1</v>
      </c>
      <c r="H240" s="1411"/>
      <c r="I240" s="1405">
        <f t="shared" si="65"/>
        <v>1</v>
      </c>
      <c r="J240" s="1411"/>
      <c r="K240" s="1405">
        <f t="shared" si="66"/>
        <v>1</v>
      </c>
      <c r="L240" s="1411"/>
      <c r="M240" s="1405">
        <f t="shared" si="67"/>
        <v>1</v>
      </c>
      <c r="N240" s="1411"/>
      <c r="O240" s="1405">
        <f t="shared" si="68"/>
        <v>1</v>
      </c>
      <c r="P240" s="1411"/>
      <c r="Q240" s="1405">
        <f t="shared" si="69"/>
        <v>0</v>
      </c>
      <c r="R240" s="1476">
        <f t="shared" si="74"/>
        <v>0</v>
      </c>
      <c r="S240" s="1358">
        <f t="shared" si="75"/>
        <v>0</v>
      </c>
      <c r="T240" s="1485">
        <f t="shared" si="76"/>
        <v>0</v>
      </c>
      <c r="U240" s="1483">
        <f t="shared" si="70"/>
        <v>0</v>
      </c>
      <c r="V240" s="1483">
        <f t="shared" si="71"/>
        <v>0</v>
      </c>
      <c r="W240" s="1486"/>
      <c r="X240" s="1483">
        <f t="shared" si="72"/>
        <v>0</v>
      </c>
      <c r="Y240" s="1483">
        <f t="shared" si="73"/>
        <v>0</v>
      </c>
      <c r="Z240" s="1486"/>
    </row>
    <row r="241" spans="1:26">
      <c r="A241" s="1414"/>
      <c r="B241" s="1415"/>
      <c r="C241" s="1405">
        <f t="shared" si="62"/>
        <v>1</v>
      </c>
      <c r="D241" s="1411"/>
      <c r="E241" s="1405">
        <f t="shared" si="63"/>
        <v>0</v>
      </c>
      <c r="F241" s="1411"/>
      <c r="G241" s="1405">
        <f t="shared" si="64"/>
        <v>1</v>
      </c>
      <c r="H241" s="1411"/>
      <c r="I241" s="1405">
        <f t="shared" si="65"/>
        <v>1</v>
      </c>
      <c r="J241" s="1411"/>
      <c r="K241" s="1405">
        <f t="shared" si="66"/>
        <v>1</v>
      </c>
      <c r="L241" s="1411"/>
      <c r="M241" s="1405">
        <f t="shared" si="67"/>
        <v>1</v>
      </c>
      <c r="N241" s="1411"/>
      <c r="O241" s="1405">
        <f t="shared" si="68"/>
        <v>1</v>
      </c>
      <c r="P241" s="1411"/>
      <c r="Q241" s="1405">
        <f t="shared" si="69"/>
        <v>0</v>
      </c>
      <c r="R241" s="1476">
        <f t="shared" si="74"/>
        <v>0</v>
      </c>
      <c r="S241" s="1358">
        <f t="shared" si="75"/>
        <v>0</v>
      </c>
      <c r="T241" s="1485">
        <f t="shared" si="76"/>
        <v>0</v>
      </c>
      <c r="U241" s="1483">
        <f t="shared" si="70"/>
        <v>0</v>
      </c>
      <c r="V241" s="1483">
        <f t="shared" si="71"/>
        <v>0</v>
      </c>
      <c r="W241" s="1486"/>
      <c r="X241" s="1483">
        <f t="shared" si="72"/>
        <v>0</v>
      </c>
      <c r="Y241" s="1483">
        <f t="shared" si="73"/>
        <v>0</v>
      </c>
      <c r="Z241" s="1486"/>
    </row>
    <row r="242" spans="1:26">
      <c r="A242" s="1414"/>
      <c r="B242" s="1415"/>
      <c r="C242" s="1405">
        <f t="shared" si="62"/>
        <v>1</v>
      </c>
      <c r="D242" s="1411"/>
      <c r="E242" s="1405">
        <f t="shared" si="63"/>
        <v>0</v>
      </c>
      <c r="F242" s="1411"/>
      <c r="G242" s="1405">
        <f t="shared" si="64"/>
        <v>1</v>
      </c>
      <c r="H242" s="1411"/>
      <c r="I242" s="1405">
        <f t="shared" si="65"/>
        <v>1</v>
      </c>
      <c r="J242" s="1411"/>
      <c r="K242" s="1405">
        <f t="shared" si="66"/>
        <v>1</v>
      </c>
      <c r="L242" s="1411"/>
      <c r="M242" s="1405">
        <f t="shared" si="67"/>
        <v>1</v>
      </c>
      <c r="N242" s="1411"/>
      <c r="O242" s="1405">
        <f t="shared" si="68"/>
        <v>1</v>
      </c>
      <c r="P242" s="1411"/>
      <c r="Q242" s="1405">
        <f t="shared" si="69"/>
        <v>0</v>
      </c>
      <c r="R242" s="1476">
        <f t="shared" si="74"/>
        <v>0</v>
      </c>
      <c r="S242" s="1358">
        <f t="shared" si="75"/>
        <v>0</v>
      </c>
      <c r="T242" s="1485">
        <f t="shared" si="76"/>
        <v>0</v>
      </c>
      <c r="U242" s="1483">
        <f t="shared" si="70"/>
        <v>0</v>
      </c>
      <c r="V242" s="1483">
        <f t="shared" si="71"/>
        <v>0</v>
      </c>
      <c r="W242" s="1486"/>
      <c r="X242" s="1483">
        <f t="shared" si="72"/>
        <v>0</v>
      </c>
      <c r="Y242" s="1483">
        <f t="shared" si="73"/>
        <v>0</v>
      </c>
      <c r="Z242" s="1486"/>
    </row>
    <row r="243" spans="1:26">
      <c r="A243" s="1414"/>
      <c r="B243" s="1415"/>
      <c r="C243" s="1405">
        <f t="shared" si="62"/>
        <v>1</v>
      </c>
      <c r="D243" s="1411"/>
      <c r="E243" s="1405">
        <f t="shared" si="63"/>
        <v>0</v>
      </c>
      <c r="F243" s="1411"/>
      <c r="G243" s="1405">
        <f t="shared" si="64"/>
        <v>1</v>
      </c>
      <c r="H243" s="1411"/>
      <c r="I243" s="1405">
        <f t="shared" si="65"/>
        <v>1</v>
      </c>
      <c r="J243" s="1411"/>
      <c r="K243" s="1405">
        <f t="shared" si="66"/>
        <v>1</v>
      </c>
      <c r="L243" s="1411"/>
      <c r="M243" s="1405">
        <f t="shared" si="67"/>
        <v>1</v>
      </c>
      <c r="N243" s="1411"/>
      <c r="O243" s="1405">
        <f t="shared" si="68"/>
        <v>1</v>
      </c>
      <c r="P243" s="1411"/>
      <c r="Q243" s="1405">
        <f t="shared" si="69"/>
        <v>0</v>
      </c>
      <c r="R243" s="1476">
        <f t="shared" si="74"/>
        <v>0</v>
      </c>
      <c r="S243" s="1358">
        <f t="shared" si="75"/>
        <v>0</v>
      </c>
      <c r="T243" s="1485">
        <f t="shared" si="76"/>
        <v>0</v>
      </c>
      <c r="U243" s="1483">
        <f t="shared" si="70"/>
        <v>0</v>
      </c>
      <c r="V243" s="1483">
        <f t="shared" si="71"/>
        <v>0</v>
      </c>
      <c r="W243" s="1486"/>
      <c r="X243" s="1483">
        <f t="shared" si="72"/>
        <v>0</v>
      </c>
      <c r="Y243" s="1483">
        <f t="shared" si="73"/>
        <v>0</v>
      </c>
      <c r="Z243" s="1486"/>
    </row>
    <row r="244" spans="1:26">
      <c r="A244" s="1414"/>
      <c r="B244" s="1415"/>
      <c r="C244" s="1405">
        <f t="shared" si="62"/>
        <v>1</v>
      </c>
      <c r="D244" s="1411"/>
      <c r="E244" s="1405">
        <f t="shared" si="63"/>
        <v>0</v>
      </c>
      <c r="F244" s="1411"/>
      <c r="G244" s="1405">
        <f t="shared" si="64"/>
        <v>1</v>
      </c>
      <c r="H244" s="1411"/>
      <c r="I244" s="1405">
        <f t="shared" si="65"/>
        <v>1</v>
      </c>
      <c r="J244" s="1411"/>
      <c r="K244" s="1405">
        <f t="shared" si="66"/>
        <v>1</v>
      </c>
      <c r="L244" s="1411"/>
      <c r="M244" s="1405">
        <f t="shared" si="67"/>
        <v>1</v>
      </c>
      <c r="N244" s="1411"/>
      <c r="O244" s="1405">
        <f t="shared" si="68"/>
        <v>1</v>
      </c>
      <c r="P244" s="1411"/>
      <c r="Q244" s="1405">
        <f t="shared" si="69"/>
        <v>0</v>
      </c>
      <c r="R244" s="1476">
        <f t="shared" si="74"/>
        <v>0</v>
      </c>
      <c r="S244" s="1358">
        <f t="shared" si="75"/>
        <v>0</v>
      </c>
      <c r="T244" s="1485">
        <f t="shared" si="76"/>
        <v>0</v>
      </c>
      <c r="U244" s="1483">
        <f t="shared" si="70"/>
        <v>0</v>
      </c>
      <c r="V244" s="1483">
        <f t="shared" si="71"/>
        <v>0</v>
      </c>
      <c r="W244" s="1486"/>
      <c r="X244" s="1483">
        <f t="shared" si="72"/>
        <v>0</v>
      </c>
      <c r="Y244" s="1483">
        <f t="shared" si="73"/>
        <v>0</v>
      </c>
      <c r="Z244" s="1486"/>
    </row>
    <row r="245" spans="1:26">
      <c r="A245" s="1414"/>
      <c r="B245" s="1415"/>
      <c r="C245" s="1405">
        <f t="shared" si="62"/>
        <v>1</v>
      </c>
      <c r="D245" s="1411"/>
      <c r="E245" s="1405">
        <f t="shared" si="63"/>
        <v>0</v>
      </c>
      <c r="F245" s="1411"/>
      <c r="G245" s="1405">
        <f t="shared" si="64"/>
        <v>1</v>
      </c>
      <c r="H245" s="1411"/>
      <c r="I245" s="1405">
        <f t="shared" si="65"/>
        <v>1</v>
      </c>
      <c r="J245" s="1411"/>
      <c r="K245" s="1405">
        <f t="shared" si="66"/>
        <v>1</v>
      </c>
      <c r="L245" s="1411"/>
      <c r="M245" s="1405">
        <f t="shared" si="67"/>
        <v>1</v>
      </c>
      <c r="N245" s="1411"/>
      <c r="O245" s="1405">
        <f t="shared" si="68"/>
        <v>1</v>
      </c>
      <c r="P245" s="1411"/>
      <c r="Q245" s="1405">
        <f t="shared" si="69"/>
        <v>0</v>
      </c>
      <c r="R245" s="1476">
        <f t="shared" si="74"/>
        <v>0</v>
      </c>
      <c r="S245" s="1358">
        <f t="shared" si="75"/>
        <v>0</v>
      </c>
      <c r="T245" s="1485">
        <f t="shared" si="76"/>
        <v>0</v>
      </c>
      <c r="U245" s="1483">
        <f t="shared" si="70"/>
        <v>0</v>
      </c>
      <c r="V245" s="1483">
        <f t="shared" si="71"/>
        <v>0</v>
      </c>
      <c r="W245" s="1486"/>
      <c r="X245" s="1483">
        <f t="shared" si="72"/>
        <v>0</v>
      </c>
      <c r="Y245" s="1483">
        <f t="shared" si="73"/>
        <v>0</v>
      </c>
      <c r="Z245" s="1486"/>
    </row>
    <row r="246" spans="1:26">
      <c r="A246" s="1414"/>
      <c r="B246" s="1415"/>
      <c r="C246" s="1405">
        <f t="shared" si="62"/>
        <v>1</v>
      </c>
      <c r="D246" s="1411"/>
      <c r="E246" s="1405">
        <f t="shared" si="63"/>
        <v>0</v>
      </c>
      <c r="F246" s="1411"/>
      <c r="G246" s="1405">
        <f t="shared" si="64"/>
        <v>1</v>
      </c>
      <c r="H246" s="1411"/>
      <c r="I246" s="1405">
        <f t="shared" si="65"/>
        <v>1</v>
      </c>
      <c r="J246" s="1411"/>
      <c r="K246" s="1405">
        <f t="shared" si="66"/>
        <v>1</v>
      </c>
      <c r="L246" s="1411"/>
      <c r="M246" s="1405">
        <f t="shared" si="67"/>
        <v>1</v>
      </c>
      <c r="N246" s="1411"/>
      <c r="O246" s="1405">
        <f t="shared" si="68"/>
        <v>1</v>
      </c>
      <c r="P246" s="1411"/>
      <c r="Q246" s="1405">
        <f t="shared" si="69"/>
        <v>0</v>
      </c>
      <c r="R246" s="1476">
        <f t="shared" si="74"/>
        <v>0</v>
      </c>
      <c r="S246" s="1358">
        <f t="shared" si="75"/>
        <v>0</v>
      </c>
      <c r="T246" s="1485">
        <f t="shared" si="76"/>
        <v>0</v>
      </c>
      <c r="U246" s="1483">
        <f t="shared" si="70"/>
        <v>0</v>
      </c>
      <c r="V246" s="1483">
        <f t="shared" si="71"/>
        <v>0</v>
      </c>
      <c r="W246" s="1486"/>
      <c r="X246" s="1483">
        <f t="shared" si="72"/>
        <v>0</v>
      </c>
      <c r="Y246" s="1483">
        <f t="shared" si="73"/>
        <v>0</v>
      </c>
      <c r="Z246" s="1486"/>
    </row>
    <row r="247" spans="1:26">
      <c r="A247" s="1414"/>
      <c r="B247" s="1415"/>
      <c r="C247" s="1405">
        <f t="shared" si="62"/>
        <v>1</v>
      </c>
      <c r="D247" s="1411"/>
      <c r="E247" s="1405">
        <f t="shared" si="63"/>
        <v>0</v>
      </c>
      <c r="F247" s="1411"/>
      <c r="G247" s="1405">
        <f t="shared" si="64"/>
        <v>1</v>
      </c>
      <c r="H247" s="1411"/>
      <c r="I247" s="1405">
        <f t="shared" si="65"/>
        <v>1</v>
      </c>
      <c r="J247" s="1411"/>
      <c r="K247" s="1405">
        <f t="shared" si="66"/>
        <v>1</v>
      </c>
      <c r="L247" s="1411"/>
      <c r="M247" s="1405">
        <f t="shared" si="67"/>
        <v>1</v>
      </c>
      <c r="N247" s="1411"/>
      <c r="O247" s="1405">
        <f t="shared" si="68"/>
        <v>1</v>
      </c>
      <c r="P247" s="1411"/>
      <c r="Q247" s="1405">
        <f t="shared" si="69"/>
        <v>0</v>
      </c>
      <c r="R247" s="1476">
        <f t="shared" si="74"/>
        <v>0</v>
      </c>
      <c r="S247" s="1358">
        <f t="shared" si="75"/>
        <v>0</v>
      </c>
      <c r="T247" s="1485">
        <f t="shared" si="76"/>
        <v>0</v>
      </c>
      <c r="U247" s="1483">
        <f t="shared" si="70"/>
        <v>0</v>
      </c>
      <c r="V247" s="1483">
        <f t="shared" si="71"/>
        <v>0</v>
      </c>
      <c r="W247" s="1486"/>
      <c r="X247" s="1483">
        <f t="shared" si="72"/>
        <v>0</v>
      </c>
      <c r="Y247" s="1483">
        <f t="shared" si="73"/>
        <v>0</v>
      </c>
      <c r="Z247" s="1486"/>
    </row>
    <row r="248" spans="1:26">
      <c r="A248" s="1414"/>
      <c r="B248" s="1415"/>
      <c r="C248" s="1405">
        <f t="shared" si="62"/>
        <v>1</v>
      </c>
      <c r="D248" s="1411"/>
      <c r="E248" s="1405">
        <f t="shared" si="63"/>
        <v>0</v>
      </c>
      <c r="F248" s="1411"/>
      <c r="G248" s="1405">
        <f t="shared" si="64"/>
        <v>1</v>
      </c>
      <c r="H248" s="1411"/>
      <c r="I248" s="1405">
        <f t="shared" si="65"/>
        <v>1</v>
      </c>
      <c r="J248" s="1411"/>
      <c r="K248" s="1405">
        <f t="shared" si="66"/>
        <v>1</v>
      </c>
      <c r="L248" s="1411"/>
      <c r="M248" s="1405">
        <f t="shared" si="67"/>
        <v>1</v>
      </c>
      <c r="N248" s="1411"/>
      <c r="O248" s="1405">
        <f t="shared" si="68"/>
        <v>1</v>
      </c>
      <c r="P248" s="1411"/>
      <c r="Q248" s="1405">
        <f t="shared" si="69"/>
        <v>0</v>
      </c>
      <c r="R248" s="1476">
        <f t="shared" si="74"/>
        <v>0</v>
      </c>
      <c r="S248" s="1358">
        <f t="shared" si="75"/>
        <v>0</v>
      </c>
      <c r="T248" s="1485">
        <f t="shared" si="76"/>
        <v>0</v>
      </c>
      <c r="U248" s="1483">
        <f t="shared" si="70"/>
        <v>0</v>
      </c>
      <c r="V248" s="1483">
        <f t="shared" si="71"/>
        <v>0</v>
      </c>
      <c r="W248" s="1486"/>
      <c r="X248" s="1483">
        <f t="shared" si="72"/>
        <v>0</v>
      </c>
      <c r="Y248" s="1483">
        <f t="shared" si="73"/>
        <v>0</v>
      </c>
      <c r="Z248" s="1486"/>
    </row>
    <row r="249" spans="1:26">
      <c r="A249" s="1414"/>
      <c r="B249" s="1415"/>
      <c r="C249" s="1405">
        <f t="shared" si="62"/>
        <v>1</v>
      </c>
      <c r="D249" s="1411"/>
      <c r="E249" s="1405">
        <f t="shared" si="63"/>
        <v>0</v>
      </c>
      <c r="F249" s="1411"/>
      <c r="G249" s="1405">
        <f t="shared" si="64"/>
        <v>1</v>
      </c>
      <c r="H249" s="1411"/>
      <c r="I249" s="1405">
        <f t="shared" si="65"/>
        <v>1</v>
      </c>
      <c r="J249" s="1411"/>
      <c r="K249" s="1405">
        <f t="shared" si="66"/>
        <v>1</v>
      </c>
      <c r="L249" s="1411"/>
      <c r="M249" s="1405">
        <f t="shared" si="67"/>
        <v>1</v>
      </c>
      <c r="N249" s="1411"/>
      <c r="O249" s="1405">
        <f t="shared" si="68"/>
        <v>1</v>
      </c>
      <c r="P249" s="1411"/>
      <c r="Q249" s="1405">
        <f t="shared" si="69"/>
        <v>0</v>
      </c>
      <c r="R249" s="1476">
        <f t="shared" si="74"/>
        <v>0</v>
      </c>
      <c r="S249" s="1358">
        <f t="shared" si="75"/>
        <v>0</v>
      </c>
      <c r="T249" s="1485">
        <f t="shared" si="76"/>
        <v>0</v>
      </c>
      <c r="U249" s="1483">
        <f t="shared" si="70"/>
        <v>0</v>
      </c>
      <c r="V249" s="1483">
        <f t="shared" si="71"/>
        <v>0</v>
      </c>
      <c r="W249" s="1486"/>
      <c r="X249" s="1483">
        <f t="shared" si="72"/>
        <v>0</v>
      </c>
      <c r="Y249" s="1483">
        <f t="shared" si="73"/>
        <v>0</v>
      </c>
      <c r="Z249" s="1486"/>
    </row>
    <row r="250" spans="1:26">
      <c r="A250" s="1414"/>
      <c r="B250" s="1415"/>
      <c r="C250" s="1405">
        <f t="shared" si="62"/>
        <v>1</v>
      </c>
      <c r="D250" s="1411"/>
      <c r="E250" s="1405">
        <f t="shared" si="63"/>
        <v>0</v>
      </c>
      <c r="F250" s="1411"/>
      <c r="G250" s="1405">
        <f t="shared" si="64"/>
        <v>1</v>
      </c>
      <c r="H250" s="1411"/>
      <c r="I250" s="1405">
        <f t="shared" si="65"/>
        <v>1</v>
      </c>
      <c r="J250" s="1411"/>
      <c r="K250" s="1405">
        <f t="shared" si="66"/>
        <v>1</v>
      </c>
      <c r="L250" s="1411"/>
      <c r="M250" s="1405">
        <f t="shared" si="67"/>
        <v>1</v>
      </c>
      <c r="N250" s="1411"/>
      <c r="O250" s="1405">
        <f t="shared" si="68"/>
        <v>1</v>
      </c>
      <c r="P250" s="1411"/>
      <c r="Q250" s="1405">
        <f t="shared" si="69"/>
        <v>0</v>
      </c>
      <c r="R250" s="1476">
        <f t="shared" si="74"/>
        <v>0</v>
      </c>
      <c r="S250" s="1358">
        <f t="shared" si="75"/>
        <v>0</v>
      </c>
      <c r="T250" s="1485">
        <f t="shared" si="76"/>
        <v>0</v>
      </c>
      <c r="U250" s="1483">
        <f t="shared" si="70"/>
        <v>0</v>
      </c>
      <c r="V250" s="1483">
        <f t="shared" si="71"/>
        <v>0</v>
      </c>
      <c r="W250" s="1486"/>
      <c r="X250" s="1483">
        <f t="shared" si="72"/>
        <v>0</v>
      </c>
      <c r="Y250" s="1483">
        <f t="shared" si="73"/>
        <v>0</v>
      </c>
      <c r="Z250" s="1486"/>
    </row>
    <row r="251" spans="1:26">
      <c r="A251" s="1414"/>
      <c r="B251" s="1415"/>
      <c r="C251" s="1405">
        <f t="shared" si="62"/>
        <v>1</v>
      </c>
      <c r="D251" s="1411"/>
      <c r="E251" s="1405">
        <f t="shared" si="63"/>
        <v>0</v>
      </c>
      <c r="F251" s="1411"/>
      <c r="G251" s="1405">
        <f t="shared" si="64"/>
        <v>1</v>
      </c>
      <c r="H251" s="1411"/>
      <c r="I251" s="1405">
        <f t="shared" si="65"/>
        <v>1</v>
      </c>
      <c r="J251" s="1411"/>
      <c r="K251" s="1405">
        <f t="shared" si="66"/>
        <v>1</v>
      </c>
      <c r="L251" s="1411"/>
      <c r="M251" s="1405">
        <f t="shared" si="67"/>
        <v>1</v>
      </c>
      <c r="N251" s="1411"/>
      <c r="O251" s="1405">
        <f t="shared" si="68"/>
        <v>1</v>
      </c>
      <c r="P251" s="1411"/>
      <c r="Q251" s="1405">
        <f t="shared" si="69"/>
        <v>0</v>
      </c>
      <c r="R251" s="1476">
        <f t="shared" si="74"/>
        <v>0</v>
      </c>
      <c r="S251" s="1358">
        <f t="shared" si="75"/>
        <v>0</v>
      </c>
      <c r="T251" s="1485">
        <f t="shared" si="76"/>
        <v>0</v>
      </c>
      <c r="U251" s="1483">
        <f t="shared" si="70"/>
        <v>0</v>
      </c>
      <c r="V251" s="1483">
        <f t="shared" si="71"/>
        <v>0</v>
      </c>
      <c r="W251" s="1486"/>
      <c r="X251" s="1483">
        <f t="shared" si="72"/>
        <v>0</v>
      </c>
      <c r="Y251" s="1483">
        <f t="shared" si="73"/>
        <v>0</v>
      </c>
      <c r="Z251" s="1486"/>
    </row>
    <row r="252" spans="1:26">
      <c r="A252" s="1414"/>
      <c r="B252" s="1415"/>
      <c r="C252" s="1405">
        <f t="shared" si="62"/>
        <v>1</v>
      </c>
      <c r="D252" s="1411"/>
      <c r="E252" s="1405">
        <f t="shared" si="63"/>
        <v>0</v>
      </c>
      <c r="F252" s="1411"/>
      <c r="G252" s="1405">
        <f t="shared" si="64"/>
        <v>1</v>
      </c>
      <c r="H252" s="1411"/>
      <c r="I252" s="1405">
        <f t="shared" si="65"/>
        <v>1</v>
      </c>
      <c r="J252" s="1411"/>
      <c r="K252" s="1405">
        <f t="shared" si="66"/>
        <v>1</v>
      </c>
      <c r="L252" s="1411"/>
      <c r="M252" s="1405">
        <f t="shared" si="67"/>
        <v>1</v>
      </c>
      <c r="N252" s="1411"/>
      <c r="O252" s="1405">
        <f t="shared" si="68"/>
        <v>1</v>
      </c>
      <c r="P252" s="1411"/>
      <c r="Q252" s="1405">
        <f t="shared" si="69"/>
        <v>0</v>
      </c>
      <c r="R252" s="1476">
        <f t="shared" si="74"/>
        <v>0</v>
      </c>
      <c r="S252" s="1358">
        <f t="shared" si="75"/>
        <v>0</v>
      </c>
      <c r="T252" s="1485">
        <f t="shared" si="76"/>
        <v>0</v>
      </c>
      <c r="U252" s="1483">
        <f t="shared" si="70"/>
        <v>0</v>
      </c>
      <c r="V252" s="1483">
        <f t="shared" si="71"/>
        <v>0</v>
      </c>
      <c r="W252" s="1486"/>
      <c r="X252" s="1483">
        <f t="shared" si="72"/>
        <v>0</v>
      </c>
      <c r="Y252" s="1483">
        <f t="shared" si="73"/>
        <v>0</v>
      </c>
      <c r="Z252" s="1486"/>
    </row>
    <row r="253" spans="1:26">
      <c r="A253" s="1414"/>
      <c r="B253" s="1415"/>
      <c r="C253" s="1405">
        <f t="shared" si="62"/>
        <v>1</v>
      </c>
      <c r="D253" s="1411"/>
      <c r="E253" s="1405">
        <f t="shared" si="63"/>
        <v>0</v>
      </c>
      <c r="F253" s="1411"/>
      <c r="G253" s="1405">
        <f t="shared" si="64"/>
        <v>1</v>
      </c>
      <c r="H253" s="1411"/>
      <c r="I253" s="1405">
        <f t="shared" si="65"/>
        <v>1</v>
      </c>
      <c r="J253" s="1411"/>
      <c r="K253" s="1405">
        <f t="shared" si="66"/>
        <v>1</v>
      </c>
      <c r="L253" s="1411"/>
      <c r="M253" s="1405">
        <f t="shared" si="67"/>
        <v>1</v>
      </c>
      <c r="N253" s="1411"/>
      <c r="O253" s="1405">
        <f t="shared" si="68"/>
        <v>1</v>
      </c>
      <c r="P253" s="1411"/>
      <c r="Q253" s="1405">
        <f t="shared" si="69"/>
        <v>0</v>
      </c>
      <c r="R253" s="1476">
        <f t="shared" si="74"/>
        <v>0</v>
      </c>
      <c r="S253" s="1358">
        <f t="shared" si="75"/>
        <v>0</v>
      </c>
      <c r="T253" s="1485">
        <f t="shared" si="76"/>
        <v>0</v>
      </c>
      <c r="U253" s="1483">
        <f t="shared" si="70"/>
        <v>0</v>
      </c>
      <c r="V253" s="1483">
        <f t="shared" si="71"/>
        <v>0</v>
      </c>
      <c r="W253" s="1486"/>
      <c r="X253" s="1483">
        <f t="shared" si="72"/>
        <v>0</v>
      </c>
      <c r="Y253" s="1483">
        <f t="shared" si="73"/>
        <v>0</v>
      </c>
      <c r="Z253" s="1486"/>
    </row>
    <row r="254" spans="1:26">
      <c r="A254" s="1414"/>
      <c r="B254" s="1415"/>
      <c r="C254" s="1405">
        <f t="shared" si="62"/>
        <v>1</v>
      </c>
      <c r="D254" s="1411"/>
      <c r="E254" s="1405">
        <f t="shared" si="63"/>
        <v>0</v>
      </c>
      <c r="F254" s="1411"/>
      <c r="G254" s="1405">
        <f t="shared" si="64"/>
        <v>1</v>
      </c>
      <c r="H254" s="1411"/>
      <c r="I254" s="1405">
        <f t="shared" si="65"/>
        <v>1</v>
      </c>
      <c r="J254" s="1411"/>
      <c r="K254" s="1405">
        <f t="shared" si="66"/>
        <v>1</v>
      </c>
      <c r="L254" s="1411"/>
      <c r="M254" s="1405">
        <f t="shared" si="67"/>
        <v>1</v>
      </c>
      <c r="N254" s="1411"/>
      <c r="O254" s="1405">
        <f t="shared" si="68"/>
        <v>1</v>
      </c>
      <c r="P254" s="1411"/>
      <c r="Q254" s="1405">
        <f t="shared" si="69"/>
        <v>0</v>
      </c>
      <c r="R254" s="1476">
        <f t="shared" si="74"/>
        <v>0</v>
      </c>
      <c r="S254" s="1358">
        <f t="shared" si="75"/>
        <v>0</v>
      </c>
      <c r="T254" s="1485">
        <f t="shared" si="76"/>
        <v>0</v>
      </c>
      <c r="U254" s="1483">
        <f t="shared" si="70"/>
        <v>0</v>
      </c>
      <c r="V254" s="1483">
        <f t="shared" si="71"/>
        <v>0</v>
      </c>
      <c r="W254" s="1486"/>
      <c r="X254" s="1483">
        <f t="shared" si="72"/>
        <v>0</v>
      </c>
      <c r="Y254" s="1483">
        <f t="shared" si="73"/>
        <v>0</v>
      </c>
      <c r="Z254" s="1486"/>
    </row>
    <row r="255" spans="1:26">
      <c r="A255" s="1414"/>
      <c r="B255" s="1415"/>
      <c r="C255" s="1405">
        <f t="shared" si="62"/>
        <v>1</v>
      </c>
      <c r="D255" s="1411"/>
      <c r="E255" s="1405">
        <f t="shared" si="63"/>
        <v>0</v>
      </c>
      <c r="F255" s="1411"/>
      <c r="G255" s="1405">
        <f t="shared" si="64"/>
        <v>1</v>
      </c>
      <c r="H255" s="1411"/>
      <c r="I255" s="1405">
        <f t="shared" si="65"/>
        <v>1</v>
      </c>
      <c r="J255" s="1411"/>
      <c r="K255" s="1405">
        <f t="shared" si="66"/>
        <v>1</v>
      </c>
      <c r="L255" s="1411"/>
      <c r="M255" s="1405">
        <f t="shared" si="67"/>
        <v>1</v>
      </c>
      <c r="N255" s="1411"/>
      <c r="O255" s="1405">
        <f t="shared" si="68"/>
        <v>1</v>
      </c>
      <c r="P255" s="1411"/>
      <c r="Q255" s="1405">
        <f t="shared" si="69"/>
        <v>0</v>
      </c>
      <c r="R255" s="1476">
        <f t="shared" si="74"/>
        <v>0</v>
      </c>
      <c r="S255" s="1358">
        <f t="shared" si="75"/>
        <v>0</v>
      </c>
      <c r="T255" s="1485">
        <f t="shared" si="76"/>
        <v>0</v>
      </c>
      <c r="U255" s="1483">
        <f t="shared" si="70"/>
        <v>0</v>
      </c>
      <c r="V255" s="1483">
        <f t="shared" si="71"/>
        <v>0</v>
      </c>
      <c r="W255" s="1486"/>
      <c r="X255" s="1483">
        <f t="shared" si="72"/>
        <v>0</v>
      </c>
      <c r="Y255" s="1483">
        <f t="shared" si="73"/>
        <v>0</v>
      </c>
      <c r="Z255" s="1486"/>
    </row>
    <row r="256" spans="1:26">
      <c r="A256" s="1414"/>
      <c r="B256" s="1415"/>
      <c r="C256" s="1405">
        <f t="shared" si="62"/>
        <v>1</v>
      </c>
      <c r="D256" s="1411"/>
      <c r="E256" s="1405">
        <f t="shared" si="63"/>
        <v>0</v>
      </c>
      <c r="F256" s="1411"/>
      <c r="G256" s="1405">
        <f t="shared" si="64"/>
        <v>1</v>
      </c>
      <c r="H256" s="1411"/>
      <c r="I256" s="1405">
        <f t="shared" si="65"/>
        <v>1</v>
      </c>
      <c r="J256" s="1411"/>
      <c r="K256" s="1405">
        <f t="shared" si="66"/>
        <v>1</v>
      </c>
      <c r="L256" s="1411"/>
      <c r="M256" s="1405">
        <f t="shared" si="67"/>
        <v>1</v>
      </c>
      <c r="N256" s="1411"/>
      <c r="O256" s="1405">
        <f t="shared" si="68"/>
        <v>1</v>
      </c>
      <c r="P256" s="1411"/>
      <c r="Q256" s="1405">
        <f t="shared" si="69"/>
        <v>0</v>
      </c>
      <c r="R256" s="1476">
        <f t="shared" si="74"/>
        <v>0</v>
      </c>
      <c r="S256" s="1358">
        <f t="shared" si="75"/>
        <v>0</v>
      </c>
      <c r="T256" s="1485">
        <f t="shared" si="76"/>
        <v>0</v>
      </c>
      <c r="U256" s="1483">
        <f t="shared" si="70"/>
        <v>0</v>
      </c>
      <c r="V256" s="1483">
        <f t="shared" si="71"/>
        <v>0</v>
      </c>
      <c r="W256" s="1486"/>
      <c r="X256" s="1483">
        <f t="shared" si="72"/>
        <v>0</v>
      </c>
      <c r="Y256" s="1483">
        <f t="shared" si="73"/>
        <v>0</v>
      </c>
      <c r="Z256" s="1486"/>
    </row>
    <row r="257" spans="1:26">
      <c r="A257" s="1414"/>
      <c r="B257" s="1415"/>
      <c r="C257" s="1405">
        <f t="shared" si="62"/>
        <v>1</v>
      </c>
      <c r="D257" s="1411"/>
      <c r="E257" s="1405">
        <f t="shared" si="63"/>
        <v>0</v>
      </c>
      <c r="F257" s="1411"/>
      <c r="G257" s="1405">
        <f t="shared" si="64"/>
        <v>1</v>
      </c>
      <c r="H257" s="1411"/>
      <c r="I257" s="1405">
        <f t="shared" si="65"/>
        <v>1</v>
      </c>
      <c r="J257" s="1411"/>
      <c r="K257" s="1405">
        <f t="shared" si="66"/>
        <v>1</v>
      </c>
      <c r="L257" s="1411"/>
      <c r="M257" s="1405">
        <f t="shared" si="67"/>
        <v>1</v>
      </c>
      <c r="N257" s="1411"/>
      <c r="O257" s="1405">
        <f t="shared" si="68"/>
        <v>1</v>
      </c>
      <c r="P257" s="1411"/>
      <c r="Q257" s="1405">
        <f t="shared" si="69"/>
        <v>0</v>
      </c>
      <c r="R257" s="1476">
        <f t="shared" si="74"/>
        <v>0</v>
      </c>
      <c r="S257" s="1358">
        <f t="shared" si="75"/>
        <v>0</v>
      </c>
      <c r="T257" s="1485">
        <f t="shared" si="76"/>
        <v>0</v>
      </c>
      <c r="U257" s="1483">
        <f t="shared" si="70"/>
        <v>0</v>
      </c>
      <c r="V257" s="1483">
        <f t="shared" si="71"/>
        <v>0</v>
      </c>
      <c r="W257" s="1486"/>
      <c r="X257" s="1483">
        <f t="shared" si="72"/>
        <v>0</v>
      </c>
      <c r="Y257" s="1483">
        <f t="shared" si="73"/>
        <v>0</v>
      </c>
      <c r="Z257" s="1486"/>
    </row>
    <row r="258" spans="1:26">
      <c r="A258" s="1414"/>
      <c r="B258" s="1415"/>
      <c r="C258" s="1405">
        <f t="shared" si="62"/>
        <v>1</v>
      </c>
      <c r="D258" s="1411"/>
      <c r="E258" s="1405">
        <f t="shared" si="63"/>
        <v>0</v>
      </c>
      <c r="F258" s="1411"/>
      <c r="G258" s="1405">
        <f t="shared" si="64"/>
        <v>1</v>
      </c>
      <c r="H258" s="1411"/>
      <c r="I258" s="1405">
        <f t="shared" si="65"/>
        <v>1</v>
      </c>
      <c r="J258" s="1411"/>
      <c r="K258" s="1405">
        <f t="shared" si="66"/>
        <v>1</v>
      </c>
      <c r="L258" s="1411"/>
      <c r="M258" s="1405">
        <f t="shared" si="67"/>
        <v>1</v>
      </c>
      <c r="N258" s="1411"/>
      <c r="O258" s="1405">
        <f t="shared" si="68"/>
        <v>1</v>
      </c>
      <c r="P258" s="1411"/>
      <c r="Q258" s="1405">
        <f t="shared" si="69"/>
        <v>0</v>
      </c>
      <c r="R258" s="1476">
        <f t="shared" si="74"/>
        <v>0</v>
      </c>
      <c r="S258" s="1358">
        <f t="shared" si="75"/>
        <v>0</v>
      </c>
      <c r="T258" s="1485">
        <f t="shared" si="76"/>
        <v>0</v>
      </c>
      <c r="U258" s="1483">
        <f t="shared" si="70"/>
        <v>0</v>
      </c>
      <c r="V258" s="1483">
        <f t="shared" si="71"/>
        <v>0</v>
      </c>
      <c r="W258" s="1486"/>
      <c r="X258" s="1483">
        <f t="shared" si="72"/>
        <v>0</v>
      </c>
      <c r="Y258" s="1483">
        <f t="shared" si="73"/>
        <v>0</v>
      </c>
      <c r="Z258" s="1486"/>
    </row>
    <row r="259" spans="1:26">
      <c r="A259" s="1414"/>
      <c r="B259" s="1415"/>
      <c r="C259" s="1405">
        <f t="shared" si="62"/>
        <v>1</v>
      </c>
      <c r="D259" s="1411"/>
      <c r="E259" s="1405">
        <f t="shared" si="63"/>
        <v>0</v>
      </c>
      <c r="F259" s="1411"/>
      <c r="G259" s="1405">
        <f t="shared" si="64"/>
        <v>1</v>
      </c>
      <c r="H259" s="1411"/>
      <c r="I259" s="1405">
        <f t="shared" si="65"/>
        <v>1</v>
      </c>
      <c r="J259" s="1411"/>
      <c r="K259" s="1405">
        <f t="shared" si="66"/>
        <v>1</v>
      </c>
      <c r="L259" s="1411"/>
      <c r="M259" s="1405">
        <f t="shared" si="67"/>
        <v>1</v>
      </c>
      <c r="N259" s="1411"/>
      <c r="O259" s="1405">
        <f t="shared" si="68"/>
        <v>1</v>
      </c>
      <c r="P259" s="1411"/>
      <c r="Q259" s="1405">
        <f t="shared" si="69"/>
        <v>0</v>
      </c>
      <c r="R259" s="1476">
        <f t="shared" si="74"/>
        <v>0</v>
      </c>
      <c r="S259" s="1358">
        <f t="shared" si="75"/>
        <v>0</v>
      </c>
      <c r="T259" s="1485">
        <f t="shared" si="76"/>
        <v>0</v>
      </c>
      <c r="U259" s="1483">
        <f t="shared" si="70"/>
        <v>0</v>
      </c>
      <c r="V259" s="1483">
        <f t="shared" si="71"/>
        <v>0</v>
      </c>
      <c r="W259" s="1486"/>
      <c r="X259" s="1483">
        <f t="shared" si="72"/>
        <v>0</v>
      </c>
      <c r="Y259" s="1483">
        <f t="shared" si="73"/>
        <v>0</v>
      </c>
      <c r="Z259" s="1486"/>
    </row>
    <row r="260" spans="1:26">
      <c r="A260" s="1414"/>
      <c r="B260" s="1415"/>
      <c r="C260" s="1405">
        <f t="shared" si="62"/>
        <v>1</v>
      </c>
      <c r="D260" s="1411"/>
      <c r="E260" s="1405">
        <f t="shared" si="63"/>
        <v>0</v>
      </c>
      <c r="F260" s="1411"/>
      <c r="G260" s="1405">
        <f t="shared" si="64"/>
        <v>1</v>
      </c>
      <c r="H260" s="1411"/>
      <c r="I260" s="1405">
        <f t="shared" si="65"/>
        <v>1</v>
      </c>
      <c r="J260" s="1411"/>
      <c r="K260" s="1405">
        <f t="shared" si="66"/>
        <v>1</v>
      </c>
      <c r="L260" s="1411"/>
      <c r="M260" s="1405">
        <f t="shared" si="67"/>
        <v>1</v>
      </c>
      <c r="N260" s="1411"/>
      <c r="O260" s="1405">
        <f t="shared" si="68"/>
        <v>1</v>
      </c>
      <c r="P260" s="1411"/>
      <c r="Q260" s="1405">
        <f t="shared" si="69"/>
        <v>0</v>
      </c>
      <c r="R260" s="1476">
        <f t="shared" si="74"/>
        <v>0</v>
      </c>
      <c r="S260" s="1358">
        <f t="shared" si="75"/>
        <v>0</v>
      </c>
      <c r="T260" s="1485">
        <f t="shared" si="76"/>
        <v>0</v>
      </c>
      <c r="U260" s="1483">
        <f t="shared" si="70"/>
        <v>0</v>
      </c>
      <c r="V260" s="1483">
        <f t="shared" si="71"/>
        <v>0</v>
      </c>
      <c r="W260" s="1486"/>
      <c r="X260" s="1483">
        <f t="shared" si="72"/>
        <v>0</v>
      </c>
      <c r="Y260" s="1483">
        <f t="shared" si="73"/>
        <v>0</v>
      </c>
      <c r="Z260" s="1486"/>
    </row>
    <row r="261" spans="1:26">
      <c r="A261" s="1414"/>
      <c r="B261" s="1415"/>
      <c r="C261" s="1405">
        <f t="shared" si="62"/>
        <v>1</v>
      </c>
      <c r="D261" s="1411"/>
      <c r="E261" s="1405">
        <f t="shared" si="63"/>
        <v>0</v>
      </c>
      <c r="F261" s="1411"/>
      <c r="G261" s="1405">
        <f t="shared" si="64"/>
        <v>1</v>
      </c>
      <c r="H261" s="1411"/>
      <c r="I261" s="1405">
        <f t="shared" si="65"/>
        <v>1</v>
      </c>
      <c r="J261" s="1411"/>
      <c r="K261" s="1405">
        <f t="shared" si="66"/>
        <v>1</v>
      </c>
      <c r="L261" s="1411"/>
      <c r="M261" s="1405">
        <f t="shared" si="67"/>
        <v>1</v>
      </c>
      <c r="N261" s="1411"/>
      <c r="O261" s="1405">
        <f t="shared" si="68"/>
        <v>1</v>
      </c>
      <c r="P261" s="1411"/>
      <c r="Q261" s="1405">
        <f t="shared" si="69"/>
        <v>0</v>
      </c>
      <c r="R261" s="1476">
        <f t="shared" si="74"/>
        <v>0</v>
      </c>
      <c r="S261" s="1358">
        <f t="shared" si="75"/>
        <v>0</v>
      </c>
      <c r="T261" s="1485">
        <f t="shared" si="76"/>
        <v>0</v>
      </c>
      <c r="U261" s="1483">
        <f t="shared" si="70"/>
        <v>0</v>
      </c>
      <c r="V261" s="1483">
        <f t="shared" si="71"/>
        <v>0</v>
      </c>
      <c r="W261" s="1486"/>
      <c r="X261" s="1483">
        <f t="shared" si="72"/>
        <v>0</v>
      </c>
      <c r="Y261" s="1483">
        <f t="shared" si="73"/>
        <v>0</v>
      </c>
      <c r="Z261" s="1486"/>
    </row>
    <row r="262" spans="1:26">
      <c r="A262" s="1414"/>
      <c r="B262" s="1415"/>
      <c r="C262" s="1405">
        <f t="shared" si="62"/>
        <v>1</v>
      </c>
      <c r="D262" s="1411"/>
      <c r="E262" s="1405">
        <f t="shared" si="63"/>
        <v>0</v>
      </c>
      <c r="F262" s="1411"/>
      <c r="G262" s="1405">
        <f t="shared" si="64"/>
        <v>1</v>
      </c>
      <c r="H262" s="1411"/>
      <c r="I262" s="1405">
        <f t="shared" si="65"/>
        <v>1</v>
      </c>
      <c r="J262" s="1411"/>
      <c r="K262" s="1405">
        <f t="shared" si="66"/>
        <v>1</v>
      </c>
      <c r="L262" s="1411"/>
      <c r="M262" s="1405">
        <f t="shared" si="67"/>
        <v>1</v>
      </c>
      <c r="N262" s="1411"/>
      <c r="O262" s="1405">
        <f t="shared" si="68"/>
        <v>1</v>
      </c>
      <c r="P262" s="1411"/>
      <c r="Q262" s="1405">
        <f t="shared" si="69"/>
        <v>0</v>
      </c>
      <c r="R262" s="1476">
        <f t="shared" si="74"/>
        <v>0</v>
      </c>
      <c r="S262" s="1358">
        <f t="shared" si="75"/>
        <v>0</v>
      </c>
      <c r="T262" s="1485">
        <f t="shared" si="76"/>
        <v>0</v>
      </c>
      <c r="U262" s="1483">
        <f t="shared" si="70"/>
        <v>0</v>
      </c>
      <c r="V262" s="1483">
        <f t="shared" si="71"/>
        <v>0</v>
      </c>
      <c r="W262" s="1486"/>
      <c r="X262" s="1483">
        <f t="shared" si="72"/>
        <v>0</v>
      </c>
      <c r="Y262" s="1483">
        <f t="shared" si="73"/>
        <v>0</v>
      </c>
      <c r="Z262" s="1486"/>
    </row>
    <row r="263" spans="1:26">
      <c r="A263" s="1414"/>
      <c r="B263" s="1415"/>
      <c r="C263" s="1405">
        <f t="shared" si="62"/>
        <v>1</v>
      </c>
      <c r="D263" s="1411"/>
      <c r="E263" s="1405">
        <f t="shared" si="63"/>
        <v>0</v>
      </c>
      <c r="F263" s="1411"/>
      <c r="G263" s="1405">
        <f t="shared" si="64"/>
        <v>1</v>
      </c>
      <c r="H263" s="1411"/>
      <c r="I263" s="1405">
        <f t="shared" si="65"/>
        <v>1</v>
      </c>
      <c r="J263" s="1411"/>
      <c r="K263" s="1405">
        <f t="shared" si="66"/>
        <v>1</v>
      </c>
      <c r="L263" s="1411"/>
      <c r="M263" s="1405">
        <f t="shared" si="67"/>
        <v>1</v>
      </c>
      <c r="N263" s="1411"/>
      <c r="O263" s="1405">
        <f t="shared" si="68"/>
        <v>1</v>
      </c>
      <c r="P263" s="1411"/>
      <c r="Q263" s="1405">
        <f t="shared" si="69"/>
        <v>0</v>
      </c>
      <c r="R263" s="1476">
        <f t="shared" si="74"/>
        <v>0</v>
      </c>
      <c r="S263" s="1358">
        <f t="shared" si="75"/>
        <v>0</v>
      </c>
      <c r="T263" s="1485">
        <f t="shared" si="76"/>
        <v>0</v>
      </c>
      <c r="U263" s="1483">
        <f t="shared" si="70"/>
        <v>0</v>
      </c>
      <c r="V263" s="1483">
        <f t="shared" si="71"/>
        <v>0</v>
      </c>
      <c r="W263" s="1486"/>
      <c r="X263" s="1483">
        <f t="shared" si="72"/>
        <v>0</v>
      </c>
      <c r="Y263" s="1483">
        <f t="shared" si="73"/>
        <v>0</v>
      </c>
      <c r="Z263" s="1486"/>
    </row>
    <row r="264" spans="1:26">
      <c r="A264" s="1414"/>
      <c r="B264" s="1415"/>
      <c r="C264" s="1405">
        <f t="shared" si="62"/>
        <v>1</v>
      </c>
      <c r="D264" s="1411"/>
      <c r="E264" s="1405">
        <f t="shared" si="63"/>
        <v>0</v>
      </c>
      <c r="F264" s="1411"/>
      <c r="G264" s="1405">
        <f t="shared" si="64"/>
        <v>1</v>
      </c>
      <c r="H264" s="1411"/>
      <c r="I264" s="1405">
        <f t="shared" si="65"/>
        <v>1</v>
      </c>
      <c r="J264" s="1411"/>
      <c r="K264" s="1405">
        <f t="shared" si="66"/>
        <v>1</v>
      </c>
      <c r="L264" s="1411"/>
      <c r="M264" s="1405">
        <f t="shared" si="67"/>
        <v>1</v>
      </c>
      <c r="N264" s="1411"/>
      <c r="O264" s="1405">
        <f t="shared" si="68"/>
        <v>1</v>
      </c>
      <c r="P264" s="1411"/>
      <c r="Q264" s="1405">
        <f t="shared" si="69"/>
        <v>0</v>
      </c>
      <c r="R264" s="1476">
        <f t="shared" si="74"/>
        <v>0</v>
      </c>
      <c r="S264" s="1358">
        <f t="shared" si="75"/>
        <v>0</v>
      </c>
      <c r="T264" s="1485">
        <f t="shared" si="76"/>
        <v>0</v>
      </c>
      <c r="U264" s="1483">
        <f t="shared" si="70"/>
        <v>0</v>
      </c>
      <c r="V264" s="1483">
        <f t="shared" si="71"/>
        <v>0</v>
      </c>
      <c r="W264" s="1486"/>
      <c r="X264" s="1483">
        <f t="shared" si="72"/>
        <v>0</v>
      </c>
      <c r="Y264" s="1483">
        <f t="shared" si="73"/>
        <v>0</v>
      </c>
      <c r="Z264" s="1486"/>
    </row>
    <row r="265" spans="1:26">
      <c r="A265" s="1414"/>
      <c r="B265" s="1415"/>
      <c r="C265" s="1405">
        <f t="shared" si="62"/>
        <v>1</v>
      </c>
      <c r="D265" s="1411"/>
      <c r="E265" s="1405">
        <f t="shared" si="63"/>
        <v>0</v>
      </c>
      <c r="F265" s="1411"/>
      <c r="G265" s="1405">
        <f t="shared" si="64"/>
        <v>1</v>
      </c>
      <c r="H265" s="1411"/>
      <c r="I265" s="1405">
        <f t="shared" si="65"/>
        <v>1</v>
      </c>
      <c r="J265" s="1411"/>
      <c r="K265" s="1405">
        <f t="shared" si="66"/>
        <v>1</v>
      </c>
      <c r="L265" s="1411"/>
      <c r="M265" s="1405">
        <f t="shared" si="67"/>
        <v>1</v>
      </c>
      <c r="N265" s="1411"/>
      <c r="O265" s="1405">
        <f t="shared" si="68"/>
        <v>1</v>
      </c>
      <c r="P265" s="1411"/>
      <c r="Q265" s="1405">
        <f t="shared" si="69"/>
        <v>0</v>
      </c>
      <c r="R265" s="1476">
        <f t="shared" si="74"/>
        <v>0</v>
      </c>
      <c r="S265" s="1358">
        <f t="shared" si="75"/>
        <v>0</v>
      </c>
      <c r="T265" s="1485">
        <f t="shared" si="76"/>
        <v>0</v>
      </c>
      <c r="U265" s="1483">
        <f t="shared" si="70"/>
        <v>0</v>
      </c>
      <c r="V265" s="1483">
        <f t="shared" si="71"/>
        <v>0</v>
      </c>
      <c r="W265" s="1486"/>
      <c r="X265" s="1483">
        <f t="shared" si="72"/>
        <v>0</v>
      </c>
      <c r="Y265" s="1483">
        <f t="shared" si="73"/>
        <v>0</v>
      </c>
      <c r="Z265" s="1486"/>
    </row>
    <row r="266" spans="1:26">
      <c r="A266" s="1414"/>
      <c r="B266" s="1415"/>
      <c r="C266" s="1405">
        <f t="shared" si="62"/>
        <v>1</v>
      </c>
      <c r="D266" s="1411"/>
      <c r="E266" s="1405">
        <f t="shared" si="63"/>
        <v>0</v>
      </c>
      <c r="F266" s="1411"/>
      <c r="G266" s="1405">
        <f t="shared" si="64"/>
        <v>1</v>
      </c>
      <c r="H266" s="1411"/>
      <c r="I266" s="1405">
        <f t="shared" si="65"/>
        <v>1</v>
      </c>
      <c r="J266" s="1411"/>
      <c r="K266" s="1405">
        <f t="shared" si="66"/>
        <v>1</v>
      </c>
      <c r="L266" s="1411"/>
      <c r="M266" s="1405">
        <f t="shared" si="67"/>
        <v>1</v>
      </c>
      <c r="N266" s="1411"/>
      <c r="O266" s="1405">
        <f t="shared" si="68"/>
        <v>1</v>
      </c>
      <c r="P266" s="1411"/>
      <c r="Q266" s="1405">
        <f t="shared" si="69"/>
        <v>0</v>
      </c>
      <c r="R266" s="1476">
        <f t="shared" si="74"/>
        <v>0</v>
      </c>
      <c r="S266" s="1358">
        <f t="shared" si="75"/>
        <v>0</v>
      </c>
      <c r="T266" s="1485">
        <f t="shared" si="76"/>
        <v>0</v>
      </c>
      <c r="U266" s="1483">
        <f t="shared" si="70"/>
        <v>0</v>
      </c>
      <c r="V266" s="1483">
        <f t="shared" si="71"/>
        <v>0</v>
      </c>
      <c r="W266" s="1486"/>
      <c r="X266" s="1483">
        <f t="shared" si="72"/>
        <v>0</v>
      </c>
      <c r="Y266" s="1483">
        <f t="shared" si="73"/>
        <v>0</v>
      </c>
      <c r="Z266" s="1486"/>
    </row>
    <row r="267" spans="1:26">
      <c r="A267" s="1414"/>
      <c r="B267" s="1415"/>
      <c r="C267" s="1405">
        <f t="shared" si="62"/>
        <v>1</v>
      </c>
      <c r="D267" s="1411"/>
      <c r="E267" s="1405">
        <f t="shared" si="63"/>
        <v>0</v>
      </c>
      <c r="F267" s="1411"/>
      <c r="G267" s="1405">
        <f t="shared" si="64"/>
        <v>1</v>
      </c>
      <c r="H267" s="1411"/>
      <c r="I267" s="1405">
        <f t="shared" si="65"/>
        <v>1</v>
      </c>
      <c r="J267" s="1411"/>
      <c r="K267" s="1405">
        <f t="shared" si="66"/>
        <v>1</v>
      </c>
      <c r="L267" s="1411"/>
      <c r="M267" s="1405">
        <f t="shared" si="67"/>
        <v>1</v>
      </c>
      <c r="N267" s="1411"/>
      <c r="O267" s="1405">
        <f t="shared" si="68"/>
        <v>1</v>
      </c>
      <c r="P267" s="1411"/>
      <c r="Q267" s="1405">
        <f t="shared" si="69"/>
        <v>0</v>
      </c>
      <c r="R267" s="1476">
        <f t="shared" si="74"/>
        <v>0</v>
      </c>
      <c r="S267" s="1358">
        <f t="shared" si="75"/>
        <v>0</v>
      </c>
      <c r="T267" s="1485">
        <f t="shared" si="76"/>
        <v>0</v>
      </c>
      <c r="U267" s="1483">
        <f t="shared" si="70"/>
        <v>0</v>
      </c>
      <c r="V267" s="1483">
        <f t="shared" si="71"/>
        <v>0</v>
      </c>
      <c r="W267" s="1486"/>
      <c r="X267" s="1483">
        <f t="shared" si="72"/>
        <v>0</v>
      </c>
      <c r="Y267" s="1483">
        <f t="shared" si="73"/>
        <v>0</v>
      </c>
      <c r="Z267" s="1486"/>
    </row>
    <row r="268" spans="1:26">
      <c r="A268" s="1414"/>
      <c r="B268" s="1415"/>
      <c r="C268" s="1405">
        <f t="shared" si="62"/>
        <v>1</v>
      </c>
      <c r="D268" s="1411"/>
      <c r="E268" s="1405">
        <f t="shared" si="63"/>
        <v>0</v>
      </c>
      <c r="F268" s="1411"/>
      <c r="G268" s="1405">
        <f t="shared" si="64"/>
        <v>1</v>
      </c>
      <c r="H268" s="1411"/>
      <c r="I268" s="1405">
        <f t="shared" si="65"/>
        <v>1</v>
      </c>
      <c r="J268" s="1411"/>
      <c r="K268" s="1405">
        <f t="shared" si="66"/>
        <v>1</v>
      </c>
      <c r="L268" s="1411"/>
      <c r="M268" s="1405">
        <f t="shared" si="67"/>
        <v>1</v>
      </c>
      <c r="N268" s="1411"/>
      <c r="O268" s="1405">
        <f t="shared" si="68"/>
        <v>1</v>
      </c>
      <c r="P268" s="1411"/>
      <c r="Q268" s="1405">
        <f t="shared" si="69"/>
        <v>0</v>
      </c>
      <c r="R268" s="1476">
        <f t="shared" si="74"/>
        <v>0</v>
      </c>
      <c r="S268" s="1358">
        <f t="shared" si="75"/>
        <v>0</v>
      </c>
      <c r="T268" s="1485">
        <f t="shared" si="76"/>
        <v>0</v>
      </c>
      <c r="U268" s="1483">
        <f t="shared" si="70"/>
        <v>0</v>
      </c>
      <c r="V268" s="1483">
        <f t="shared" si="71"/>
        <v>0</v>
      </c>
      <c r="W268" s="1486"/>
      <c r="X268" s="1483">
        <f t="shared" si="72"/>
        <v>0</v>
      </c>
      <c r="Y268" s="1483">
        <f t="shared" si="73"/>
        <v>0</v>
      </c>
      <c r="Z268" s="1486"/>
    </row>
    <row r="269" spans="1:26">
      <c r="A269" s="1414"/>
      <c r="B269" s="1415"/>
      <c r="C269" s="1405">
        <f t="shared" si="62"/>
        <v>1</v>
      </c>
      <c r="D269" s="1411"/>
      <c r="E269" s="1405">
        <f t="shared" si="63"/>
        <v>0</v>
      </c>
      <c r="F269" s="1411"/>
      <c r="G269" s="1405">
        <f t="shared" si="64"/>
        <v>1</v>
      </c>
      <c r="H269" s="1411"/>
      <c r="I269" s="1405">
        <f t="shared" si="65"/>
        <v>1</v>
      </c>
      <c r="J269" s="1411"/>
      <c r="K269" s="1405">
        <f t="shared" si="66"/>
        <v>1</v>
      </c>
      <c r="L269" s="1411"/>
      <c r="M269" s="1405">
        <f t="shared" si="67"/>
        <v>1</v>
      </c>
      <c r="N269" s="1411"/>
      <c r="O269" s="1405">
        <f t="shared" si="68"/>
        <v>1</v>
      </c>
      <c r="P269" s="1411"/>
      <c r="Q269" s="1405">
        <f t="shared" si="69"/>
        <v>0</v>
      </c>
      <c r="R269" s="1476">
        <f t="shared" si="74"/>
        <v>0</v>
      </c>
      <c r="S269" s="1358">
        <f t="shared" si="75"/>
        <v>0</v>
      </c>
      <c r="T269" s="1485">
        <f t="shared" si="76"/>
        <v>0</v>
      </c>
      <c r="U269" s="1483">
        <f t="shared" si="70"/>
        <v>0</v>
      </c>
      <c r="V269" s="1483">
        <f t="shared" si="71"/>
        <v>0</v>
      </c>
      <c r="W269" s="1486"/>
      <c r="X269" s="1483">
        <f t="shared" si="72"/>
        <v>0</v>
      </c>
      <c r="Y269" s="1483">
        <f t="shared" si="73"/>
        <v>0</v>
      </c>
      <c r="Z269" s="1486"/>
    </row>
    <row r="270" spans="1:26">
      <c r="A270" s="1414"/>
      <c r="B270" s="1415"/>
      <c r="C270" s="1405">
        <f t="shared" si="62"/>
        <v>1</v>
      </c>
      <c r="D270" s="1411"/>
      <c r="E270" s="1405">
        <f t="shared" si="63"/>
        <v>0</v>
      </c>
      <c r="F270" s="1411"/>
      <c r="G270" s="1405">
        <f t="shared" si="64"/>
        <v>1</v>
      </c>
      <c r="H270" s="1411"/>
      <c r="I270" s="1405">
        <f t="shared" si="65"/>
        <v>1</v>
      </c>
      <c r="J270" s="1411"/>
      <c r="K270" s="1405">
        <f t="shared" si="66"/>
        <v>1</v>
      </c>
      <c r="L270" s="1411"/>
      <c r="M270" s="1405">
        <f t="shared" si="67"/>
        <v>1</v>
      </c>
      <c r="N270" s="1411"/>
      <c r="O270" s="1405">
        <f t="shared" si="68"/>
        <v>1</v>
      </c>
      <c r="P270" s="1411"/>
      <c r="Q270" s="1405">
        <f t="shared" si="69"/>
        <v>0</v>
      </c>
      <c r="R270" s="1476">
        <f t="shared" si="74"/>
        <v>0</v>
      </c>
      <c r="S270" s="1358">
        <f t="shared" si="75"/>
        <v>0</v>
      </c>
      <c r="T270" s="1485">
        <f t="shared" si="76"/>
        <v>0</v>
      </c>
      <c r="U270" s="1483">
        <f t="shared" si="70"/>
        <v>0</v>
      </c>
      <c r="V270" s="1483">
        <f t="shared" si="71"/>
        <v>0</v>
      </c>
      <c r="W270" s="1486"/>
      <c r="X270" s="1483">
        <f t="shared" si="72"/>
        <v>0</v>
      </c>
      <c r="Y270" s="1483">
        <f t="shared" si="73"/>
        <v>0</v>
      </c>
      <c r="Z270" s="1486"/>
    </row>
    <row r="271" spans="1:26">
      <c r="A271" s="1414"/>
      <c r="B271" s="1415"/>
      <c r="C271" s="1405">
        <f t="shared" si="62"/>
        <v>1</v>
      </c>
      <c r="D271" s="1411"/>
      <c r="E271" s="1405">
        <f t="shared" si="63"/>
        <v>0</v>
      </c>
      <c r="F271" s="1411"/>
      <c r="G271" s="1405">
        <f t="shared" si="64"/>
        <v>1</v>
      </c>
      <c r="H271" s="1411"/>
      <c r="I271" s="1405">
        <f t="shared" si="65"/>
        <v>1</v>
      </c>
      <c r="J271" s="1411"/>
      <c r="K271" s="1405">
        <f t="shared" si="66"/>
        <v>1</v>
      </c>
      <c r="L271" s="1411"/>
      <c r="M271" s="1405">
        <f t="shared" si="67"/>
        <v>1</v>
      </c>
      <c r="N271" s="1411"/>
      <c r="O271" s="1405">
        <f t="shared" si="68"/>
        <v>1</v>
      </c>
      <c r="P271" s="1411"/>
      <c r="Q271" s="1405">
        <f t="shared" si="69"/>
        <v>0</v>
      </c>
      <c r="R271" s="1476">
        <f t="shared" si="74"/>
        <v>0</v>
      </c>
      <c r="S271" s="1358">
        <f t="shared" si="75"/>
        <v>0</v>
      </c>
      <c r="T271" s="1485">
        <f t="shared" si="76"/>
        <v>0</v>
      </c>
      <c r="U271" s="1483">
        <f t="shared" si="70"/>
        <v>0</v>
      </c>
      <c r="V271" s="1483">
        <f t="shared" si="71"/>
        <v>0</v>
      </c>
      <c r="W271" s="1486"/>
      <c r="X271" s="1483">
        <f t="shared" si="72"/>
        <v>0</v>
      </c>
      <c r="Y271" s="1483">
        <f t="shared" si="73"/>
        <v>0</v>
      </c>
      <c r="Z271" s="1486"/>
    </row>
    <row r="272" spans="1:26">
      <c r="A272" s="1414"/>
      <c r="B272" s="1415"/>
      <c r="C272" s="1405">
        <f t="shared" si="62"/>
        <v>1</v>
      </c>
      <c r="D272" s="1411"/>
      <c r="E272" s="1405">
        <f t="shared" si="63"/>
        <v>0</v>
      </c>
      <c r="F272" s="1411"/>
      <c r="G272" s="1405">
        <f t="shared" si="64"/>
        <v>1</v>
      </c>
      <c r="H272" s="1411"/>
      <c r="I272" s="1405">
        <f t="shared" si="65"/>
        <v>1</v>
      </c>
      <c r="J272" s="1411"/>
      <c r="K272" s="1405">
        <f t="shared" si="66"/>
        <v>1</v>
      </c>
      <c r="L272" s="1411"/>
      <c r="M272" s="1405">
        <f t="shared" si="67"/>
        <v>1</v>
      </c>
      <c r="N272" s="1411"/>
      <c r="O272" s="1405">
        <f t="shared" si="68"/>
        <v>1</v>
      </c>
      <c r="P272" s="1411"/>
      <c r="Q272" s="1405">
        <f t="shared" si="69"/>
        <v>0</v>
      </c>
      <c r="R272" s="1476">
        <f t="shared" si="74"/>
        <v>0</v>
      </c>
      <c r="S272" s="1358">
        <f t="shared" si="75"/>
        <v>0</v>
      </c>
      <c r="T272" s="1485">
        <f t="shared" si="76"/>
        <v>0</v>
      </c>
      <c r="U272" s="1483">
        <f t="shared" si="70"/>
        <v>0</v>
      </c>
      <c r="V272" s="1483">
        <f t="shared" si="71"/>
        <v>0</v>
      </c>
      <c r="W272" s="1486"/>
      <c r="X272" s="1483">
        <f t="shared" si="72"/>
        <v>0</v>
      </c>
      <c r="Y272" s="1483">
        <f t="shared" si="73"/>
        <v>0</v>
      </c>
      <c r="Z272" s="1486"/>
    </row>
    <row r="273" spans="1:26">
      <c r="A273" s="1414"/>
      <c r="B273" s="1415"/>
      <c r="C273" s="1405">
        <f t="shared" si="62"/>
        <v>1</v>
      </c>
      <c r="D273" s="1411"/>
      <c r="E273" s="1405">
        <f t="shared" si="63"/>
        <v>0</v>
      </c>
      <c r="F273" s="1411"/>
      <c r="G273" s="1405">
        <f t="shared" si="64"/>
        <v>1</v>
      </c>
      <c r="H273" s="1411"/>
      <c r="I273" s="1405">
        <f t="shared" si="65"/>
        <v>1</v>
      </c>
      <c r="J273" s="1411"/>
      <c r="K273" s="1405">
        <f t="shared" si="66"/>
        <v>1</v>
      </c>
      <c r="L273" s="1411"/>
      <c r="M273" s="1405">
        <f t="shared" si="67"/>
        <v>1</v>
      </c>
      <c r="N273" s="1411"/>
      <c r="O273" s="1405">
        <f t="shared" si="68"/>
        <v>1</v>
      </c>
      <c r="P273" s="1411"/>
      <c r="Q273" s="1405">
        <f t="shared" si="69"/>
        <v>0</v>
      </c>
      <c r="R273" s="1476">
        <f t="shared" si="74"/>
        <v>0</v>
      </c>
      <c r="S273" s="1358">
        <f t="shared" si="75"/>
        <v>0</v>
      </c>
      <c r="T273" s="1485">
        <f t="shared" si="76"/>
        <v>0</v>
      </c>
      <c r="U273" s="1483">
        <f t="shared" si="70"/>
        <v>0</v>
      </c>
      <c r="V273" s="1483">
        <f t="shared" si="71"/>
        <v>0</v>
      </c>
      <c r="W273" s="1486"/>
      <c r="X273" s="1483">
        <f t="shared" si="72"/>
        <v>0</v>
      </c>
      <c r="Y273" s="1483">
        <f t="shared" si="73"/>
        <v>0</v>
      </c>
      <c r="Z273" s="1486"/>
    </row>
    <row r="274" spans="1:26">
      <c r="A274" s="1414"/>
      <c r="B274" s="1415"/>
      <c r="C274" s="1405">
        <f t="shared" si="62"/>
        <v>1</v>
      </c>
      <c r="D274" s="1411"/>
      <c r="E274" s="1405">
        <f t="shared" si="63"/>
        <v>0</v>
      </c>
      <c r="F274" s="1411"/>
      <c r="G274" s="1405">
        <f t="shared" si="64"/>
        <v>1</v>
      </c>
      <c r="H274" s="1411"/>
      <c r="I274" s="1405">
        <f t="shared" si="65"/>
        <v>1</v>
      </c>
      <c r="J274" s="1411"/>
      <c r="K274" s="1405">
        <f t="shared" si="66"/>
        <v>1</v>
      </c>
      <c r="L274" s="1411"/>
      <c r="M274" s="1405">
        <f t="shared" si="67"/>
        <v>1</v>
      </c>
      <c r="N274" s="1411"/>
      <c r="O274" s="1405">
        <f t="shared" si="68"/>
        <v>1</v>
      </c>
      <c r="P274" s="1411"/>
      <c r="Q274" s="1405">
        <f t="shared" si="69"/>
        <v>0</v>
      </c>
      <c r="R274" s="1476">
        <f t="shared" si="74"/>
        <v>0</v>
      </c>
      <c r="S274" s="1358">
        <f t="shared" si="75"/>
        <v>0</v>
      </c>
      <c r="T274" s="1485">
        <f t="shared" si="76"/>
        <v>0</v>
      </c>
      <c r="U274" s="1483">
        <f t="shared" si="70"/>
        <v>0</v>
      </c>
      <c r="V274" s="1483">
        <f t="shared" si="71"/>
        <v>0</v>
      </c>
      <c r="W274" s="1486"/>
      <c r="X274" s="1483">
        <f t="shared" si="72"/>
        <v>0</v>
      </c>
      <c r="Y274" s="1483">
        <f t="shared" si="73"/>
        <v>0</v>
      </c>
      <c r="Z274" s="1486"/>
    </row>
    <row r="275" spans="1:26">
      <c r="A275" s="1414"/>
      <c r="B275" s="1415"/>
      <c r="C275" s="1405">
        <f t="shared" si="62"/>
        <v>1</v>
      </c>
      <c r="D275" s="1411"/>
      <c r="E275" s="1405">
        <f t="shared" si="63"/>
        <v>0</v>
      </c>
      <c r="F275" s="1411"/>
      <c r="G275" s="1405">
        <f t="shared" si="64"/>
        <v>1</v>
      </c>
      <c r="H275" s="1411"/>
      <c r="I275" s="1405">
        <f t="shared" si="65"/>
        <v>1</v>
      </c>
      <c r="J275" s="1411"/>
      <c r="K275" s="1405">
        <f t="shared" si="66"/>
        <v>1</v>
      </c>
      <c r="L275" s="1411"/>
      <c r="M275" s="1405">
        <f t="shared" si="67"/>
        <v>1</v>
      </c>
      <c r="N275" s="1411"/>
      <c r="O275" s="1405">
        <f t="shared" si="68"/>
        <v>1</v>
      </c>
      <c r="P275" s="1411"/>
      <c r="Q275" s="1405">
        <f t="shared" si="69"/>
        <v>0</v>
      </c>
      <c r="R275" s="1476">
        <f t="shared" si="74"/>
        <v>0</v>
      </c>
      <c r="S275" s="1358">
        <f t="shared" si="75"/>
        <v>0</v>
      </c>
      <c r="T275" s="1485">
        <f t="shared" si="76"/>
        <v>0</v>
      </c>
      <c r="U275" s="1483">
        <f t="shared" si="70"/>
        <v>0</v>
      </c>
      <c r="V275" s="1483">
        <f t="shared" si="71"/>
        <v>0</v>
      </c>
      <c r="W275" s="1486"/>
      <c r="X275" s="1483">
        <f t="shared" si="72"/>
        <v>0</v>
      </c>
      <c r="Y275" s="1483">
        <f t="shared" si="73"/>
        <v>0</v>
      </c>
      <c r="Z275" s="1486"/>
    </row>
    <row r="276" spans="1:26">
      <c r="A276" s="1414"/>
      <c r="B276" s="1415"/>
      <c r="C276" s="1405">
        <f t="shared" si="62"/>
        <v>1</v>
      </c>
      <c r="D276" s="1411"/>
      <c r="E276" s="1405">
        <f t="shared" si="63"/>
        <v>0</v>
      </c>
      <c r="F276" s="1411"/>
      <c r="G276" s="1405">
        <f t="shared" si="64"/>
        <v>1</v>
      </c>
      <c r="H276" s="1411"/>
      <c r="I276" s="1405">
        <f t="shared" si="65"/>
        <v>1</v>
      </c>
      <c r="J276" s="1411"/>
      <c r="K276" s="1405">
        <f t="shared" si="66"/>
        <v>1</v>
      </c>
      <c r="L276" s="1411"/>
      <c r="M276" s="1405">
        <f t="shared" si="67"/>
        <v>1</v>
      </c>
      <c r="N276" s="1411"/>
      <c r="O276" s="1405">
        <f t="shared" si="68"/>
        <v>1</v>
      </c>
      <c r="P276" s="1411"/>
      <c r="Q276" s="1405">
        <f t="shared" si="69"/>
        <v>0</v>
      </c>
      <c r="R276" s="1476">
        <f t="shared" si="74"/>
        <v>0</v>
      </c>
      <c r="S276" s="1358">
        <f t="shared" si="75"/>
        <v>0</v>
      </c>
      <c r="T276" s="1485">
        <f t="shared" si="76"/>
        <v>0</v>
      </c>
      <c r="U276" s="1483">
        <f t="shared" si="70"/>
        <v>0</v>
      </c>
      <c r="V276" s="1483">
        <f t="shared" si="71"/>
        <v>0</v>
      </c>
      <c r="W276" s="1486"/>
      <c r="X276" s="1483">
        <f t="shared" si="72"/>
        <v>0</v>
      </c>
      <c r="Y276" s="1483">
        <f t="shared" si="73"/>
        <v>0</v>
      </c>
      <c r="Z276" s="1486"/>
    </row>
    <row r="277" spans="1:26">
      <c r="A277" s="1414"/>
      <c r="B277" s="1415"/>
      <c r="C277" s="1405">
        <f t="shared" si="62"/>
        <v>1</v>
      </c>
      <c r="D277" s="1411"/>
      <c r="E277" s="1405">
        <f t="shared" si="63"/>
        <v>0</v>
      </c>
      <c r="F277" s="1411"/>
      <c r="G277" s="1405">
        <f t="shared" si="64"/>
        <v>1</v>
      </c>
      <c r="H277" s="1411"/>
      <c r="I277" s="1405">
        <f t="shared" si="65"/>
        <v>1</v>
      </c>
      <c r="J277" s="1411"/>
      <c r="K277" s="1405">
        <f t="shared" si="66"/>
        <v>1</v>
      </c>
      <c r="L277" s="1411"/>
      <c r="M277" s="1405">
        <f t="shared" si="67"/>
        <v>1</v>
      </c>
      <c r="N277" s="1411"/>
      <c r="O277" s="1405">
        <f t="shared" si="68"/>
        <v>1</v>
      </c>
      <c r="P277" s="1411"/>
      <c r="Q277" s="1405">
        <f t="shared" si="69"/>
        <v>0</v>
      </c>
      <c r="R277" s="1476">
        <f t="shared" si="74"/>
        <v>0</v>
      </c>
      <c r="S277" s="1358">
        <f t="shared" si="75"/>
        <v>0</v>
      </c>
      <c r="T277" s="1485">
        <f t="shared" si="76"/>
        <v>0</v>
      </c>
      <c r="U277" s="1483">
        <f t="shared" si="70"/>
        <v>0</v>
      </c>
      <c r="V277" s="1483">
        <f t="shared" si="71"/>
        <v>0</v>
      </c>
      <c r="W277" s="1486"/>
      <c r="X277" s="1483">
        <f t="shared" si="72"/>
        <v>0</v>
      </c>
      <c r="Y277" s="1483">
        <f t="shared" si="73"/>
        <v>0</v>
      </c>
      <c r="Z277" s="1486"/>
    </row>
    <row r="278" spans="1:26">
      <c r="A278" s="1414"/>
      <c r="B278" s="1415"/>
      <c r="C278" s="1405">
        <f t="shared" si="62"/>
        <v>1</v>
      </c>
      <c r="D278" s="1411"/>
      <c r="E278" s="1405">
        <f t="shared" si="63"/>
        <v>0</v>
      </c>
      <c r="F278" s="1411"/>
      <c r="G278" s="1405">
        <f t="shared" si="64"/>
        <v>1</v>
      </c>
      <c r="H278" s="1411"/>
      <c r="I278" s="1405">
        <f t="shared" si="65"/>
        <v>1</v>
      </c>
      <c r="J278" s="1411"/>
      <c r="K278" s="1405">
        <f t="shared" si="66"/>
        <v>1</v>
      </c>
      <c r="L278" s="1411"/>
      <c r="M278" s="1405">
        <f t="shared" si="67"/>
        <v>1</v>
      </c>
      <c r="N278" s="1411"/>
      <c r="O278" s="1405">
        <f t="shared" si="68"/>
        <v>1</v>
      </c>
      <c r="P278" s="1411"/>
      <c r="Q278" s="1405">
        <f t="shared" si="69"/>
        <v>0</v>
      </c>
      <c r="R278" s="1476">
        <f t="shared" si="74"/>
        <v>0</v>
      </c>
      <c r="S278" s="1358">
        <f t="shared" si="75"/>
        <v>0</v>
      </c>
      <c r="T278" s="1485">
        <f t="shared" si="76"/>
        <v>0</v>
      </c>
      <c r="U278" s="1483">
        <f t="shared" si="70"/>
        <v>0</v>
      </c>
      <c r="V278" s="1483">
        <f t="shared" si="71"/>
        <v>0</v>
      </c>
      <c r="W278" s="1486"/>
      <c r="X278" s="1483">
        <f t="shared" si="72"/>
        <v>0</v>
      </c>
      <c r="Y278" s="1483">
        <f t="shared" si="73"/>
        <v>0</v>
      </c>
      <c r="Z278" s="1486"/>
    </row>
    <row r="279" spans="1:26">
      <c r="A279" s="1414"/>
      <c r="B279" s="1415"/>
      <c r="C279" s="1405">
        <f t="shared" si="62"/>
        <v>1</v>
      </c>
      <c r="D279" s="1411"/>
      <c r="E279" s="1405">
        <f t="shared" si="63"/>
        <v>0</v>
      </c>
      <c r="F279" s="1411"/>
      <c r="G279" s="1405">
        <f t="shared" si="64"/>
        <v>1</v>
      </c>
      <c r="H279" s="1411"/>
      <c r="I279" s="1405">
        <f t="shared" si="65"/>
        <v>1</v>
      </c>
      <c r="J279" s="1411"/>
      <c r="K279" s="1405">
        <f t="shared" si="66"/>
        <v>1</v>
      </c>
      <c r="L279" s="1411"/>
      <c r="M279" s="1405">
        <f t="shared" si="67"/>
        <v>1</v>
      </c>
      <c r="N279" s="1411"/>
      <c r="O279" s="1405">
        <f t="shared" si="68"/>
        <v>1</v>
      </c>
      <c r="P279" s="1411"/>
      <c r="Q279" s="1405">
        <f t="shared" si="69"/>
        <v>0</v>
      </c>
      <c r="R279" s="1476">
        <f t="shared" si="74"/>
        <v>0</v>
      </c>
      <c r="S279" s="1358">
        <f t="shared" si="75"/>
        <v>0</v>
      </c>
      <c r="T279" s="1485">
        <f t="shared" si="76"/>
        <v>0</v>
      </c>
      <c r="U279" s="1483">
        <f t="shared" si="70"/>
        <v>0</v>
      </c>
      <c r="V279" s="1483">
        <f t="shared" si="71"/>
        <v>0</v>
      </c>
      <c r="W279" s="1486"/>
      <c r="X279" s="1483">
        <f t="shared" si="72"/>
        <v>0</v>
      </c>
      <c r="Y279" s="1483">
        <f t="shared" si="73"/>
        <v>0</v>
      </c>
      <c r="Z279" s="1486"/>
    </row>
    <row r="280" spans="1:26">
      <c r="A280" s="1414"/>
      <c r="B280" s="1415"/>
      <c r="C280" s="1405">
        <f t="shared" si="62"/>
        <v>1</v>
      </c>
      <c r="D280" s="1411"/>
      <c r="E280" s="1405">
        <f t="shared" si="63"/>
        <v>0</v>
      </c>
      <c r="F280" s="1411"/>
      <c r="G280" s="1405">
        <f t="shared" si="64"/>
        <v>1</v>
      </c>
      <c r="H280" s="1411"/>
      <c r="I280" s="1405">
        <f t="shared" si="65"/>
        <v>1</v>
      </c>
      <c r="J280" s="1411"/>
      <c r="K280" s="1405">
        <f t="shared" si="66"/>
        <v>1</v>
      </c>
      <c r="L280" s="1411"/>
      <c r="M280" s="1405">
        <f t="shared" si="67"/>
        <v>1</v>
      </c>
      <c r="N280" s="1411"/>
      <c r="O280" s="1405">
        <f t="shared" si="68"/>
        <v>1</v>
      </c>
      <c r="P280" s="1411"/>
      <c r="Q280" s="1405">
        <f t="shared" si="69"/>
        <v>0</v>
      </c>
      <c r="R280" s="1476">
        <f t="shared" si="74"/>
        <v>0</v>
      </c>
      <c r="S280" s="1358">
        <f t="shared" si="75"/>
        <v>0</v>
      </c>
      <c r="T280" s="1485">
        <f t="shared" si="76"/>
        <v>0</v>
      </c>
      <c r="U280" s="1483">
        <f t="shared" si="70"/>
        <v>0</v>
      </c>
      <c r="V280" s="1483">
        <f t="shared" si="71"/>
        <v>0</v>
      </c>
      <c r="W280" s="1486"/>
      <c r="X280" s="1483">
        <f t="shared" si="72"/>
        <v>0</v>
      </c>
      <c r="Y280" s="1483">
        <f t="shared" si="73"/>
        <v>0</v>
      </c>
      <c r="Z280" s="1486"/>
    </row>
    <row r="281" spans="1:26">
      <c r="A281" s="1414"/>
      <c r="B281" s="1415"/>
      <c r="C281" s="1405">
        <f t="shared" si="62"/>
        <v>1</v>
      </c>
      <c r="D281" s="1411"/>
      <c r="E281" s="1405">
        <f t="shared" si="63"/>
        <v>0</v>
      </c>
      <c r="F281" s="1411"/>
      <c r="G281" s="1405">
        <f t="shared" si="64"/>
        <v>1</v>
      </c>
      <c r="H281" s="1411"/>
      <c r="I281" s="1405">
        <f t="shared" si="65"/>
        <v>1</v>
      </c>
      <c r="J281" s="1411"/>
      <c r="K281" s="1405">
        <f t="shared" si="66"/>
        <v>1</v>
      </c>
      <c r="L281" s="1411"/>
      <c r="M281" s="1405">
        <f t="shared" si="67"/>
        <v>1</v>
      </c>
      <c r="N281" s="1411"/>
      <c r="O281" s="1405">
        <f t="shared" si="68"/>
        <v>1</v>
      </c>
      <c r="P281" s="1411"/>
      <c r="Q281" s="1405">
        <f t="shared" si="69"/>
        <v>0</v>
      </c>
      <c r="R281" s="1476">
        <f t="shared" si="74"/>
        <v>0</v>
      </c>
      <c r="S281" s="1358">
        <f t="shared" si="75"/>
        <v>0</v>
      </c>
      <c r="T281" s="1485">
        <f t="shared" si="76"/>
        <v>0</v>
      </c>
      <c r="U281" s="1483">
        <f t="shared" si="70"/>
        <v>0</v>
      </c>
      <c r="V281" s="1483">
        <f t="shared" si="71"/>
        <v>0</v>
      </c>
      <c r="W281" s="1486"/>
      <c r="X281" s="1483">
        <f t="shared" si="72"/>
        <v>0</v>
      </c>
      <c r="Y281" s="1483">
        <f t="shared" si="73"/>
        <v>0</v>
      </c>
      <c r="Z281" s="1486"/>
    </row>
    <row r="282" spans="1:26">
      <c r="A282" s="1414"/>
      <c r="B282" s="1415"/>
      <c r="C282" s="1405">
        <f t="shared" si="62"/>
        <v>1</v>
      </c>
      <c r="D282" s="1411"/>
      <c r="E282" s="1405">
        <f t="shared" si="63"/>
        <v>0</v>
      </c>
      <c r="F282" s="1411"/>
      <c r="G282" s="1405">
        <f t="shared" si="64"/>
        <v>1</v>
      </c>
      <c r="H282" s="1411"/>
      <c r="I282" s="1405">
        <f t="shared" si="65"/>
        <v>1</v>
      </c>
      <c r="J282" s="1411"/>
      <c r="K282" s="1405">
        <f t="shared" si="66"/>
        <v>1</v>
      </c>
      <c r="L282" s="1411"/>
      <c r="M282" s="1405">
        <f t="shared" si="67"/>
        <v>1</v>
      </c>
      <c r="N282" s="1411"/>
      <c r="O282" s="1405">
        <f t="shared" si="68"/>
        <v>1</v>
      </c>
      <c r="P282" s="1411"/>
      <c r="Q282" s="1405">
        <f t="shared" si="69"/>
        <v>0</v>
      </c>
      <c r="R282" s="1476">
        <f t="shared" si="74"/>
        <v>0</v>
      </c>
      <c r="S282" s="1358">
        <f t="shared" si="75"/>
        <v>0</v>
      </c>
      <c r="T282" s="1485">
        <f t="shared" si="76"/>
        <v>0</v>
      </c>
      <c r="U282" s="1483">
        <f t="shared" si="70"/>
        <v>0</v>
      </c>
      <c r="V282" s="1483">
        <f t="shared" si="71"/>
        <v>0</v>
      </c>
      <c r="W282" s="1486"/>
      <c r="X282" s="1483">
        <f t="shared" si="72"/>
        <v>0</v>
      </c>
      <c r="Y282" s="1483">
        <f t="shared" si="73"/>
        <v>0</v>
      </c>
      <c r="Z282" s="1486"/>
    </row>
    <row r="283" spans="1:26">
      <c r="A283" s="1414"/>
      <c r="B283" s="1415"/>
      <c r="C283" s="1405">
        <f t="shared" si="62"/>
        <v>1</v>
      </c>
      <c r="D283" s="1411"/>
      <c r="E283" s="1405">
        <f t="shared" si="63"/>
        <v>0</v>
      </c>
      <c r="F283" s="1411"/>
      <c r="G283" s="1405">
        <f t="shared" si="64"/>
        <v>1</v>
      </c>
      <c r="H283" s="1411"/>
      <c r="I283" s="1405">
        <f t="shared" si="65"/>
        <v>1</v>
      </c>
      <c r="J283" s="1411"/>
      <c r="K283" s="1405">
        <f t="shared" si="66"/>
        <v>1</v>
      </c>
      <c r="L283" s="1411"/>
      <c r="M283" s="1405">
        <f t="shared" si="67"/>
        <v>1</v>
      </c>
      <c r="N283" s="1411"/>
      <c r="O283" s="1405">
        <f t="shared" si="68"/>
        <v>1</v>
      </c>
      <c r="P283" s="1411"/>
      <c r="Q283" s="1405">
        <f t="shared" si="69"/>
        <v>0</v>
      </c>
      <c r="R283" s="1476">
        <f t="shared" si="74"/>
        <v>0</v>
      </c>
      <c r="S283" s="1358">
        <f t="shared" si="75"/>
        <v>0</v>
      </c>
      <c r="T283" s="1485">
        <f t="shared" si="76"/>
        <v>0</v>
      </c>
      <c r="U283" s="1483">
        <f t="shared" si="70"/>
        <v>0</v>
      </c>
      <c r="V283" s="1483">
        <f t="shared" si="71"/>
        <v>0</v>
      </c>
      <c r="W283" s="1486"/>
      <c r="X283" s="1483">
        <f t="shared" si="72"/>
        <v>0</v>
      </c>
      <c r="Y283" s="1483">
        <f t="shared" si="73"/>
        <v>0</v>
      </c>
      <c r="Z283" s="1486"/>
    </row>
    <row r="284" spans="1:26">
      <c r="A284" s="1414"/>
      <c r="B284" s="1415"/>
      <c r="C284" s="1405">
        <f t="shared" ref="C284:C347" si="77">IF(B284="",1,(LOOKUP(B284,$6:$6,$7:$7)-LOOKUP($B$27,$6:$6,$7:$7)+100)/100)</f>
        <v>1</v>
      </c>
      <c r="D284" s="1411"/>
      <c r="E284" s="1405">
        <f t="shared" ref="E284:E347" si="78">(SUMIF($8:$8,D284,$9:$9)-SUMIF($8:$8,$D$27,$9:$9)+100)/100</f>
        <v>0</v>
      </c>
      <c r="F284" s="1411"/>
      <c r="G284" s="1405">
        <f t="shared" ref="G284:G347" si="79">(SUMIF($10:$10,F284,$11:$11)-SUMIF($10:$10,$F$27,$11:$11)+100)/100</f>
        <v>1</v>
      </c>
      <c r="H284" s="1411"/>
      <c r="I284" s="1405">
        <f t="shared" ref="I284:I347" si="80">(SUMIF($12:$12,H284,$13:$13)-SUMIF($12:$12,$H$27,$13:$13)+100)/100</f>
        <v>1</v>
      </c>
      <c r="J284" s="1411"/>
      <c r="K284" s="1405">
        <f t="shared" ref="K284:K347" si="81">(SUMIF($14:$14,J284,$15:$15)-SUMIF($14:$14,$J$27,$15:$15)+100)/100</f>
        <v>1</v>
      </c>
      <c r="L284" s="1411"/>
      <c r="M284" s="1405">
        <f t="shared" ref="M284:M347" si="82">(SUMIF($16:$16,L284,$17:$17)-SUMIF($16:$16,$L$27,$17:$17)+100)/100</f>
        <v>1</v>
      </c>
      <c r="N284" s="1411"/>
      <c r="O284" s="1405">
        <f t="shared" ref="O284:O347" si="83">(SUMIF($18:$18,N284,$19:$19)-SUMIF($18:$18,$N$27,$19:$19)+100)/100</f>
        <v>1</v>
      </c>
      <c r="P284" s="1411"/>
      <c r="Q284" s="1405">
        <f t="shared" ref="Q284:Q347" si="84">(SUMIF($20:$20,P284,$21:$21)-SUMIF($20:$20,$P$27,$21:$21)+100)/100</f>
        <v>0</v>
      </c>
      <c r="R284" s="1476">
        <f t="shared" si="74"/>
        <v>0</v>
      </c>
      <c r="S284" s="1358">
        <f t="shared" si="75"/>
        <v>0</v>
      </c>
      <c r="T284" s="1485">
        <f t="shared" si="76"/>
        <v>0</v>
      </c>
      <c r="U284" s="1483">
        <f t="shared" ref="U284:U347" si="85">ROUND(W284*B284,0)</f>
        <v>0</v>
      </c>
      <c r="V284" s="1483">
        <f t="shared" ref="V284:V347" si="86">ROUND(W284*B284/10000,0)</f>
        <v>0</v>
      </c>
      <c r="W284" s="1486"/>
      <c r="X284" s="1483">
        <f t="shared" ref="X284:X347" si="87">ROUND(Z284*B284,0)</f>
        <v>0</v>
      </c>
      <c r="Y284" s="1483">
        <f t="shared" ref="Y284:Y347" si="88">ROUND(Z284*B284/10000,0)</f>
        <v>0</v>
      </c>
      <c r="Z284" s="1486"/>
    </row>
    <row r="285" spans="1:26">
      <c r="A285" s="1414"/>
      <c r="B285" s="1415"/>
      <c r="C285" s="1405">
        <f t="shared" si="77"/>
        <v>1</v>
      </c>
      <c r="D285" s="1411"/>
      <c r="E285" s="1405">
        <f t="shared" si="78"/>
        <v>0</v>
      </c>
      <c r="F285" s="1411"/>
      <c r="G285" s="1405">
        <f t="shared" si="79"/>
        <v>1</v>
      </c>
      <c r="H285" s="1411"/>
      <c r="I285" s="1405">
        <f t="shared" si="80"/>
        <v>1</v>
      </c>
      <c r="J285" s="1411"/>
      <c r="K285" s="1405">
        <f t="shared" si="81"/>
        <v>1</v>
      </c>
      <c r="L285" s="1411"/>
      <c r="M285" s="1405">
        <f t="shared" si="82"/>
        <v>1</v>
      </c>
      <c r="N285" s="1411"/>
      <c r="O285" s="1405">
        <f t="shared" si="83"/>
        <v>1</v>
      </c>
      <c r="P285" s="1411"/>
      <c r="Q285" s="1405">
        <f t="shared" si="84"/>
        <v>0</v>
      </c>
      <c r="R285" s="1476">
        <f t="shared" ref="R285:R348" si="89">IF(B285="",0,ROUND($R$27*C285*E285*G285*I285*K285*M285*O285*Q285,0))</f>
        <v>0</v>
      </c>
      <c r="S285" s="1358">
        <f t="shared" ref="S285:S348" si="90">ROUND(R285*B285,0)</f>
        <v>0</v>
      </c>
      <c r="T285" s="1485">
        <f t="shared" ref="T285:T348" si="91">ROUND(R285*B285/10000,0)</f>
        <v>0</v>
      </c>
      <c r="U285" s="1483">
        <f t="shared" si="85"/>
        <v>0</v>
      </c>
      <c r="V285" s="1483">
        <f t="shared" si="86"/>
        <v>0</v>
      </c>
      <c r="W285" s="1486"/>
      <c r="X285" s="1483">
        <f t="shared" si="87"/>
        <v>0</v>
      </c>
      <c r="Y285" s="1483">
        <f t="shared" si="88"/>
        <v>0</v>
      </c>
      <c r="Z285" s="1486"/>
    </row>
    <row r="286" spans="1:26">
      <c r="A286" s="1414"/>
      <c r="B286" s="1415"/>
      <c r="C286" s="1405">
        <f t="shared" si="77"/>
        <v>1</v>
      </c>
      <c r="D286" s="1411"/>
      <c r="E286" s="1405">
        <f t="shared" si="78"/>
        <v>0</v>
      </c>
      <c r="F286" s="1411"/>
      <c r="G286" s="1405">
        <f t="shared" si="79"/>
        <v>1</v>
      </c>
      <c r="H286" s="1411"/>
      <c r="I286" s="1405">
        <f t="shared" si="80"/>
        <v>1</v>
      </c>
      <c r="J286" s="1411"/>
      <c r="K286" s="1405">
        <f t="shared" si="81"/>
        <v>1</v>
      </c>
      <c r="L286" s="1411"/>
      <c r="M286" s="1405">
        <f t="shared" si="82"/>
        <v>1</v>
      </c>
      <c r="N286" s="1411"/>
      <c r="O286" s="1405">
        <f t="shared" si="83"/>
        <v>1</v>
      </c>
      <c r="P286" s="1411"/>
      <c r="Q286" s="1405">
        <f t="shared" si="84"/>
        <v>0</v>
      </c>
      <c r="R286" s="1476">
        <f t="shared" si="89"/>
        <v>0</v>
      </c>
      <c r="S286" s="1358">
        <f t="shared" si="90"/>
        <v>0</v>
      </c>
      <c r="T286" s="1485">
        <f t="shared" si="91"/>
        <v>0</v>
      </c>
      <c r="U286" s="1483">
        <f t="shared" si="85"/>
        <v>0</v>
      </c>
      <c r="V286" s="1483">
        <f t="shared" si="86"/>
        <v>0</v>
      </c>
      <c r="W286" s="1486"/>
      <c r="X286" s="1483">
        <f t="shared" si="87"/>
        <v>0</v>
      </c>
      <c r="Y286" s="1483">
        <f t="shared" si="88"/>
        <v>0</v>
      </c>
      <c r="Z286" s="1486"/>
    </row>
    <row r="287" spans="1:26">
      <c r="A287" s="1414"/>
      <c r="B287" s="1415"/>
      <c r="C287" s="1405">
        <f t="shared" si="77"/>
        <v>1</v>
      </c>
      <c r="D287" s="1411"/>
      <c r="E287" s="1405">
        <f t="shared" si="78"/>
        <v>0</v>
      </c>
      <c r="F287" s="1411"/>
      <c r="G287" s="1405">
        <f t="shared" si="79"/>
        <v>1</v>
      </c>
      <c r="H287" s="1411"/>
      <c r="I287" s="1405">
        <f t="shared" si="80"/>
        <v>1</v>
      </c>
      <c r="J287" s="1411"/>
      <c r="K287" s="1405">
        <f t="shared" si="81"/>
        <v>1</v>
      </c>
      <c r="L287" s="1411"/>
      <c r="M287" s="1405">
        <f t="shared" si="82"/>
        <v>1</v>
      </c>
      <c r="N287" s="1411"/>
      <c r="O287" s="1405">
        <f t="shared" si="83"/>
        <v>1</v>
      </c>
      <c r="P287" s="1411"/>
      <c r="Q287" s="1405">
        <f t="shared" si="84"/>
        <v>0</v>
      </c>
      <c r="R287" s="1476">
        <f t="shared" si="89"/>
        <v>0</v>
      </c>
      <c r="S287" s="1358">
        <f t="shared" si="90"/>
        <v>0</v>
      </c>
      <c r="T287" s="1485">
        <f t="shared" si="91"/>
        <v>0</v>
      </c>
      <c r="U287" s="1483">
        <f t="shared" si="85"/>
        <v>0</v>
      </c>
      <c r="V287" s="1483">
        <f t="shared" si="86"/>
        <v>0</v>
      </c>
      <c r="W287" s="1486"/>
      <c r="X287" s="1483">
        <f t="shared" si="87"/>
        <v>0</v>
      </c>
      <c r="Y287" s="1483">
        <f t="shared" si="88"/>
        <v>0</v>
      </c>
      <c r="Z287" s="1486"/>
    </row>
    <row r="288" spans="1:26">
      <c r="A288" s="1414"/>
      <c r="B288" s="1415"/>
      <c r="C288" s="1405">
        <f t="shared" si="77"/>
        <v>1</v>
      </c>
      <c r="D288" s="1411"/>
      <c r="E288" s="1405">
        <f t="shared" si="78"/>
        <v>0</v>
      </c>
      <c r="F288" s="1411"/>
      <c r="G288" s="1405">
        <f t="shared" si="79"/>
        <v>1</v>
      </c>
      <c r="H288" s="1411"/>
      <c r="I288" s="1405">
        <f t="shared" si="80"/>
        <v>1</v>
      </c>
      <c r="J288" s="1411"/>
      <c r="K288" s="1405">
        <f t="shared" si="81"/>
        <v>1</v>
      </c>
      <c r="L288" s="1411"/>
      <c r="M288" s="1405">
        <f t="shared" si="82"/>
        <v>1</v>
      </c>
      <c r="N288" s="1411"/>
      <c r="O288" s="1405">
        <f t="shared" si="83"/>
        <v>1</v>
      </c>
      <c r="P288" s="1411"/>
      <c r="Q288" s="1405">
        <f t="shared" si="84"/>
        <v>0</v>
      </c>
      <c r="R288" s="1476">
        <f t="shared" si="89"/>
        <v>0</v>
      </c>
      <c r="S288" s="1358">
        <f t="shared" si="90"/>
        <v>0</v>
      </c>
      <c r="T288" s="1485">
        <f t="shared" si="91"/>
        <v>0</v>
      </c>
      <c r="U288" s="1483">
        <f t="shared" si="85"/>
        <v>0</v>
      </c>
      <c r="V288" s="1483">
        <f t="shared" si="86"/>
        <v>0</v>
      </c>
      <c r="W288" s="1486"/>
      <c r="X288" s="1483">
        <f t="shared" si="87"/>
        <v>0</v>
      </c>
      <c r="Y288" s="1483">
        <f t="shared" si="88"/>
        <v>0</v>
      </c>
      <c r="Z288" s="1486"/>
    </row>
    <row r="289" spans="1:26">
      <c r="A289" s="1414"/>
      <c r="B289" s="1415"/>
      <c r="C289" s="1405">
        <f t="shared" si="77"/>
        <v>1</v>
      </c>
      <c r="D289" s="1411"/>
      <c r="E289" s="1405">
        <f t="shared" si="78"/>
        <v>0</v>
      </c>
      <c r="F289" s="1411"/>
      <c r="G289" s="1405">
        <f t="shared" si="79"/>
        <v>1</v>
      </c>
      <c r="H289" s="1411"/>
      <c r="I289" s="1405">
        <f t="shared" si="80"/>
        <v>1</v>
      </c>
      <c r="J289" s="1411"/>
      <c r="K289" s="1405">
        <f t="shared" si="81"/>
        <v>1</v>
      </c>
      <c r="L289" s="1411"/>
      <c r="M289" s="1405">
        <f t="shared" si="82"/>
        <v>1</v>
      </c>
      <c r="N289" s="1411"/>
      <c r="O289" s="1405">
        <f t="shared" si="83"/>
        <v>1</v>
      </c>
      <c r="P289" s="1411"/>
      <c r="Q289" s="1405">
        <f t="shared" si="84"/>
        <v>0</v>
      </c>
      <c r="R289" s="1476">
        <f t="shared" si="89"/>
        <v>0</v>
      </c>
      <c r="S289" s="1358">
        <f t="shared" si="90"/>
        <v>0</v>
      </c>
      <c r="T289" s="1485">
        <f t="shared" si="91"/>
        <v>0</v>
      </c>
      <c r="U289" s="1483">
        <f t="shared" si="85"/>
        <v>0</v>
      </c>
      <c r="V289" s="1483">
        <f t="shared" si="86"/>
        <v>0</v>
      </c>
      <c r="W289" s="1486"/>
      <c r="X289" s="1483">
        <f t="shared" si="87"/>
        <v>0</v>
      </c>
      <c r="Y289" s="1483">
        <f t="shared" si="88"/>
        <v>0</v>
      </c>
      <c r="Z289" s="1486"/>
    </row>
    <row r="290" spans="1:26">
      <c r="A290" s="1414"/>
      <c r="B290" s="1415"/>
      <c r="C290" s="1405">
        <f t="shared" si="77"/>
        <v>1</v>
      </c>
      <c r="D290" s="1411"/>
      <c r="E290" s="1405">
        <f t="shared" si="78"/>
        <v>0</v>
      </c>
      <c r="F290" s="1411"/>
      <c r="G290" s="1405">
        <f t="shared" si="79"/>
        <v>1</v>
      </c>
      <c r="H290" s="1411"/>
      <c r="I290" s="1405">
        <f t="shared" si="80"/>
        <v>1</v>
      </c>
      <c r="J290" s="1411"/>
      <c r="K290" s="1405">
        <f t="shared" si="81"/>
        <v>1</v>
      </c>
      <c r="L290" s="1411"/>
      <c r="M290" s="1405">
        <f t="shared" si="82"/>
        <v>1</v>
      </c>
      <c r="N290" s="1411"/>
      <c r="O290" s="1405">
        <f t="shared" si="83"/>
        <v>1</v>
      </c>
      <c r="P290" s="1411"/>
      <c r="Q290" s="1405">
        <f t="shared" si="84"/>
        <v>0</v>
      </c>
      <c r="R290" s="1476">
        <f t="shared" si="89"/>
        <v>0</v>
      </c>
      <c r="S290" s="1358">
        <f t="shared" si="90"/>
        <v>0</v>
      </c>
      <c r="T290" s="1485">
        <f t="shared" si="91"/>
        <v>0</v>
      </c>
      <c r="U290" s="1483">
        <f t="shared" si="85"/>
        <v>0</v>
      </c>
      <c r="V290" s="1483">
        <f t="shared" si="86"/>
        <v>0</v>
      </c>
      <c r="W290" s="1486"/>
      <c r="X290" s="1483">
        <f t="shared" si="87"/>
        <v>0</v>
      </c>
      <c r="Y290" s="1483">
        <f t="shared" si="88"/>
        <v>0</v>
      </c>
      <c r="Z290" s="1486"/>
    </row>
    <row r="291" spans="1:26">
      <c r="A291" s="1414"/>
      <c r="B291" s="1415"/>
      <c r="C291" s="1405">
        <f t="shared" si="77"/>
        <v>1</v>
      </c>
      <c r="D291" s="1411"/>
      <c r="E291" s="1405">
        <f t="shared" si="78"/>
        <v>0</v>
      </c>
      <c r="F291" s="1411"/>
      <c r="G291" s="1405">
        <f t="shared" si="79"/>
        <v>1</v>
      </c>
      <c r="H291" s="1411"/>
      <c r="I291" s="1405">
        <f t="shared" si="80"/>
        <v>1</v>
      </c>
      <c r="J291" s="1411"/>
      <c r="K291" s="1405">
        <f t="shared" si="81"/>
        <v>1</v>
      </c>
      <c r="L291" s="1411"/>
      <c r="M291" s="1405">
        <f t="shared" si="82"/>
        <v>1</v>
      </c>
      <c r="N291" s="1411"/>
      <c r="O291" s="1405">
        <f t="shared" si="83"/>
        <v>1</v>
      </c>
      <c r="P291" s="1411"/>
      <c r="Q291" s="1405">
        <f t="shared" si="84"/>
        <v>0</v>
      </c>
      <c r="R291" s="1476">
        <f t="shared" si="89"/>
        <v>0</v>
      </c>
      <c r="S291" s="1358">
        <f t="shared" si="90"/>
        <v>0</v>
      </c>
      <c r="T291" s="1485">
        <f t="shared" si="91"/>
        <v>0</v>
      </c>
      <c r="U291" s="1483">
        <f t="shared" si="85"/>
        <v>0</v>
      </c>
      <c r="V291" s="1483">
        <f t="shared" si="86"/>
        <v>0</v>
      </c>
      <c r="W291" s="1486"/>
      <c r="X291" s="1483">
        <f t="shared" si="87"/>
        <v>0</v>
      </c>
      <c r="Y291" s="1483">
        <f t="shared" si="88"/>
        <v>0</v>
      </c>
      <c r="Z291" s="1486"/>
    </row>
    <row r="292" spans="1:26">
      <c r="A292" s="1414"/>
      <c r="B292" s="1415"/>
      <c r="C292" s="1405">
        <f t="shared" si="77"/>
        <v>1</v>
      </c>
      <c r="D292" s="1411"/>
      <c r="E292" s="1405">
        <f t="shared" si="78"/>
        <v>0</v>
      </c>
      <c r="F292" s="1411"/>
      <c r="G292" s="1405">
        <f t="shared" si="79"/>
        <v>1</v>
      </c>
      <c r="H292" s="1411"/>
      <c r="I292" s="1405">
        <f t="shared" si="80"/>
        <v>1</v>
      </c>
      <c r="J292" s="1411"/>
      <c r="K292" s="1405">
        <f t="shared" si="81"/>
        <v>1</v>
      </c>
      <c r="L292" s="1411"/>
      <c r="M292" s="1405">
        <f t="shared" si="82"/>
        <v>1</v>
      </c>
      <c r="N292" s="1411"/>
      <c r="O292" s="1405">
        <f t="shared" si="83"/>
        <v>1</v>
      </c>
      <c r="P292" s="1411"/>
      <c r="Q292" s="1405">
        <f t="shared" si="84"/>
        <v>0</v>
      </c>
      <c r="R292" s="1476">
        <f t="shared" si="89"/>
        <v>0</v>
      </c>
      <c r="S292" s="1358">
        <f t="shared" si="90"/>
        <v>0</v>
      </c>
      <c r="T292" s="1485">
        <f t="shared" si="91"/>
        <v>0</v>
      </c>
      <c r="U292" s="1483">
        <f t="shared" si="85"/>
        <v>0</v>
      </c>
      <c r="V292" s="1483">
        <f t="shared" si="86"/>
        <v>0</v>
      </c>
      <c r="W292" s="1486"/>
      <c r="X292" s="1483">
        <f t="shared" si="87"/>
        <v>0</v>
      </c>
      <c r="Y292" s="1483">
        <f t="shared" si="88"/>
        <v>0</v>
      </c>
      <c r="Z292" s="1486"/>
    </row>
    <row r="293" spans="1:26">
      <c r="A293" s="1414"/>
      <c r="B293" s="1415"/>
      <c r="C293" s="1405">
        <f t="shared" si="77"/>
        <v>1</v>
      </c>
      <c r="D293" s="1411"/>
      <c r="E293" s="1405">
        <f t="shared" si="78"/>
        <v>0</v>
      </c>
      <c r="F293" s="1411"/>
      <c r="G293" s="1405">
        <f t="shared" si="79"/>
        <v>1</v>
      </c>
      <c r="H293" s="1411"/>
      <c r="I293" s="1405">
        <f t="shared" si="80"/>
        <v>1</v>
      </c>
      <c r="J293" s="1411"/>
      <c r="K293" s="1405">
        <f t="shared" si="81"/>
        <v>1</v>
      </c>
      <c r="L293" s="1411"/>
      <c r="M293" s="1405">
        <f t="shared" si="82"/>
        <v>1</v>
      </c>
      <c r="N293" s="1411"/>
      <c r="O293" s="1405">
        <f t="shared" si="83"/>
        <v>1</v>
      </c>
      <c r="P293" s="1411"/>
      <c r="Q293" s="1405">
        <f t="shared" si="84"/>
        <v>0</v>
      </c>
      <c r="R293" s="1476">
        <f t="shared" si="89"/>
        <v>0</v>
      </c>
      <c r="S293" s="1358">
        <f t="shared" si="90"/>
        <v>0</v>
      </c>
      <c r="T293" s="1485">
        <f t="shared" si="91"/>
        <v>0</v>
      </c>
      <c r="U293" s="1483">
        <f t="shared" si="85"/>
        <v>0</v>
      </c>
      <c r="V293" s="1483">
        <f t="shared" si="86"/>
        <v>0</v>
      </c>
      <c r="W293" s="1486"/>
      <c r="X293" s="1483">
        <f t="shared" si="87"/>
        <v>0</v>
      </c>
      <c r="Y293" s="1483">
        <f t="shared" si="88"/>
        <v>0</v>
      </c>
      <c r="Z293" s="1486"/>
    </row>
    <row r="294" spans="1:26">
      <c r="A294" s="1414"/>
      <c r="B294" s="1415"/>
      <c r="C294" s="1405">
        <f t="shared" si="77"/>
        <v>1</v>
      </c>
      <c r="D294" s="1411"/>
      <c r="E294" s="1405">
        <f t="shared" si="78"/>
        <v>0</v>
      </c>
      <c r="F294" s="1411"/>
      <c r="G294" s="1405">
        <f t="shared" si="79"/>
        <v>1</v>
      </c>
      <c r="H294" s="1411"/>
      <c r="I294" s="1405">
        <f t="shared" si="80"/>
        <v>1</v>
      </c>
      <c r="J294" s="1411"/>
      <c r="K294" s="1405">
        <f t="shared" si="81"/>
        <v>1</v>
      </c>
      <c r="L294" s="1411"/>
      <c r="M294" s="1405">
        <f t="shared" si="82"/>
        <v>1</v>
      </c>
      <c r="N294" s="1411"/>
      <c r="O294" s="1405">
        <f t="shared" si="83"/>
        <v>1</v>
      </c>
      <c r="P294" s="1411"/>
      <c r="Q294" s="1405">
        <f t="shared" si="84"/>
        <v>0</v>
      </c>
      <c r="R294" s="1476">
        <f t="shared" si="89"/>
        <v>0</v>
      </c>
      <c r="S294" s="1358">
        <f t="shared" si="90"/>
        <v>0</v>
      </c>
      <c r="T294" s="1485">
        <f t="shared" si="91"/>
        <v>0</v>
      </c>
      <c r="U294" s="1483">
        <f t="shared" si="85"/>
        <v>0</v>
      </c>
      <c r="V294" s="1483">
        <f t="shared" si="86"/>
        <v>0</v>
      </c>
      <c r="W294" s="1486"/>
      <c r="X294" s="1483">
        <f t="shared" si="87"/>
        <v>0</v>
      </c>
      <c r="Y294" s="1483">
        <f t="shared" si="88"/>
        <v>0</v>
      </c>
      <c r="Z294" s="1486"/>
    </row>
    <row r="295" spans="1:26">
      <c r="A295" s="1414"/>
      <c r="B295" s="1415"/>
      <c r="C295" s="1405">
        <f t="shared" si="77"/>
        <v>1</v>
      </c>
      <c r="D295" s="1411"/>
      <c r="E295" s="1405">
        <f t="shared" si="78"/>
        <v>0</v>
      </c>
      <c r="F295" s="1411"/>
      <c r="G295" s="1405">
        <f t="shared" si="79"/>
        <v>1</v>
      </c>
      <c r="H295" s="1411"/>
      <c r="I295" s="1405">
        <f t="shared" si="80"/>
        <v>1</v>
      </c>
      <c r="J295" s="1411"/>
      <c r="K295" s="1405">
        <f t="shared" si="81"/>
        <v>1</v>
      </c>
      <c r="L295" s="1411"/>
      <c r="M295" s="1405">
        <f t="shared" si="82"/>
        <v>1</v>
      </c>
      <c r="N295" s="1411"/>
      <c r="O295" s="1405">
        <f t="shared" si="83"/>
        <v>1</v>
      </c>
      <c r="P295" s="1411"/>
      <c r="Q295" s="1405">
        <f t="shared" si="84"/>
        <v>0</v>
      </c>
      <c r="R295" s="1476">
        <f t="shared" si="89"/>
        <v>0</v>
      </c>
      <c r="S295" s="1358">
        <f t="shared" si="90"/>
        <v>0</v>
      </c>
      <c r="T295" s="1485">
        <f t="shared" si="91"/>
        <v>0</v>
      </c>
      <c r="U295" s="1483">
        <f t="shared" si="85"/>
        <v>0</v>
      </c>
      <c r="V295" s="1483">
        <f t="shared" si="86"/>
        <v>0</v>
      </c>
      <c r="W295" s="1486"/>
      <c r="X295" s="1483">
        <f t="shared" si="87"/>
        <v>0</v>
      </c>
      <c r="Y295" s="1483">
        <f t="shared" si="88"/>
        <v>0</v>
      </c>
      <c r="Z295" s="1486"/>
    </row>
    <row r="296" spans="1:26">
      <c r="A296" s="1414"/>
      <c r="B296" s="1415"/>
      <c r="C296" s="1405">
        <f t="shared" si="77"/>
        <v>1</v>
      </c>
      <c r="D296" s="1411"/>
      <c r="E296" s="1405">
        <f t="shared" si="78"/>
        <v>0</v>
      </c>
      <c r="F296" s="1411"/>
      <c r="G296" s="1405">
        <f t="shared" si="79"/>
        <v>1</v>
      </c>
      <c r="H296" s="1411"/>
      <c r="I296" s="1405">
        <f t="shared" si="80"/>
        <v>1</v>
      </c>
      <c r="J296" s="1411"/>
      <c r="K296" s="1405">
        <f t="shared" si="81"/>
        <v>1</v>
      </c>
      <c r="L296" s="1411"/>
      <c r="M296" s="1405">
        <f t="shared" si="82"/>
        <v>1</v>
      </c>
      <c r="N296" s="1411"/>
      <c r="O296" s="1405">
        <f t="shared" si="83"/>
        <v>1</v>
      </c>
      <c r="P296" s="1411"/>
      <c r="Q296" s="1405">
        <f t="shared" si="84"/>
        <v>0</v>
      </c>
      <c r="R296" s="1476">
        <f t="shared" si="89"/>
        <v>0</v>
      </c>
      <c r="S296" s="1358">
        <f t="shared" si="90"/>
        <v>0</v>
      </c>
      <c r="T296" s="1485">
        <f t="shared" si="91"/>
        <v>0</v>
      </c>
      <c r="U296" s="1483">
        <f t="shared" si="85"/>
        <v>0</v>
      </c>
      <c r="V296" s="1483">
        <f t="shared" si="86"/>
        <v>0</v>
      </c>
      <c r="W296" s="1486"/>
      <c r="X296" s="1483">
        <f t="shared" si="87"/>
        <v>0</v>
      </c>
      <c r="Y296" s="1483">
        <f t="shared" si="88"/>
        <v>0</v>
      </c>
      <c r="Z296" s="1486"/>
    </row>
    <row r="297" spans="1:26">
      <c r="A297" s="1414"/>
      <c r="B297" s="1415"/>
      <c r="C297" s="1405">
        <f t="shared" si="77"/>
        <v>1</v>
      </c>
      <c r="D297" s="1411"/>
      <c r="E297" s="1405">
        <f t="shared" si="78"/>
        <v>0</v>
      </c>
      <c r="F297" s="1411"/>
      <c r="G297" s="1405">
        <f t="shared" si="79"/>
        <v>1</v>
      </c>
      <c r="H297" s="1411"/>
      <c r="I297" s="1405">
        <f t="shared" si="80"/>
        <v>1</v>
      </c>
      <c r="J297" s="1411"/>
      <c r="K297" s="1405">
        <f t="shared" si="81"/>
        <v>1</v>
      </c>
      <c r="L297" s="1411"/>
      <c r="M297" s="1405">
        <f t="shared" si="82"/>
        <v>1</v>
      </c>
      <c r="N297" s="1411"/>
      <c r="O297" s="1405">
        <f t="shared" si="83"/>
        <v>1</v>
      </c>
      <c r="P297" s="1411"/>
      <c r="Q297" s="1405">
        <f t="shared" si="84"/>
        <v>0</v>
      </c>
      <c r="R297" s="1476">
        <f t="shared" si="89"/>
        <v>0</v>
      </c>
      <c r="S297" s="1358">
        <f t="shared" si="90"/>
        <v>0</v>
      </c>
      <c r="T297" s="1485">
        <f t="shared" si="91"/>
        <v>0</v>
      </c>
      <c r="U297" s="1483">
        <f t="shared" si="85"/>
        <v>0</v>
      </c>
      <c r="V297" s="1483">
        <f t="shared" si="86"/>
        <v>0</v>
      </c>
      <c r="W297" s="1486"/>
      <c r="X297" s="1483">
        <f t="shared" si="87"/>
        <v>0</v>
      </c>
      <c r="Y297" s="1483">
        <f t="shared" si="88"/>
        <v>0</v>
      </c>
      <c r="Z297" s="1486"/>
    </row>
    <row r="298" spans="1:26">
      <c r="A298" s="1414"/>
      <c r="B298" s="1415"/>
      <c r="C298" s="1405">
        <f t="shared" si="77"/>
        <v>1</v>
      </c>
      <c r="D298" s="1411"/>
      <c r="E298" s="1405">
        <f t="shared" si="78"/>
        <v>0</v>
      </c>
      <c r="F298" s="1411"/>
      <c r="G298" s="1405">
        <f t="shared" si="79"/>
        <v>1</v>
      </c>
      <c r="H298" s="1411"/>
      <c r="I298" s="1405">
        <f t="shared" si="80"/>
        <v>1</v>
      </c>
      <c r="J298" s="1411"/>
      <c r="K298" s="1405">
        <f t="shared" si="81"/>
        <v>1</v>
      </c>
      <c r="L298" s="1411"/>
      <c r="M298" s="1405">
        <f t="shared" si="82"/>
        <v>1</v>
      </c>
      <c r="N298" s="1411"/>
      <c r="O298" s="1405">
        <f t="shared" si="83"/>
        <v>1</v>
      </c>
      <c r="P298" s="1411"/>
      <c r="Q298" s="1405">
        <f t="shared" si="84"/>
        <v>0</v>
      </c>
      <c r="R298" s="1476">
        <f t="shared" si="89"/>
        <v>0</v>
      </c>
      <c r="S298" s="1358">
        <f t="shared" si="90"/>
        <v>0</v>
      </c>
      <c r="T298" s="1485">
        <f t="shared" si="91"/>
        <v>0</v>
      </c>
      <c r="U298" s="1483">
        <f t="shared" si="85"/>
        <v>0</v>
      </c>
      <c r="V298" s="1483">
        <f t="shared" si="86"/>
        <v>0</v>
      </c>
      <c r="W298" s="1486"/>
      <c r="X298" s="1483">
        <f t="shared" si="87"/>
        <v>0</v>
      </c>
      <c r="Y298" s="1483">
        <f t="shared" si="88"/>
        <v>0</v>
      </c>
      <c r="Z298" s="1486"/>
    </row>
    <row r="299" spans="1:26">
      <c r="A299" s="1414"/>
      <c r="B299" s="1415"/>
      <c r="C299" s="1405">
        <f t="shared" si="77"/>
        <v>1</v>
      </c>
      <c r="D299" s="1411"/>
      <c r="E299" s="1405">
        <f t="shared" si="78"/>
        <v>0</v>
      </c>
      <c r="F299" s="1411"/>
      <c r="G299" s="1405">
        <f t="shared" si="79"/>
        <v>1</v>
      </c>
      <c r="H299" s="1411"/>
      <c r="I299" s="1405">
        <f t="shared" si="80"/>
        <v>1</v>
      </c>
      <c r="J299" s="1411"/>
      <c r="K299" s="1405">
        <f t="shared" si="81"/>
        <v>1</v>
      </c>
      <c r="L299" s="1411"/>
      <c r="M299" s="1405">
        <f t="shared" si="82"/>
        <v>1</v>
      </c>
      <c r="N299" s="1411"/>
      <c r="O299" s="1405">
        <f t="shared" si="83"/>
        <v>1</v>
      </c>
      <c r="P299" s="1411"/>
      <c r="Q299" s="1405">
        <f t="shared" si="84"/>
        <v>0</v>
      </c>
      <c r="R299" s="1476">
        <f t="shared" si="89"/>
        <v>0</v>
      </c>
      <c r="S299" s="1358">
        <f t="shared" si="90"/>
        <v>0</v>
      </c>
      <c r="T299" s="1485">
        <f t="shared" si="91"/>
        <v>0</v>
      </c>
      <c r="U299" s="1483">
        <f t="shared" si="85"/>
        <v>0</v>
      </c>
      <c r="V299" s="1483">
        <f t="shared" si="86"/>
        <v>0</v>
      </c>
      <c r="W299" s="1486"/>
      <c r="X299" s="1483">
        <f t="shared" si="87"/>
        <v>0</v>
      </c>
      <c r="Y299" s="1483">
        <f t="shared" si="88"/>
        <v>0</v>
      </c>
      <c r="Z299" s="1486"/>
    </row>
    <row r="300" spans="1:26">
      <c r="A300" s="1414"/>
      <c r="B300" s="1415"/>
      <c r="C300" s="1405">
        <f t="shared" si="77"/>
        <v>1</v>
      </c>
      <c r="D300" s="1411"/>
      <c r="E300" s="1405">
        <f t="shared" si="78"/>
        <v>0</v>
      </c>
      <c r="F300" s="1411"/>
      <c r="G300" s="1405">
        <f t="shared" si="79"/>
        <v>1</v>
      </c>
      <c r="H300" s="1411"/>
      <c r="I300" s="1405">
        <f t="shared" si="80"/>
        <v>1</v>
      </c>
      <c r="J300" s="1411"/>
      <c r="K300" s="1405">
        <f t="shared" si="81"/>
        <v>1</v>
      </c>
      <c r="L300" s="1411"/>
      <c r="M300" s="1405">
        <f t="shared" si="82"/>
        <v>1</v>
      </c>
      <c r="N300" s="1411"/>
      <c r="O300" s="1405">
        <f t="shared" si="83"/>
        <v>1</v>
      </c>
      <c r="P300" s="1411"/>
      <c r="Q300" s="1405">
        <f t="shared" si="84"/>
        <v>0</v>
      </c>
      <c r="R300" s="1476">
        <f t="shared" si="89"/>
        <v>0</v>
      </c>
      <c r="S300" s="1358">
        <f t="shared" si="90"/>
        <v>0</v>
      </c>
      <c r="T300" s="1485">
        <f t="shared" si="91"/>
        <v>0</v>
      </c>
      <c r="U300" s="1483">
        <f t="shared" si="85"/>
        <v>0</v>
      </c>
      <c r="V300" s="1483">
        <f t="shared" si="86"/>
        <v>0</v>
      </c>
      <c r="W300" s="1486"/>
      <c r="X300" s="1483">
        <f t="shared" si="87"/>
        <v>0</v>
      </c>
      <c r="Y300" s="1483">
        <f t="shared" si="88"/>
        <v>0</v>
      </c>
      <c r="Z300" s="1486"/>
    </row>
    <row r="301" spans="1:26">
      <c r="A301" s="1414"/>
      <c r="B301" s="1415"/>
      <c r="C301" s="1405">
        <f t="shared" si="77"/>
        <v>1</v>
      </c>
      <c r="D301" s="1411"/>
      <c r="E301" s="1405">
        <f t="shared" si="78"/>
        <v>0</v>
      </c>
      <c r="F301" s="1411"/>
      <c r="G301" s="1405">
        <f t="shared" si="79"/>
        <v>1</v>
      </c>
      <c r="H301" s="1411"/>
      <c r="I301" s="1405">
        <f t="shared" si="80"/>
        <v>1</v>
      </c>
      <c r="J301" s="1411"/>
      <c r="K301" s="1405">
        <f t="shared" si="81"/>
        <v>1</v>
      </c>
      <c r="L301" s="1411"/>
      <c r="M301" s="1405">
        <f t="shared" si="82"/>
        <v>1</v>
      </c>
      <c r="N301" s="1411"/>
      <c r="O301" s="1405">
        <f t="shared" si="83"/>
        <v>1</v>
      </c>
      <c r="P301" s="1411"/>
      <c r="Q301" s="1405">
        <f t="shared" si="84"/>
        <v>0</v>
      </c>
      <c r="R301" s="1476">
        <f t="shared" si="89"/>
        <v>0</v>
      </c>
      <c r="S301" s="1358">
        <f t="shared" si="90"/>
        <v>0</v>
      </c>
      <c r="T301" s="1485">
        <f t="shared" si="91"/>
        <v>0</v>
      </c>
      <c r="U301" s="1483">
        <f t="shared" si="85"/>
        <v>0</v>
      </c>
      <c r="V301" s="1483">
        <f t="shared" si="86"/>
        <v>0</v>
      </c>
      <c r="W301" s="1486"/>
      <c r="X301" s="1483">
        <f t="shared" si="87"/>
        <v>0</v>
      </c>
      <c r="Y301" s="1483">
        <f t="shared" si="88"/>
        <v>0</v>
      </c>
      <c r="Z301" s="1486"/>
    </row>
    <row r="302" spans="1:26">
      <c r="A302" s="1414"/>
      <c r="B302" s="1415"/>
      <c r="C302" s="1405">
        <f t="shared" si="77"/>
        <v>1</v>
      </c>
      <c r="D302" s="1411"/>
      <c r="E302" s="1405">
        <f t="shared" si="78"/>
        <v>0</v>
      </c>
      <c r="F302" s="1411"/>
      <c r="G302" s="1405">
        <f t="shared" si="79"/>
        <v>1</v>
      </c>
      <c r="H302" s="1411"/>
      <c r="I302" s="1405">
        <f t="shared" si="80"/>
        <v>1</v>
      </c>
      <c r="J302" s="1411"/>
      <c r="K302" s="1405">
        <f t="shared" si="81"/>
        <v>1</v>
      </c>
      <c r="L302" s="1411"/>
      <c r="M302" s="1405">
        <f t="shared" si="82"/>
        <v>1</v>
      </c>
      <c r="N302" s="1411"/>
      <c r="O302" s="1405">
        <f t="shared" si="83"/>
        <v>1</v>
      </c>
      <c r="P302" s="1411"/>
      <c r="Q302" s="1405">
        <f t="shared" si="84"/>
        <v>0</v>
      </c>
      <c r="R302" s="1476">
        <f t="shared" si="89"/>
        <v>0</v>
      </c>
      <c r="S302" s="1358">
        <f t="shared" si="90"/>
        <v>0</v>
      </c>
      <c r="T302" s="1485">
        <f t="shared" si="91"/>
        <v>0</v>
      </c>
      <c r="U302" s="1483">
        <f t="shared" si="85"/>
        <v>0</v>
      </c>
      <c r="V302" s="1483">
        <f t="shared" si="86"/>
        <v>0</v>
      </c>
      <c r="W302" s="1486"/>
      <c r="X302" s="1483">
        <f t="shared" si="87"/>
        <v>0</v>
      </c>
      <c r="Y302" s="1483">
        <f t="shared" si="88"/>
        <v>0</v>
      </c>
      <c r="Z302" s="1486"/>
    </row>
    <row r="303" spans="1:26">
      <c r="A303" s="1414"/>
      <c r="B303" s="1415"/>
      <c r="C303" s="1405">
        <f t="shared" si="77"/>
        <v>1</v>
      </c>
      <c r="D303" s="1411"/>
      <c r="E303" s="1405">
        <f t="shared" si="78"/>
        <v>0</v>
      </c>
      <c r="F303" s="1411"/>
      <c r="G303" s="1405">
        <f t="shared" si="79"/>
        <v>1</v>
      </c>
      <c r="H303" s="1411"/>
      <c r="I303" s="1405">
        <f t="shared" si="80"/>
        <v>1</v>
      </c>
      <c r="J303" s="1411"/>
      <c r="K303" s="1405">
        <f t="shared" si="81"/>
        <v>1</v>
      </c>
      <c r="L303" s="1411"/>
      <c r="M303" s="1405">
        <f t="shared" si="82"/>
        <v>1</v>
      </c>
      <c r="N303" s="1411"/>
      <c r="O303" s="1405">
        <f t="shared" si="83"/>
        <v>1</v>
      </c>
      <c r="P303" s="1411"/>
      <c r="Q303" s="1405">
        <f t="shared" si="84"/>
        <v>0</v>
      </c>
      <c r="R303" s="1476">
        <f t="shared" si="89"/>
        <v>0</v>
      </c>
      <c r="S303" s="1358">
        <f t="shared" si="90"/>
        <v>0</v>
      </c>
      <c r="T303" s="1485">
        <f t="shared" si="91"/>
        <v>0</v>
      </c>
      <c r="U303" s="1483">
        <f t="shared" si="85"/>
        <v>0</v>
      </c>
      <c r="V303" s="1483">
        <f t="shared" si="86"/>
        <v>0</v>
      </c>
      <c r="W303" s="1486"/>
      <c r="X303" s="1483">
        <f t="shared" si="87"/>
        <v>0</v>
      </c>
      <c r="Y303" s="1483">
        <f t="shared" si="88"/>
        <v>0</v>
      </c>
      <c r="Z303" s="1486"/>
    </row>
    <row r="304" spans="1:26">
      <c r="A304" s="1414"/>
      <c r="B304" s="1415"/>
      <c r="C304" s="1405">
        <f t="shared" si="77"/>
        <v>1</v>
      </c>
      <c r="D304" s="1411"/>
      <c r="E304" s="1405">
        <f t="shared" si="78"/>
        <v>0</v>
      </c>
      <c r="F304" s="1411"/>
      <c r="G304" s="1405">
        <f t="shared" si="79"/>
        <v>1</v>
      </c>
      <c r="H304" s="1411"/>
      <c r="I304" s="1405">
        <f t="shared" si="80"/>
        <v>1</v>
      </c>
      <c r="J304" s="1411"/>
      <c r="K304" s="1405">
        <f t="shared" si="81"/>
        <v>1</v>
      </c>
      <c r="L304" s="1411"/>
      <c r="M304" s="1405">
        <f t="shared" si="82"/>
        <v>1</v>
      </c>
      <c r="N304" s="1411"/>
      <c r="O304" s="1405">
        <f t="shared" si="83"/>
        <v>1</v>
      </c>
      <c r="P304" s="1411"/>
      <c r="Q304" s="1405">
        <f t="shared" si="84"/>
        <v>0</v>
      </c>
      <c r="R304" s="1476">
        <f t="shared" si="89"/>
        <v>0</v>
      </c>
      <c r="S304" s="1358">
        <f t="shared" si="90"/>
        <v>0</v>
      </c>
      <c r="T304" s="1485">
        <f t="shared" si="91"/>
        <v>0</v>
      </c>
      <c r="U304" s="1483">
        <f t="shared" si="85"/>
        <v>0</v>
      </c>
      <c r="V304" s="1483">
        <f t="shared" si="86"/>
        <v>0</v>
      </c>
      <c r="W304" s="1486"/>
      <c r="X304" s="1483">
        <f t="shared" si="87"/>
        <v>0</v>
      </c>
      <c r="Y304" s="1483">
        <f t="shared" si="88"/>
        <v>0</v>
      </c>
      <c r="Z304" s="1486"/>
    </row>
    <row r="305" spans="1:26">
      <c r="A305" s="1414"/>
      <c r="B305" s="1415"/>
      <c r="C305" s="1405">
        <f t="shared" si="77"/>
        <v>1</v>
      </c>
      <c r="D305" s="1411"/>
      <c r="E305" s="1405">
        <f t="shared" si="78"/>
        <v>0</v>
      </c>
      <c r="F305" s="1411"/>
      <c r="G305" s="1405">
        <f t="shared" si="79"/>
        <v>1</v>
      </c>
      <c r="H305" s="1411"/>
      <c r="I305" s="1405">
        <f t="shared" si="80"/>
        <v>1</v>
      </c>
      <c r="J305" s="1411"/>
      <c r="K305" s="1405">
        <f t="shared" si="81"/>
        <v>1</v>
      </c>
      <c r="L305" s="1411"/>
      <c r="M305" s="1405">
        <f t="shared" si="82"/>
        <v>1</v>
      </c>
      <c r="N305" s="1411"/>
      <c r="O305" s="1405">
        <f t="shared" si="83"/>
        <v>1</v>
      </c>
      <c r="P305" s="1411"/>
      <c r="Q305" s="1405">
        <f t="shared" si="84"/>
        <v>0</v>
      </c>
      <c r="R305" s="1476">
        <f t="shared" si="89"/>
        <v>0</v>
      </c>
      <c r="S305" s="1358">
        <f t="shared" si="90"/>
        <v>0</v>
      </c>
      <c r="T305" s="1485">
        <f t="shared" si="91"/>
        <v>0</v>
      </c>
      <c r="U305" s="1483">
        <f t="shared" si="85"/>
        <v>0</v>
      </c>
      <c r="V305" s="1483">
        <f t="shared" si="86"/>
        <v>0</v>
      </c>
      <c r="W305" s="1486"/>
      <c r="X305" s="1483">
        <f t="shared" si="87"/>
        <v>0</v>
      </c>
      <c r="Y305" s="1483">
        <f t="shared" si="88"/>
        <v>0</v>
      </c>
      <c r="Z305" s="1486"/>
    </row>
    <row r="306" spans="1:26">
      <c r="A306" s="1414"/>
      <c r="B306" s="1415"/>
      <c r="C306" s="1405">
        <f t="shared" si="77"/>
        <v>1</v>
      </c>
      <c r="D306" s="1411"/>
      <c r="E306" s="1405">
        <f t="shared" si="78"/>
        <v>0</v>
      </c>
      <c r="F306" s="1411"/>
      <c r="G306" s="1405">
        <f t="shared" si="79"/>
        <v>1</v>
      </c>
      <c r="H306" s="1411"/>
      <c r="I306" s="1405">
        <f t="shared" si="80"/>
        <v>1</v>
      </c>
      <c r="J306" s="1411"/>
      <c r="K306" s="1405">
        <f t="shared" si="81"/>
        <v>1</v>
      </c>
      <c r="L306" s="1411"/>
      <c r="M306" s="1405">
        <f t="shared" si="82"/>
        <v>1</v>
      </c>
      <c r="N306" s="1411"/>
      <c r="O306" s="1405">
        <f t="shared" si="83"/>
        <v>1</v>
      </c>
      <c r="P306" s="1411"/>
      <c r="Q306" s="1405">
        <f t="shared" si="84"/>
        <v>0</v>
      </c>
      <c r="R306" s="1476">
        <f t="shared" si="89"/>
        <v>0</v>
      </c>
      <c r="S306" s="1358">
        <f t="shared" si="90"/>
        <v>0</v>
      </c>
      <c r="T306" s="1485">
        <f t="shared" si="91"/>
        <v>0</v>
      </c>
      <c r="U306" s="1483">
        <f t="shared" si="85"/>
        <v>0</v>
      </c>
      <c r="V306" s="1483">
        <f t="shared" si="86"/>
        <v>0</v>
      </c>
      <c r="W306" s="1486"/>
      <c r="X306" s="1483">
        <f t="shared" si="87"/>
        <v>0</v>
      </c>
      <c r="Y306" s="1483">
        <f t="shared" si="88"/>
        <v>0</v>
      </c>
      <c r="Z306" s="1486"/>
    </row>
    <row r="307" spans="1:26">
      <c r="A307" s="1414"/>
      <c r="B307" s="1415"/>
      <c r="C307" s="1405">
        <f t="shared" si="77"/>
        <v>1</v>
      </c>
      <c r="D307" s="1411"/>
      <c r="E307" s="1405">
        <f t="shared" si="78"/>
        <v>0</v>
      </c>
      <c r="F307" s="1411"/>
      <c r="G307" s="1405">
        <f t="shared" si="79"/>
        <v>1</v>
      </c>
      <c r="H307" s="1411"/>
      <c r="I307" s="1405">
        <f t="shared" si="80"/>
        <v>1</v>
      </c>
      <c r="J307" s="1411"/>
      <c r="K307" s="1405">
        <f t="shared" si="81"/>
        <v>1</v>
      </c>
      <c r="L307" s="1411"/>
      <c r="M307" s="1405">
        <f t="shared" si="82"/>
        <v>1</v>
      </c>
      <c r="N307" s="1411"/>
      <c r="O307" s="1405">
        <f t="shared" si="83"/>
        <v>1</v>
      </c>
      <c r="P307" s="1411"/>
      <c r="Q307" s="1405">
        <f t="shared" si="84"/>
        <v>0</v>
      </c>
      <c r="R307" s="1476">
        <f t="shared" si="89"/>
        <v>0</v>
      </c>
      <c r="S307" s="1358">
        <f t="shared" si="90"/>
        <v>0</v>
      </c>
      <c r="T307" s="1485">
        <f t="shared" si="91"/>
        <v>0</v>
      </c>
      <c r="U307" s="1483">
        <f t="shared" si="85"/>
        <v>0</v>
      </c>
      <c r="V307" s="1483">
        <f t="shared" si="86"/>
        <v>0</v>
      </c>
      <c r="W307" s="1486"/>
      <c r="X307" s="1483">
        <f t="shared" si="87"/>
        <v>0</v>
      </c>
      <c r="Y307" s="1483">
        <f t="shared" si="88"/>
        <v>0</v>
      </c>
      <c r="Z307" s="1486"/>
    </row>
    <row r="308" spans="1:26">
      <c r="A308" s="1414"/>
      <c r="B308" s="1415"/>
      <c r="C308" s="1405">
        <f t="shared" si="77"/>
        <v>1</v>
      </c>
      <c r="D308" s="1411"/>
      <c r="E308" s="1405">
        <f t="shared" si="78"/>
        <v>0</v>
      </c>
      <c r="F308" s="1411"/>
      <c r="G308" s="1405">
        <f t="shared" si="79"/>
        <v>1</v>
      </c>
      <c r="H308" s="1411"/>
      <c r="I308" s="1405">
        <f t="shared" si="80"/>
        <v>1</v>
      </c>
      <c r="J308" s="1411"/>
      <c r="K308" s="1405">
        <f t="shared" si="81"/>
        <v>1</v>
      </c>
      <c r="L308" s="1411"/>
      <c r="M308" s="1405">
        <f t="shared" si="82"/>
        <v>1</v>
      </c>
      <c r="N308" s="1411"/>
      <c r="O308" s="1405">
        <f t="shared" si="83"/>
        <v>1</v>
      </c>
      <c r="P308" s="1411"/>
      <c r="Q308" s="1405">
        <f t="shared" si="84"/>
        <v>0</v>
      </c>
      <c r="R308" s="1476">
        <f t="shared" si="89"/>
        <v>0</v>
      </c>
      <c r="S308" s="1358">
        <f t="shared" si="90"/>
        <v>0</v>
      </c>
      <c r="T308" s="1485">
        <f t="shared" si="91"/>
        <v>0</v>
      </c>
      <c r="U308" s="1483">
        <f t="shared" si="85"/>
        <v>0</v>
      </c>
      <c r="V308" s="1483">
        <f t="shared" si="86"/>
        <v>0</v>
      </c>
      <c r="W308" s="1486"/>
      <c r="X308" s="1483">
        <f t="shared" si="87"/>
        <v>0</v>
      </c>
      <c r="Y308" s="1483">
        <f t="shared" si="88"/>
        <v>0</v>
      </c>
      <c r="Z308" s="1486"/>
    </row>
    <row r="309" spans="1:26">
      <c r="A309" s="1414"/>
      <c r="B309" s="1415"/>
      <c r="C309" s="1405">
        <f t="shared" si="77"/>
        <v>1</v>
      </c>
      <c r="D309" s="1411"/>
      <c r="E309" s="1405">
        <f t="shared" si="78"/>
        <v>0</v>
      </c>
      <c r="F309" s="1411"/>
      <c r="G309" s="1405">
        <f t="shared" si="79"/>
        <v>1</v>
      </c>
      <c r="H309" s="1411"/>
      <c r="I309" s="1405">
        <f t="shared" si="80"/>
        <v>1</v>
      </c>
      <c r="J309" s="1411"/>
      <c r="K309" s="1405">
        <f t="shared" si="81"/>
        <v>1</v>
      </c>
      <c r="L309" s="1411"/>
      <c r="M309" s="1405">
        <f t="shared" si="82"/>
        <v>1</v>
      </c>
      <c r="N309" s="1411"/>
      <c r="O309" s="1405">
        <f t="shared" si="83"/>
        <v>1</v>
      </c>
      <c r="P309" s="1411"/>
      <c r="Q309" s="1405">
        <f t="shared" si="84"/>
        <v>0</v>
      </c>
      <c r="R309" s="1476">
        <f t="shared" si="89"/>
        <v>0</v>
      </c>
      <c r="S309" s="1358">
        <f t="shared" si="90"/>
        <v>0</v>
      </c>
      <c r="T309" s="1485">
        <f t="shared" si="91"/>
        <v>0</v>
      </c>
      <c r="U309" s="1483">
        <f t="shared" si="85"/>
        <v>0</v>
      </c>
      <c r="V309" s="1483">
        <f t="shared" si="86"/>
        <v>0</v>
      </c>
      <c r="W309" s="1486"/>
      <c r="X309" s="1483">
        <f t="shared" si="87"/>
        <v>0</v>
      </c>
      <c r="Y309" s="1483">
        <f t="shared" si="88"/>
        <v>0</v>
      </c>
      <c r="Z309" s="1486"/>
    </row>
    <row r="310" spans="1:26">
      <c r="A310" s="1414"/>
      <c r="B310" s="1415"/>
      <c r="C310" s="1405">
        <f t="shared" si="77"/>
        <v>1</v>
      </c>
      <c r="D310" s="1411"/>
      <c r="E310" s="1405">
        <f t="shared" si="78"/>
        <v>0</v>
      </c>
      <c r="F310" s="1411"/>
      <c r="G310" s="1405">
        <f t="shared" si="79"/>
        <v>1</v>
      </c>
      <c r="H310" s="1411"/>
      <c r="I310" s="1405">
        <f t="shared" si="80"/>
        <v>1</v>
      </c>
      <c r="J310" s="1411"/>
      <c r="K310" s="1405">
        <f t="shared" si="81"/>
        <v>1</v>
      </c>
      <c r="L310" s="1411"/>
      <c r="M310" s="1405">
        <f t="shared" si="82"/>
        <v>1</v>
      </c>
      <c r="N310" s="1411"/>
      <c r="O310" s="1405">
        <f t="shared" si="83"/>
        <v>1</v>
      </c>
      <c r="P310" s="1411"/>
      <c r="Q310" s="1405">
        <f t="shared" si="84"/>
        <v>0</v>
      </c>
      <c r="R310" s="1476">
        <f t="shared" si="89"/>
        <v>0</v>
      </c>
      <c r="S310" s="1358">
        <f t="shared" si="90"/>
        <v>0</v>
      </c>
      <c r="T310" s="1485">
        <f t="shared" si="91"/>
        <v>0</v>
      </c>
      <c r="U310" s="1483">
        <f t="shared" si="85"/>
        <v>0</v>
      </c>
      <c r="V310" s="1483">
        <f t="shared" si="86"/>
        <v>0</v>
      </c>
      <c r="W310" s="1486"/>
      <c r="X310" s="1483">
        <f t="shared" si="87"/>
        <v>0</v>
      </c>
      <c r="Y310" s="1483">
        <f t="shared" si="88"/>
        <v>0</v>
      </c>
      <c r="Z310" s="1486"/>
    </row>
    <row r="311" spans="1:26">
      <c r="A311" s="1414"/>
      <c r="B311" s="1415"/>
      <c r="C311" s="1405">
        <f t="shared" si="77"/>
        <v>1</v>
      </c>
      <c r="D311" s="1411"/>
      <c r="E311" s="1405">
        <f t="shared" si="78"/>
        <v>0</v>
      </c>
      <c r="F311" s="1411"/>
      <c r="G311" s="1405">
        <f t="shared" si="79"/>
        <v>1</v>
      </c>
      <c r="H311" s="1411"/>
      <c r="I311" s="1405">
        <f t="shared" si="80"/>
        <v>1</v>
      </c>
      <c r="J311" s="1411"/>
      <c r="K311" s="1405">
        <f t="shared" si="81"/>
        <v>1</v>
      </c>
      <c r="L311" s="1411"/>
      <c r="M311" s="1405">
        <f t="shared" si="82"/>
        <v>1</v>
      </c>
      <c r="N311" s="1411"/>
      <c r="O311" s="1405">
        <f t="shared" si="83"/>
        <v>1</v>
      </c>
      <c r="P311" s="1411"/>
      <c r="Q311" s="1405">
        <f t="shared" si="84"/>
        <v>0</v>
      </c>
      <c r="R311" s="1476">
        <f t="shared" si="89"/>
        <v>0</v>
      </c>
      <c r="S311" s="1358">
        <f t="shared" si="90"/>
        <v>0</v>
      </c>
      <c r="T311" s="1485">
        <f t="shared" si="91"/>
        <v>0</v>
      </c>
      <c r="U311" s="1483">
        <f t="shared" si="85"/>
        <v>0</v>
      </c>
      <c r="V311" s="1483">
        <f t="shared" si="86"/>
        <v>0</v>
      </c>
      <c r="W311" s="1486"/>
      <c r="X311" s="1483">
        <f t="shared" si="87"/>
        <v>0</v>
      </c>
      <c r="Y311" s="1483">
        <f t="shared" si="88"/>
        <v>0</v>
      </c>
      <c r="Z311" s="1486"/>
    </row>
    <row r="312" spans="1:26">
      <c r="A312" s="1414"/>
      <c r="B312" s="1415"/>
      <c r="C312" s="1405">
        <f t="shared" si="77"/>
        <v>1</v>
      </c>
      <c r="D312" s="1411"/>
      <c r="E312" s="1405">
        <f t="shared" si="78"/>
        <v>0</v>
      </c>
      <c r="F312" s="1411"/>
      <c r="G312" s="1405">
        <f t="shared" si="79"/>
        <v>1</v>
      </c>
      <c r="H312" s="1411"/>
      <c r="I312" s="1405">
        <f t="shared" si="80"/>
        <v>1</v>
      </c>
      <c r="J312" s="1411"/>
      <c r="K312" s="1405">
        <f t="shared" si="81"/>
        <v>1</v>
      </c>
      <c r="L312" s="1411"/>
      <c r="M312" s="1405">
        <f t="shared" si="82"/>
        <v>1</v>
      </c>
      <c r="N312" s="1411"/>
      <c r="O312" s="1405">
        <f t="shared" si="83"/>
        <v>1</v>
      </c>
      <c r="P312" s="1411"/>
      <c r="Q312" s="1405">
        <f t="shared" si="84"/>
        <v>0</v>
      </c>
      <c r="R312" s="1476">
        <f t="shared" si="89"/>
        <v>0</v>
      </c>
      <c r="S312" s="1358">
        <f t="shared" si="90"/>
        <v>0</v>
      </c>
      <c r="T312" s="1485">
        <f t="shared" si="91"/>
        <v>0</v>
      </c>
      <c r="U312" s="1483">
        <f t="shared" si="85"/>
        <v>0</v>
      </c>
      <c r="V312" s="1483">
        <f t="shared" si="86"/>
        <v>0</v>
      </c>
      <c r="W312" s="1486"/>
      <c r="X312" s="1483">
        <f t="shared" si="87"/>
        <v>0</v>
      </c>
      <c r="Y312" s="1483">
        <f t="shared" si="88"/>
        <v>0</v>
      </c>
      <c r="Z312" s="1486"/>
    </row>
    <row r="313" spans="1:26">
      <c r="A313" s="1414"/>
      <c r="B313" s="1415"/>
      <c r="C313" s="1405">
        <f t="shared" si="77"/>
        <v>1</v>
      </c>
      <c r="D313" s="1411"/>
      <c r="E313" s="1405">
        <f t="shared" si="78"/>
        <v>0</v>
      </c>
      <c r="F313" s="1411"/>
      <c r="G313" s="1405">
        <f t="shared" si="79"/>
        <v>1</v>
      </c>
      <c r="H313" s="1411"/>
      <c r="I313" s="1405">
        <f t="shared" si="80"/>
        <v>1</v>
      </c>
      <c r="J313" s="1411"/>
      <c r="K313" s="1405">
        <f t="shared" si="81"/>
        <v>1</v>
      </c>
      <c r="L313" s="1411"/>
      <c r="M313" s="1405">
        <f t="shared" si="82"/>
        <v>1</v>
      </c>
      <c r="N313" s="1411"/>
      <c r="O313" s="1405">
        <f t="shared" si="83"/>
        <v>1</v>
      </c>
      <c r="P313" s="1411"/>
      <c r="Q313" s="1405">
        <f t="shared" si="84"/>
        <v>0</v>
      </c>
      <c r="R313" s="1476">
        <f t="shared" si="89"/>
        <v>0</v>
      </c>
      <c r="S313" s="1358">
        <f t="shared" si="90"/>
        <v>0</v>
      </c>
      <c r="T313" s="1485">
        <f t="shared" si="91"/>
        <v>0</v>
      </c>
      <c r="U313" s="1483">
        <f t="shared" si="85"/>
        <v>0</v>
      </c>
      <c r="V313" s="1483">
        <f t="shared" si="86"/>
        <v>0</v>
      </c>
      <c r="W313" s="1486"/>
      <c r="X313" s="1483">
        <f t="shared" si="87"/>
        <v>0</v>
      </c>
      <c r="Y313" s="1483">
        <f t="shared" si="88"/>
        <v>0</v>
      </c>
      <c r="Z313" s="1486"/>
    </row>
    <row r="314" spans="1:26">
      <c r="A314" s="1414"/>
      <c r="B314" s="1415"/>
      <c r="C314" s="1405">
        <f t="shared" si="77"/>
        <v>1</v>
      </c>
      <c r="D314" s="1411"/>
      <c r="E314" s="1405">
        <f t="shared" si="78"/>
        <v>0</v>
      </c>
      <c r="F314" s="1411"/>
      <c r="G314" s="1405">
        <f t="shared" si="79"/>
        <v>1</v>
      </c>
      <c r="H314" s="1411"/>
      <c r="I314" s="1405">
        <f t="shared" si="80"/>
        <v>1</v>
      </c>
      <c r="J314" s="1411"/>
      <c r="K314" s="1405">
        <f t="shared" si="81"/>
        <v>1</v>
      </c>
      <c r="L314" s="1411"/>
      <c r="M314" s="1405">
        <f t="shared" si="82"/>
        <v>1</v>
      </c>
      <c r="N314" s="1411"/>
      <c r="O314" s="1405">
        <f t="shared" si="83"/>
        <v>1</v>
      </c>
      <c r="P314" s="1411"/>
      <c r="Q314" s="1405">
        <f t="shared" si="84"/>
        <v>0</v>
      </c>
      <c r="R314" s="1476">
        <f t="shared" si="89"/>
        <v>0</v>
      </c>
      <c r="S314" s="1358">
        <f t="shared" si="90"/>
        <v>0</v>
      </c>
      <c r="T314" s="1485">
        <f t="shared" si="91"/>
        <v>0</v>
      </c>
      <c r="U314" s="1483">
        <f t="shared" si="85"/>
        <v>0</v>
      </c>
      <c r="V314" s="1483">
        <f t="shared" si="86"/>
        <v>0</v>
      </c>
      <c r="W314" s="1486"/>
      <c r="X314" s="1483">
        <f t="shared" si="87"/>
        <v>0</v>
      </c>
      <c r="Y314" s="1483">
        <f t="shared" si="88"/>
        <v>0</v>
      </c>
      <c r="Z314" s="1486"/>
    </row>
    <row r="315" spans="1:26">
      <c r="A315" s="1414"/>
      <c r="B315" s="1415"/>
      <c r="C315" s="1405">
        <f t="shared" si="77"/>
        <v>1</v>
      </c>
      <c r="D315" s="1411"/>
      <c r="E315" s="1405">
        <f t="shared" si="78"/>
        <v>0</v>
      </c>
      <c r="F315" s="1411"/>
      <c r="G315" s="1405">
        <f t="shared" si="79"/>
        <v>1</v>
      </c>
      <c r="H315" s="1411"/>
      <c r="I315" s="1405">
        <f t="shared" si="80"/>
        <v>1</v>
      </c>
      <c r="J315" s="1411"/>
      <c r="K315" s="1405">
        <f t="shared" si="81"/>
        <v>1</v>
      </c>
      <c r="L315" s="1411"/>
      <c r="M315" s="1405">
        <f t="shared" si="82"/>
        <v>1</v>
      </c>
      <c r="N315" s="1411"/>
      <c r="O315" s="1405">
        <f t="shared" si="83"/>
        <v>1</v>
      </c>
      <c r="P315" s="1411"/>
      <c r="Q315" s="1405">
        <f t="shared" si="84"/>
        <v>0</v>
      </c>
      <c r="R315" s="1476">
        <f t="shared" si="89"/>
        <v>0</v>
      </c>
      <c r="S315" s="1358">
        <f t="shared" si="90"/>
        <v>0</v>
      </c>
      <c r="T315" s="1485">
        <f t="shared" si="91"/>
        <v>0</v>
      </c>
      <c r="U315" s="1483">
        <f t="shared" si="85"/>
        <v>0</v>
      </c>
      <c r="V315" s="1483">
        <f t="shared" si="86"/>
        <v>0</v>
      </c>
      <c r="W315" s="1486"/>
      <c r="X315" s="1483">
        <f t="shared" si="87"/>
        <v>0</v>
      </c>
      <c r="Y315" s="1483">
        <f t="shared" si="88"/>
        <v>0</v>
      </c>
      <c r="Z315" s="1486"/>
    </row>
    <row r="316" spans="1:26">
      <c r="A316" s="1414"/>
      <c r="B316" s="1415"/>
      <c r="C316" s="1405">
        <f t="shared" si="77"/>
        <v>1</v>
      </c>
      <c r="D316" s="1411"/>
      <c r="E316" s="1405">
        <f t="shared" si="78"/>
        <v>0</v>
      </c>
      <c r="F316" s="1411"/>
      <c r="G316" s="1405">
        <f t="shared" si="79"/>
        <v>1</v>
      </c>
      <c r="H316" s="1411"/>
      <c r="I316" s="1405">
        <f t="shared" si="80"/>
        <v>1</v>
      </c>
      <c r="J316" s="1411"/>
      <c r="K316" s="1405">
        <f t="shared" si="81"/>
        <v>1</v>
      </c>
      <c r="L316" s="1411"/>
      <c r="M316" s="1405">
        <f t="shared" si="82"/>
        <v>1</v>
      </c>
      <c r="N316" s="1411"/>
      <c r="O316" s="1405">
        <f t="shared" si="83"/>
        <v>1</v>
      </c>
      <c r="P316" s="1411"/>
      <c r="Q316" s="1405">
        <f t="shared" si="84"/>
        <v>0</v>
      </c>
      <c r="R316" s="1476">
        <f t="shared" si="89"/>
        <v>0</v>
      </c>
      <c r="S316" s="1358">
        <f t="shared" si="90"/>
        <v>0</v>
      </c>
      <c r="T316" s="1485">
        <f t="shared" si="91"/>
        <v>0</v>
      </c>
      <c r="U316" s="1483">
        <f t="shared" si="85"/>
        <v>0</v>
      </c>
      <c r="V316" s="1483">
        <f t="shared" si="86"/>
        <v>0</v>
      </c>
      <c r="W316" s="1486"/>
      <c r="X316" s="1483">
        <f t="shared" si="87"/>
        <v>0</v>
      </c>
      <c r="Y316" s="1483">
        <f t="shared" si="88"/>
        <v>0</v>
      </c>
      <c r="Z316" s="1486"/>
    </row>
    <row r="317" spans="1:26">
      <c r="A317" s="1414"/>
      <c r="B317" s="1415"/>
      <c r="C317" s="1405">
        <f t="shared" si="77"/>
        <v>1</v>
      </c>
      <c r="D317" s="1411"/>
      <c r="E317" s="1405">
        <f t="shared" si="78"/>
        <v>0</v>
      </c>
      <c r="F317" s="1411"/>
      <c r="G317" s="1405">
        <f t="shared" si="79"/>
        <v>1</v>
      </c>
      <c r="H317" s="1411"/>
      <c r="I317" s="1405">
        <f t="shared" si="80"/>
        <v>1</v>
      </c>
      <c r="J317" s="1411"/>
      <c r="K317" s="1405">
        <f t="shared" si="81"/>
        <v>1</v>
      </c>
      <c r="L317" s="1411"/>
      <c r="M317" s="1405">
        <f t="shared" si="82"/>
        <v>1</v>
      </c>
      <c r="N317" s="1411"/>
      <c r="O317" s="1405">
        <f t="shared" si="83"/>
        <v>1</v>
      </c>
      <c r="P317" s="1411"/>
      <c r="Q317" s="1405">
        <f t="shared" si="84"/>
        <v>0</v>
      </c>
      <c r="R317" s="1476">
        <f t="shared" si="89"/>
        <v>0</v>
      </c>
      <c r="S317" s="1358">
        <f t="shared" si="90"/>
        <v>0</v>
      </c>
      <c r="T317" s="1485">
        <f t="shared" si="91"/>
        <v>0</v>
      </c>
      <c r="U317" s="1483">
        <f t="shared" si="85"/>
        <v>0</v>
      </c>
      <c r="V317" s="1483">
        <f t="shared" si="86"/>
        <v>0</v>
      </c>
      <c r="W317" s="1486"/>
      <c r="X317" s="1483">
        <f t="shared" si="87"/>
        <v>0</v>
      </c>
      <c r="Y317" s="1483">
        <f t="shared" si="88"/>
        <v>0</v>
      </c>
      <c r="Z317" s="1486"/>
    </row>
    <row r="318" spans="1:26">
      <c r="A318" s="1414"/>
      <c r="B318" s="1415"/>
      <c r="C318" s="1405">
        <f t="shared" si="77"/>
        <v>1</v>
      </c>
      <c r="D318" s="1411"/>
      <c r="E318" s="1405">
        <f t="shared" si="78"/>
        <v>0</v>
      </c>
      <c r="F318" s="1411"/>
      <c r="G318" s="1405">
        <f t="shared" si="79"/>
        <v>1</v>
      </c>
      <c r="H318" s="1411"/>
      <c r="I318" s="1405">
        <f t="shared" si="80"/>
        <v>1</v>
      </c>
      <c r="J318" s="1411"/>
      <c r="K318" s="1405">
        <f t="shared" si="81"/>
        <v>1</v>
      </c>
      <c r="L318" s="1411"/>
      <c r="M318" s="1405">
        <f t="shared" si="82"/>
        <v>1</v>
      </c>
      <c r="N318" s="1411"/>
      <c r="O318" s="1405">
        <f t="shared" si="83"/>
        <v>1</v>
      </c>
      <c r="P318" s="1411"/>
      <c r="Q318" s="1405">
        <f t="shared" si="84"/>
        <v>0</v>
      </c>
      <c r="R318" s="1476">
        <f t="shared" si="89"/>
        <v>0</v>
      </c>
      <c r="S318" s="1358">
        <f t="shared" si="90"/>
        <v>0</v>
      </c>
      <c r="T318" s="1485">
        <f t="shared" si="91"/>
        <v>0</v>
      </c>
      <c r="U318" s="1483">
        <f t="shared" si="85"/>
        <v>0</v>
      </c>
      <c r="V318" s="1483">
        <f t="shared" si="86"/>
        <v>0</v>
      </c>
      <c r="W318" s="1486"/>
      <c r="X318" s="1483">
        <f t="shared" si="87"/>
        <v>0</v>
      </c>
      <c r="Y318" s="1483">
        <f t="shared" si="88"/>
        <v>0</v>
      </c>
      <c r="Z318" s="1486"/>
    </row>
    <row r="319" spans="1:26">
      <c r="A319" s="1414"/>
      <c r="B319" s="1415"/>
      <c r="C319" s="1405">
        <f t="shared" si="77"/>
        <v>1</v>
      </c>
      <c r="D319" s="1411"/>
      <c r="E319" s="1405">
        <f t="shared" si="78"/>
        <v>0</v>
      </c>
      <c r="F319" s="1411"/>
      <c r="G319" s="1405">
        <f t="shared" si="79"/>
        <v>1</v>
      </c>
      <c r="H319" s="1411"/>
      <c r="I319" s="1405">
        <f t="shared" si="80"/>
        <v>1</v>
      </c>
      <c r="J319" s="1411"/>
      <c r="K319" s="1405">
        <f t="shared" si="81"/>
        <v>1</v>
      </c>
      <c r="L319" s="1411"/>
      <c r="M319" s="1405">
        <f t="shared" si="82"/>
        <v>1</v>
      </c>
      <c r="N319" s="1411"/>
      <c r="O319" s="1405">
        <f t="shared" si="83"/>
        <v>1</v>
      </c>
      <c r="P319" s="1411"/>
      <c r="Q319" s="1405">
        <f t="shared" si="84"/>
        <v>0</v>
      </c>
      <c r="R319" s="1476">
        <f t="shared" si="89"/>
        <v>0</v>
      </c>
      <c r="S319" s="1358">
        <f t="shared" si="90"/>
        <v>0</v>
      </c>
      <c r="T319" s="1485">
        <f t="shared" si="91"/>
        <v>0</v>
      </c>
      <c r="U319" s="1483">
        <f t="shared" si="85"/>
        <v>0</v>
      </c>
      <c r="V319" s="1483">
        <f t="shared" si="86"/>
        <v>0</v>
      </c>
      <c r="W319" s="1486"/>
      <c r="X319" s="1483">
        <f t="shared" si="87"/>
        <v>0</v>
      </c>
      <c r="Y319" s="1483">
        <f t="shared" si="88"/>
        <v>0</v>
      </c>
      <c r="Z319" s="1486"/>
    </row>
    <row r="320" spans="1:26">
      <c r="A320" s="1414"/>
      <c r="B320" s="1415"/>
      <c r="C320" s="1405">
        <f t="shared" si="77"/>
        <v>1</v>
      </c>
      <c r="D320" s="1411"/>
      <c r="E320" s="1405">
        <f t="shared" si="78"/>
        <v>0</v>
      </c>
      <c r="F320" s="1411"/>
      <c r="G320" s="1405">
        <f t="shared" si="79"/>
        <v>1</v>
      </c>
      <c r="H320" s="1411"/>
      <c r="I320" s="1405">
        <f t="shared" si="80"/>
        <v>1</v>
      </c>
      <c r="J320" s="1411"/>
      <c r="K320" s="1405">
        <f t="shared" si="81"/>
        <v>1</v>
      </c>
      <c r="L320" s="1411"/>
      <c r="M320" s="1405">
        <f t="shared" si="82"/>
        <v>1</v>
      </c>
      <c r="N320" s="1411"/>
      <c r="O320" s="1405">
        <f t="shared" si="83"/>
        <v>1</v>
      </c>
      <c r="P320" s="1411"/>
      <c r="Q320" s="1405">
        <f t="shared" si="84"/>
        <v>0</v>
      </c>
      <c r="R320" s="1476">
        <f t="shared" si="89"/>
        <v>0</v>
      </c>
      <c r="S320" s="1358">
        <f t="shared" si="90"/>
        <v>0</v>
      </c>
      <c r="T320" s="1485">
        <f t="shared" si="91"/>
        <v>0</v>
      </c>
      <c r="U320" s="1483">
        <f t="shared" si="85"/>
        <v>0</v>
      </c>
      <c r="V320" s="1483">
        <f t="shared" si="86"/>
        <v>0</v>
      </c>
      <c r="W320" s="1486"/>
      <c r="X320" s="1483">
        <f t="shared" si="87"/>
        <v>0</v>
      </c>
      <c r="Y320" s="1483">
        <f t="shared" si="88"/>
        <v>0</v>
      </c>
      <c r="Z320" s="1486"/>
    </row>
    <row r="321" spans="1:26">
      <c r="A321" s="1414"/>
      <c r="B321" s="1415"/>
      <c r="C321" s="1405">
        <f t="shared" si="77"/>
        <v>1</v>
      </c>
      <c r="D321" s="1411"/>
      <c r="E321" s="1405">
        <f t="shared" si="78"/>
        <v>0</v>
      </c>
      <c r="F321" s="1411"/>
      <c r="G321" s="1405">
        <f t="shared" si="79"/>
        <v>1</v>
      </c>
      <c r="H321" s="1411"/>
      <c r="I321" s="1405">
        <f t="shared" si="80"/>
        <v>1</v>
      </c>
      <c r="J321" s="1411"/>
      <c r="K321" s="1405">
        <f t="shared" si="81"/>
        <v>1</v>
      </c>
      <c r="L321" s="1411"/>
      <c r="M321" s="1405">
        <f t="shared" si="82"/>
        <v>1</v>
      </c>
      <c r="N321" s="1411"/>
      <c r="O321" s="1405">
        <f t="shared" si="83"/>
        <v>1</v>
      </c>
      <c r="P321" s="1411"/>
      <c r="Q321" s="1405">
        <f t="shared" si="84"/>
        <v>0</v>
      </c>
      <c r="R321" s="1476">
        <f t="shared" si="89"/>
        <v>0</v>
      </c>
      <c r="S321" s="1358">
        <f t="shared" si="90"/>
        <v>0</v>
      </c>
      <c r="T321" s="1485">
        <f t="shared" si="91"/>
        <v>0</v>
      </c>
      <c r="U321" s="1483">
        <f t="shared" si="85"/>
        <v>0</v>
      </c>
      <c r="V321" s="1483">
        <f t="shared" si="86"/>
        <v>0</v>
      </c>
      <c r="W321" s="1486"/>
      <c r="X321" s="1483">
        <f t="shared" si="87"/>
        <v>0</v>
      </c>
      <c r="Y321" s="1483">
        <f t="shared" si="88"/>
        <v>0</v>
      </c>
      <c r="Z321" s="1486"/>
    </row>
    <row r="322" spans="1:26">
      <c r="A322" s="1414"/>
      <c r="B322" s="1415"/>
      <c r="C322" s="1405">
        <f t="shared" si="77"/>
        <v>1</v>
      </c>
      <c r="D322" s="1411"/>
      <c r="E322" s="1405">
        <f t="shared" si="78"/>
        <v>0</v>
      </c>
      <c r="F322" s="1411"/>
      <c r="G322" s="1405">
        <f t="shared" si="79"/>
        <v>1</v>
      </c>
      <c r="H322" s="1411"/>
      <c r="I322" s="1405">
        <f t="shared" si="80"/>
        <v>1</v>
      </c>
      <c r="J322" s="1411"/>
      <c r="K322" s="1405">
        <f t="shared" si="81"/>
        <v>1</v>
      </c>
      <c r="L322" s="1411"/>
      <c r="M322" s="1405">
        <f t="shared" si="82"/>
        <v>1</v>
      </c>
      <c r="N322" s="1411"/>
      <c r="O322" s="1405">
        <f t="shared" si="83"/>
        <v>1</v>
      </c>
      <c r="P322" s="1411"/>
      <c r="Q322" s="1405">
        <f t="shared" si="84"/>
        <v>0</v>
      </c>
      <c r="R322" s="1476">
        <f t="shared" si="89"/>
        <v>0</v>
      </c>
      <c r="S322" s="1358">
        <f t="shared" si="90"/>
        <v>0</v>
      </c>
      <c r="T322" s="1485">
        <f t="shared" si="91"/>
        <v>0</v>
      </c>
      <c r="U322" s="1483">
        <f t="shared" si="85"/>
        <v>0</v>
      </c>
      <c r="V322" s="1483">
        <f t="shared" si="86"/>
        <v>0</v>
      </c>
      <c r="W322" s="1486"/>
      <c r="X322" s="1483">
        <f t="shared" si="87"/>
        <v>0</v>
      </c>
      <c r="Y322" s="1483">
        <f t="shared" si="88"/>
        <v>0</v>
      </c>
      <c r="Z322" s="1486"/>
    </row>
    <row r="323" spans="1:26">
      <c r="A323" s="1414"/>
      <c r="B323" s="1415"/>
      <c r="C323" s="1405">
        <f t="shared" si="77"/>
        <v>1</v>
      </c>
      <c r="D323" s="1411"/>
      <c r="E323" s="1405">
        <f t="shared" si="78"/>
        <v>0</v>
      </c>
      <c r="F323" s="1411"/>
      <c r="G323" s="1405">
        <f t="shared" si="79"/>
        <v>1</v>
      </c>
      <c r="H323" s="1411"/>
      <c r="I323" s="1405">
        <f t="shared" si="80"/>
        <v>1</v>
      </c>
      <c r="J323" s="1411"/>
      <c r="K323" s="1405">
        <f t="shared" si="81"/>
        <v>1</v>
      </c>
      <c r="L323" s="1411"/>
      <c r="M323" s="1405">
        <f t="shared" si="82"/>
        <v>1</v>
      </c>
      <c r="N323" s="1411"/>
      <c r="O323" s="1405">
        <f t="shared" si="83"/>
        <v>1</v>
      </c>
      <c r="P323" s="1411"/>
      <c r="Q323" s="1405">
        <f t="shared" si="84"/>
        <v>0</v>
      </c>
      <c r="R323" s="1476">
        <f t="shared" si="89"/>
        <v>0</v>
      </c>
      <c r="S323" s="1358">
        <f t="shared" si="90"/>
        <v>0</v>
      </c>
      <c r="T323" s="1485">
        <f t="shared" si="91"/>
        <v>0</v>
      </c>
      <c r="U323" s="1483">
        <f t="shared" si="85"/>
        <v>0</v>
      </c>
      <c r="V323" s="1483">
        <f t="shared" si="86"/>
        <v>0</v>
      </c>
      <c r="W323" s="1486"/>
      <c r="X323" s="1483">
        <f t="shared" si="87"/>
        <v>0</v>
      </c>
      <c r="Y323" s="1483">
        <f t="shared" si="88"/>
        <v>0</v>
      </c>
      <c r="Z323" s="1486"/>
    </row>
    <row r="324" spans="1:26">
      <c r="A324" s="1414"/>
      <c r="B324" s="1415"/>
      <c r="C324" s="1405">
        <f t="shared" si="77"/>
        <v>1</v>
      </c>
      <c r="D324" s="1411"/>
      <c r="E324" s="1405">
        <f t="shared" si="78"/>
        <v>0</v>
      </c>
      <c r="F324" s="1411"/>
      <c r="G324" s="1405">
        <f t="shared" si="79"/>
        <v>1</v>
      </c>
      <c r="H324" s="1411"/>
      <c r="I324" s="1405">
        <f t="shared" si="80"/>
        <v>1</v>
      </c>
      <c r="J324" s="1411"/>
      <c r="K324" s="1405">
        <f t="shared" si="81"/>
        <v>1</v>
      </c>
      <c r="L324" s="1411"/>
      <c r="M324" s="1405">
        <f t="shared" si="82"/>
        <v>1</v>
      </c>
      <c r="N324" s="1411"/>
      <c r="O324" s="1405">
        <f t="shared" si="83"/>
        <v>1</v>
      </c>
      <c r="P324" s="1411"/>
      <c r="Q324" s="1405">
        <f t="shared" si="84"/>
        <v>0</v>
      </c>
      <c r="R324" s="1476">
        <f t="shared" si="89"/>
        <v>0</v>
      </c>
      <c r="S324" s="1358">
        <f t="shared" si="90"/>
        <v>0</v>
      </c>
      <c r="T324" s="1485">
        <f t="shared" si="91"/>
        <v>0</v>
      </c>
      <c r="U324" s="1483">
        <f t="shared" si="85"/>
        <v>0</v>
      </c>
      <c r="V324" s="1483">
        <f t="shared" si="86"/>
        <v>0</v>
      </c>
      <c r="W324" s="1486"/>
      <c r="X324" s="1483">
        <f t="shared" si="87"/>
        <v>0</v>
      </c>
      <c r="Y324" s="1483">
        <f t="shared" si="88"/>
        <v>0</v>
      </c>
      <c r="Z324" s="1486"/>
    </row>
    <row r="325" spans="1:26">
      <c r="A325" s="1414"/>
      <c r="B325" s="1415"/>
      <c r="C325" s="1405">
        <f t="shared" si="77"/>
        <v>1</v>
      </c>
      <c r="D325" s="1411"/>
      <c r="E325" s="1405">
        <f t="shared" si="78"/>
        <v>0</v>
      </c>
      <c r="F325" s="1411"/>
      <c r="G325" s="1405">
        <f t="shared" si="79"/>
        <v>1</v>
      </c>
      <c r="H325" s="1411"/>
      <c r="I325" s="1405">
        <f t="shared" si="80"/>
        <v>1</v>
      </c>
      <c r="J325" s="1411"/>
      <c r="K325" s="1405">
        <f t="shared" si="81"/>
        <v>1</v>
      </c>
      <c r="L325" s="1411"/>
      <c r="M325" s="1405">
        <f t="shared" si="82"/>
        <v>1</v>
      </c>
      <c r="N325" s="1411"/>
      <c r="O325" s="1405">
        <f t="shared" si="83"/>
        <v>1</v>
      </c>
      <c r="P325" s="1411"/>
      <c r="Q325" s="1405">
        <f t="shared" si="84"/>
        <v>0</v>
      </c>
      <c r="R325" s="1476">
        <f t="shared" si="89"/>
        <v>0</v>
      </c>
      <c r="S325" s="1358">
        <f t="shared" si="90"/>
        <v>0</v>
      </c>
      <c r="T325" s="1485">
        <f t="shared" si="91"/>
        <v>0</v>
      </c>
      <c r="U325" s="1483">
        <f t="shared" si="85"/>
        <v>0</v>
      </c>
      <c r="V325" s="1483">
        <f t="shared" si="86"/>
        <v>0</v>
      </c>
      <c r="W325" s="1486"/>
      <c r="X325" s="1483">
        <f t="shared" si="87"/>
        <v>0</v>
      </c>
      <c r="Y325" s="1483">
        <f t="shared" si="88"/>
        <v>0</v>
      </c>
      <c r="Z325" s="1486"/>
    </row>
    <row r="326" spans="1:26">
      <c r="A326" s="1414"/>
      <c r="B326" s="1415"/>
      <c r="C326" s="1405">
        <f t="shared" si="77"/>
        <v>1</v>
      </c>
      <c r="D326" s="1411"/>
      <c r="E326" s="1405">
        <f t="shared" si="78"/>
        <v>0</v>
      </c>
      <c r="F326" s="1411"/>
      <c r="G326" s="1405">
        <f t="shared" si="79"/>
        <v>1</v>
      </c>
      <c r="H326" s="1411"/>
      <c r="I326" s="1405">
        <f t="shared" si="80"/>
        <v>1</v>
      </c>
      <c r="J326" s="1411"/>
      <c r="K326" s="1405">
        <f t="shared" si="81"/>
        <v>1</v>
      </c>
      <c r="L326" s="1411"/>
      <c r="M326" s="1405">
        <f t="shared" si="82"/>
        <v>1</v>
      </c>
      <c r="N326" s="1411"/>
      <c r="O326" s="1405">
        <f t="shared" si="83"/>
        <v>1</v>
      </c>
      <c r="P326" s="1411"/>
      <c r="Q326" s="1405">
        <f t="shared" si="84"/>
        <v>0</v>
      </c>
      <c r="R326" s="1476">
        <f t="shared" si="89"/>
        <v>0</v>
      </c>
      <c r="S326" s="1358">
        <f t="shared" si="90"/>
        <v>0</v>
      </c>
      <c r="T326" s="1485">
        <f t="shared" si="91"/>
        <v>0</v>
      </c>
      <c r="U326" s="1483">
        <f t="shared" si="85"/>
        <v>0</v>
      </c>
      <c r="V326" s="1483">
        <f t="shared" si="86"/>
        <v>0</v>
      </c>
      <c r="W326" s="1486"/>
      <c r="X326" s="1483">
        <f t="shared" si="87"/>
        <v>0</v>
      </c>
      <c r="Y326" s="1483">
        <f t="shared" si="88"/>
        <v>0</v>
      </c>
      <c r="Z326" s="1486"/>
    </row>
    <row r="327" spans="1:26">
      <c r="A327" s="1414"/>
      <c r="B327" s="1415"/>
      <c r="C327" s="1405">
        <f t="shared" si="77"/>
        <v>1</v>
      </c>
      <c r="D327" s="1411"/>
      <c r="E327" s="1405">
        <f t="shared" si="78"/>
        <v>0</v>
      </c>
      <c r="F327" s="1411"/>
      <c r="G327" s="1405">
        <f t="shared" si="79"/>
        <v>1</v>
      </c>
      <c r="H327" s="1411"/>
      <c r="I327" s="1405">
        <f t="shared" si="80"/>
        <v>1</v>
      </c>
      <c r="J327" s="1411"/>
      <c r="K327" s="1405">
        <f t="shared" si="81"/>
        <v>1</v>
      </c>
      <c r="L327" s="1411"/>
      <c r="M327" s="1405">
        <f t="shared" si="82"/>
        <v>1</v>
      </c>
      <c r="N327" s="1411"/>
      <c r="O327" s="1405">
        <f t="shared" si="83"/>
        <v>1</v>
      </c>
      <c r="P327" s="1411"/>
      <c r="Q327" s="1405">
        <f t="shared" si="84"/>
        <v>0</v>
      </c>
      <c r="R327" s="1476">
        <f t="shared" si="89"/>
        <v>0</v>
      </c>
      <c r="S327" s="1358">
        <f t="shared" si="90"/>
        <v>0</v>
      </c>
      <c r="T327" s="1485">
        <f t="shared" si="91"/>
        <v>0</v>
      </c>
      <c r="U327" s="1483">
        <f t="shared" si="85"/>
        <v>0</v>
      </c>
      <c r="V327" s="1483">
        <f t="shared" si="86"/>
        <v>0</v>
      </c>
      <c r="W327" s="1486"/>
      <c r="X327" s="1483">
        <f t="shared" si="87"/>
        <v>0</v>
      </c>
      <c r="Y327" s="1483">
        <f t="shared" si="88"/>
        <v>0</v>
      </c>
      <c r="Z327" s="1486"/>
    </row>
    <row r="328" spans="1:26">
      <c r="A328" s="1414"/>
      <c r="B328" s="1415"/>
      <c r="C328" s="1405">
        <f t="shared" si="77"/>
        <v>1</v>
      </c>
      <c r="D328" s="1411"/>
      <c r="E328" s="1405">
        <f t="shared" si="78"/>
        <v>0</v>
      </c>
      <c r="F328" s="1411"/>
      <c r="G328" s="1405">
        <f t="shared" si="79"/>
        <v>1</v>
      </c>
      <c r="H328" s="1411"/>
      <c r="I328" s="1405">
        <f t="shared" si="80"/>
        <v>1</v>
      </c>
      <c r="J328" s="1411"/>
      <c r="K328" s="1405">
        <f t="shared" si="81"/>
        <v>1</v>
      </c>
      <c r="L328" s="1411"/>
      <c r="M328" s="1405">
        <f t="shared" si="82"/>
        <v>1</v>
      </c>
      <c r="N328" s="1411"/>
      <c r="O328" s="1405">
        <f t="shared" si="83"/>
        <v>1</v>
      </c>
      <c r="P328" s="1411"/>
      <c r="Q328" s="1405">
        <f t="shared" si="84"/>
        <v>0</v>
      </c>
      <c r="R328" s="1476">
        <f t="shared" si="89"/>
        <v>0</v>
      </c>
      <c r="S328" s="1358">
        <f t="shared" si="90"/>
        <v>0</v>
      </c>
      <c r="T328" s="1485">
        <f t="shared" si="91"/>
        <v>0</v>
      </c>
      <c r="U328" s="1483">
        <f t="shared" si="85"/>
        <v>0</v>
      </c>
      <c r="V328" s="1483">
        <f t="shared" si="86"/>
        <v>0</v>
      </c>
      <c r="W328" s="1486"/>
      <c r="X328" s="1483">
        <f t="shared" si="87"/>
        <v>0</v>
      </c>
      <c r="Y328" s="1483">
        <f t="shared" si="88"/>
        <v>0</v>
      </c>
      <c r="Z328" s="1486"/>
    </row>
    <row r="329" spans="1:26">
      <c r="A329" s="1414"/>
      <c r="B329" s="1415"/>
      <c r="C329" s="1405">
        <f t="shared" si="77"/>
        <v>1</v>
      </c>
      <c r="D329" s="1411"/>
      <c r="E329" s="1405">
        <f t="shared" si="78"/>
        <v>0</v>
      </c>
      <c r="F329" s="1411"/>
      <c r="G329" s="1405">
        <f t="shared" si="79"/>
        <v>1</v>
      </c>
      <c r="H329" s="1411"/>
      <c r="I329" s="1405">
        <f t="shared" si="80"/>
        <v>1</v>
      </c>
      <c r="J329" s="1411"/>
      <c r="K329" s="1405">
        <f t="shared" si="81"/>
        <v>1</v>
      </c>
      <c r="L329" s="1411"/>
      <c r="M329" s="1405">
        <f t="shared" si="82"/>
        <v>1</v>
      </c>
      <c r="N329" s="1411"/>
      <c r="O329" s="1405">
        <f t="shared" si="83"/>
        <v>1</v>
      </c>
      <c r="P329" s="1411"/>
      <c r="Q329" s="1405">
        <f t="shared" si="84"/>
        <v>0</v>
      </c>
      <c r="R329" s="1476">
        <f t="shared" si="89"/>
        <v>0</v>
      </c>
      <c r="S329" s="1358">
        <f t="shared" si="90"/>
        <v>0</v>
      </c>
      <c r="T329" s="1485">
        <f t="shared" si="91"/>
        <v>0</v>
      </c>
      <c r="U329" s="1483">
        <f t="shared" si="85"/>
        <v>0</v>
      </c>
      <c r="V329" s="1483">
        <f t="shared" si="86"/>
        <v>0</v>
      </c>
      <c r="W329" s="1486"/>
      <c r="X329" s="1483">
        <f t="shared" si="87"/>
        <v>0</v>
      </c>
      <c r="Y329" s="1483">
        <f t="shared" si="88"/>
        <v>0</v>
      </c>
      <c r="Z329" s="1486"/>
    </row>
    <row r="330" spans="1:26">
      <c r="A330" s="1414"/>
      <c r="B330" s="1415"/>
      <c r="C330" s="1405">
        <f t="shared" si="77"/>
        <v>1</v>
      </c>
      <c r="D330" s="1411"/>
      <c r="E330" s="1405">
        <f t="shared" si="78"/>
        <v>0</v>
      </c>
      <c r="F330" s="1411"/>
      <c r="G330" s="1405">
        <f t="shared" si="79"/>
        <v>1</v>
      </c>
      <c r="H330" s="1411"/>
      <c r="I330" s="1405">
        <f t="shared" si="80"/>
        <v>1</v>
      </c>
      <c r="J330" s="1411"/>
      <c r="K330" s="1405">
        <f t="shared" si="81"/>
        <v>1</v>
      </c>
      <c r="L330" s="1411"/>
      <c r="M330" s="1405">
        <f t="shared" si="82"/>
        <v>1</v>
      </c>
      <c r="N330" s="1411"/>
      <c r="O330" s="1405">
        <f t="shared" si="83"/>
        <v>1</v>
      </c>
      <c r="P330" s="1411"/>
      <c r="Q330" s="1405">
        <f t="shared" si="84"/>
        <v>0</v>
      </c>
      <c r="R330" s="1476">
        <f t="shared" si="89"/>
        <v>0</v>
      </c>
      <c r="S330" s="1358">
        <f t="shared" si="90"/>
        <v>0</v>
      </c>
      <c r="T330" s="1485">
        <f t="shared" si="91"/>
        <v>0</v>
      </c>
      <c r="U330" s="1483">
        <f t="shared" si="85"/>
        <v>0</v>
      </c>
      <c r="V330" s="1483">
        <f t="shared" si="86"/>
        <v>0</v>
      </c>
      <c r="W330" s="1486"/>
      <c r="X330" s="1483">
        <f t="shared" si="87"/>
        <v>0</v>
      </c>
      <c r="Y330" s="1483">
        <f t="shared" si="88"/>
        <v>0</v>
      </c>
      <c r="Z330" s="1486"/>
    </row>
    <row r="331" spans="1:26">
      <c r="A331" s="1414"/>
      <c r="B331" s="1415"/>
      <c r="C331" s="1405">
        <f t="shared" si="77"/>
        <v>1</v>
      </c>
      <c r="D331" s="1411"/>
      <c r="E331" s="1405">
        <f t="shared" si="78"/>
        <v>0</v>
      </c>
      <c r="F331" s="1411"/>
      <c r="G331" s="1405">
        <f t="shared" si="79"/>
        <v>1</v>
      </c>
      <c r="H331" s="1411"/>
      <c r="I331" s="1405">
        <f t="shared" si="80"/>
        <v>1</v>
      </c>
      <c r="J331" s="1411"/>
      <c r="K331" s="1405">
        <f t="shared" si="81"/>
        <v>1</v>
      </c>
      <c r="L331" s="1411"/>
      <c r="M331" s="1405">
        <f t="shared" si="82"/>
        <v>1</v>
      </c>
      <c r="N331" s="1411"/>
      <c r="O331" s="1405">
        <f t="shared" si="83"/>
        <v>1</v>
      </c>
      <c r="P331" s="1411"/>
      <c r="Q331" s="1405">
        <f t="shared" si="84"/>
        <v>0</v>
      </c>
      <c r="R331" s="1476">
        <f t="shared" si="89"/>
        <v>0</v>
      </c>
      <c r="S331" s="1358">
        <f t="shared" si="90"/>
        <v>0</v>
      </c>
      <c r="T331" s="1485">
        <f t="shared" si="91"/>
        <v>0</v>
      </c>
      <c r="U331" s="1483">
        <f t="shared" si="85"/>
        <v>0</v>
      </c>
      <c r="V331" s="1483">
        <f t="shared" si="86"/>
        <v>0</v>
      </c>
      <c r="W331" s="1486"/>
      <c r="X331" s="1483">
        <f t="shared" si="87"/>
        <v>0</v>
      </c>
      <c r="Y331" s="1483">
        <f t="shared" si="88"/>
        <v>0</v>
      </c>
      <c r="Z331" s="1486"/>
    </row>
    <row r="332" spans="1:26">
      <c r="A332" s="1414"/>
      <c r="B332" s="1415"/>
      <c r="C332" s="1405">
        <f t="shared" si="77"/>
        <v>1</v>
      </c>
      <c r="D332" s="1411"/>
      <c r="E332" s="1405">
        <f t="shared" si="78"/>
        <v>0</v>
      </c>
      <c r="F332" s="1411"/>
      <c r="G332" s="1405">
        <f t="shared" si="79"/>
        <v>1</v>
      </c>
      <c r="H332" s="1411"/>
      <c r="I332" s="1405">
        <f t="shared" si="80"/>
        <v>1</v>
      </c>
      <c r="J332" s="1411"/>
      <c r="K332" s="1405">
        <f t="shared" si="81"/>
        <v>1</v>
      </c>
      <c r="L332" s="1411"/>
      <c r="M332" s="1405">
        <f t="shared" si="82"/>
        <v>1</v>
      </c>
      <c r="N332" s="1411"/>
      <c r="O332" s="1405">
        <f t="shared" si="83"/>
        <v>1</v>
      </c>
      <c r="P332" s="1411"/>
      <c r="Q332" s="1405">
        <f t="shared" si="84"/>
        <v>0</v>
      </c>
      <c r="R332" s="1476">
        <f t="shared" si="89"/>
        <v>0</v>
      </c>
      <c r="S332" s="1358">
        <f t="shared" si="90"/>
        <v>0</v>
      </c>
      <c r="T332" s="1485">
        <f t="shared" si="91"/>
        <v>0</v>
      </c>
      <c r="U332" s="1483">
        <f t="shared" si="85"/>
        <v>0</v>
      </c>
      <c r="V332" s="1483">
        <f t="shared" si="86"/>
        <v>0</v>
      </c>
      <c r="W332" s="1486"/>
      <c r="X332" s="1483">
        <f t="shared" si="87"/>
        <v>0</v>
      </c>
      <c r="Y332" s="1483">
        <f t="shared" si="88"/>
        <v>0</v>
      </c>
      <c r="Z332" s="1486"/>
    </row>
    <row r="333" spans="1:26">
      <c r="A333" s="1414"/>
      <c r="B333" s="1415"/>
      <c r="C333" s="1405">
        <f t="shared" si="77"/>
        <v>1</v>
      </c>
      <c r="D333" s="1411"/>
      <c r="E333" s="1405">
        <f t="shared" si="78"/>
        <v>0</v>
      </c>
      <c r="F333" s="1411"/>
      <c r="G333" s="1405">
        <f t="shared" si="79"/>
        <v>1</v>
      </c>
      <c r="H333" s="1411"/>
      <c r="I333" s="1405">
        <f t="shared" si="80"/>
        <v>1</v>
      </c>
      <c r="J333" s="1411"/>
      <c r="K333" s="1405">
        <f t="shared" si="81"/>
        <v>1</v>
      </c>
      <c r="L333" s="1411"/>
      <c r="M333" s="1405">
        <f t="shared" si="82"/>
        <v>1</v>
      </c>
      <c r="N333" s="1411"/>
      <c r="O333" s="1405">
        <f t="shared" si="83"/>
        <v>1</v>
      </c>
      <c r="P333" s="1411"/>
      <c r="Q333" s="1405">
        <f t="shared" si="84"/>
        <v>0</v>
      </c>
      <c r="R333" s="1476">
        <f t="shared" si="89"/>
        <v>0</v>
      </c>
      <c r="S333" s="1358">
        <f t="shared" si="90"/>
        <v>0</v>
      </c>
      <c r="T333" s="1485">
        <f t="shared" si="91"/>
        <v>0</v>
      </c>
      <c r="U333" s="1483">
        <f t="shared" si="85"/>
        <v>0</v>
      </c>
      <c r="V333" s="1483">
        <f t="shared" si="86"/>
        <v>0</v>
      </c>
      <c r="W333" s="1486"/>
      <c r="X333" s="1483">
        <f t="shared" si="87"/>
        <v>0</v>
      </c>
      <c r="Y333" s="1483">
        <f t="shared" si="88"/>
        <v>0</v>
      </c>
      <c r="Z333" s="1486"/>
    </row>
    <row r="334" spans="1:26">
      <c r="A334" s="1414"/>
      <c r="B334" s="1415"/>
      <c r="C334" s="1405">
        <f t="shared" si="77"/>
        <v>1</v>
      </c>
      <c r="D334" s="1411"/>
      <c r="E334" s="1405">
        <f t="shared" si="78"/>
        <v>0</v>
      </c>
      <c r="F334" s="1411"/>
      <c r="G334" s="1405">
        <f t="shared" si="79"/>
        <v>1</v>
      </c>
      <c r="H334" s="1411"/>
      <c r="I334" s="1405">
        <f t="shared" si="80"/>
        <v>1</v>
      </c>
      <c r="J334" s="1411"/>
      <c r="K334" s="1405">
        <f t="shared" si="81"/>
        <v>1</v>
      </c>
      <c r="L334" s="1411"/>
      <c r="M334" s="1405">
        <f t="shared" si="82"/>
        <v>1</v>
      </c>
      <c r="N334" s="1411"/>
      <c r="O334" s="1405">
        <f t="shared" si="83"/>
        <v>1</v>
      </c>
      <c r="P334" s="1411"/>
      <c r="Q334" s="1405">
        <f t="shared" si="84"/>
        <v>0</v>
      </c>
      <c r="R334" s="1476">
        <f t="shared" si="89"/>
        <v>0</v>
      </c>
      <c r="S334" s="1358">
        <f t="shared" si="90"/>
        <v>0</v>
      </c>
      <c r="T334" s="1485">
        <f t="shared" si="91"/>
        <v>0</v>
      </c>
      <c r="U334" s="1483">
        <f t="shared" si="85"/>
        <v>0</v>
      </c>
      <c r="V334" s="1483">
        <f t="shared" si="86"/>
        <v>0</v>
      </c>
      <c r="W334" s="1486"/>
      <c r="X334" s="1483">
        <f t="shared" si="87"/>
        <v>0</v>
      </c>
      <c r="Y334" s="1483">
        <f t="shared" si="88"/>
        <v>0</v>
      </c>
      <c r="Z334" s="1486"/>
    </row>
    <row r="335" spans="1:26">
      <c r="A335" s="1414"/>
      <c r="B335" s="1415"/>
      <c r="C335" s="1405">
        <f t="shared" si="77"/>
        <v>1</v>
      </c>
      <c r="D335" s="1411"/>
      <c r="E335" s="1405">
        <f t="shared" si="78"/>
        <v>0</v>
      </c>
      <c r="F335" s="1411"/>
      <c r="G335" s="1405">
        <f t="shared" si="79"/>
        <v>1</v>
      </c>
      <c r="H335" s="1411"/>
      <c r="I335" s="1405">
        <f t="shared" si="80"/>
        <v>1</v>
      </c>
      <c r="J335" s="1411"/>
      <c r="K335" s="1405">
        <f t="shared" si="81"/>
        <v>1</v>
      </c>
      <c r="L335" s="1411"/>
      <c r="M335" s="1405">
        <f t="shared" si="82"/>
        <v>1</v>
      </c>
      <c r="N335" s="1411"/>
      <c r="O335" s="1405">
        <f t="shared" si="83"/>
        <v>1</v>
      </c>
      <c r="P335" s="1411"/>
      <c r="Q335" s="1405">
        <f t="shared" si="84"/>
        <v>0</v>
      </c>
      <c r="R335" s="1476">
        <f t="shared" si="89"/>
        <v>0</v>
      </c>
      <c r="S335" s="1358">
        <f t="shared" si="90"/>
        <v>0</v>
      </c>
      <c r="T335" s="1485">
        <f t="shared" si="91"/>
        <v>0</v>
      </c>
      <c r="U335" s="1483">
        <f t="shared" si="85"/>
        <v>0</v>
      </c>
      <c r="V335" s="1483">
        <f t="shared" si="86"/>
        <v>0</v>
      </c>
      <c r="W335" s="1486"/>
      <c r="X335" s="1483">
        <f t="shared" si="87"/>
        <v>0</v>
      </c>
      <c r="Y335" s="1483">
        <f t="shared" si="88"/>
        <v>0</v>
      </c>
      <c r="Z335" s="1486"/>
    </row>
    <row r="336" spans="1:26">
      <c r="A336" s="1414"/>
      <c r="B336" s="1415"/>
      <c r="C336" s="1405">
        <f t="shared" si="77"/>
        <v>1</v>
      </c>
      <c r="D336" s="1411"/>
      <c r="E336" s="1405">
        <f t="shared" si="78"/>
        <v>0</v>
      </c>
      <c r="F336" s="1411"/>
      <c r="G336" s="1405">
        <f t="shared" si="79"/>
        <v>1</v>
      </c>
      <c r="H336" s="1411"/>
      <c r="I336" s="1405">
        <f t="shared" si="80"/>
        <v>1</v>
      </c>
      <c r="J336" s="1411"/>
      <c r="K336" s="1405">
        <f t="shared" si="81"/>
        <v>1</v>
      </c>
      <c r="L336" s="1411"/>
      <c r="M336" s="1405">
        <f t="shared" si="82"/>
        <v>1</v>
      </c>
      <c r="N336" s="1411"/>
      <c r="O336" s="1405">
        <f t="shared" si="83"/>
        <v>1</v>
      </c>
      <c r="P336" s="1411"/>
      <c r="Q336" s="1405">
        <f t="shared" si="84"/>
        <v>0</v>
      </c>
      <c r="R336" s="1476">
        <f t="shared" si="89"/>
        <v>0</v>
      </c>
      <c r="S336" s="1358">
        <f t="shared" si="90"/>
        <v>0</v>
      </c>
      <c r="T336" s="1485">
        <f t="shared" si="91"/>
        <v>0</v>
      </c>
      <c r="U336" s="1483">
        <f t="shared" si="85"/>
        <v>0</v>
      </c>
      <c r="V336" s="1483">
        <f t="shared" si="86"/>
        <v>0</v>
      </c>
      <c r="W336" s="1486"/>
      <c r="X336" s="1483">
        <f t="shared" si="87"/>
        <v>0</v>
      </c>
      <c r="Y336" s="1483">
        <f t="shared" si="88"/>
        <v>0</v>
      </c>
      <c r="Z336" s="1486"/>
    </row>
    <row r="337" spans="1:26">
      <c r="A337" s="1414"/>
      <c r="B337" s="1415"/>
      <c r="C337" s="1405">
        <f t="shared" si="77"/>
        <v>1</v>
      </c>
      <c r="D337" s="1411"/>
      <c r="E337" s="1405">
        <f t="shared" si="78"/>
        <v>0</v>
      </c>
      <c r="F337" s="1411"/>
      <c r="G337" s="1405">
        <f t="shared" si="79"/>
        <v>1</v>
      </c>
      <c r="H337" s="1411"/>
      <c r="I337" s="1405">
        <f t="shared" si="80"/>
        <v>1</v>
      </c>
      <c r="J337" s="1411"/>
      <c r="K337" s="1405">
        <f t="shared" si="81"/>
        <v>1</v>
      </c>
      <c r="L337" s="1411"/>
      <c r="M337" s="1405">
        <f t="shared" si="82"/>
        <v>1</v>
      </c>
      <c r="N337" s="1411"/>
      <c r="O337" s="1405">
        <f t="shared" si="83"/>
        <v>1</v>
      </c>
      <c r="P337" s="1411"/>
      <c r="Q337" s="1405">
        <f t="shared" si="84"/>
        <v>0</v>
      </c>
      <c r="R337" s="1476">
        <f t="shared" si="89"/>
        <v>0</v>
      </c>
      <c r="S337" s="1358">
        <f t="shared" si="90"/>
        <v>0</v>
      </c>
      <c r="T337" s="1485">
        <f t="shared" si="91"/>
        <v>0</v>
      </c>
      <c r="U337" s="1483">
        <f t="shared" si="85"/>
        <v>0</v>
      </c>
      <c r="V337" s="1483">
        <f t="shared" si="86"/>
        <v>0</v>
      </c>
      <c r="W337" s="1486"/>
      <c r="X337" s="1483">
        <f t="shared" si="87"/>
        <v>0</v>
      </c>
      <c r="Y337" s="1483">
        <f t="shared" si="88"/>
        <v>0</v>
      </c>
      <c r="Z337" s="1486"/>
    </row>
    <row r="338" spans="1:26">
      <c r="A338" s="1414"/>
      <c r="B338" s="1415"/>
      <c r="C338" s="1405">
        <f t="shared" si="77"/>
        <v>1</v>
      </c>
      <c r="D338" s="1411"/>
      <c r="E338" s="1405">
        <f t="shared" si="78"/>
        <v>0</v>
      </c>
      <c r="F338" s="1411"/>
      <c r="G338" s="1405">
        <f t="shared" si="79"/>
        <v>1</v>
      </c>
      <c r="H338" s="1411"/>
      <c r="I338" s="1405">
        <f t="shared" si="80"/>
        <v>1</v>
      </c>
      <c r="J338" s="1411"/>
      <c r="K338" s="1405">
        <f t="shared" si="81"/>
        <v>1</v>
      </c>
      <c r="L338" s="1411"/>
      <c r="M338" s="1405">
        <f t="shared" si="82"/>
        <v>1</v>
      </c>
      <c r="N338" s="1411"/>
      <c r="O338" s="1405">
        <f t="shared" si="83"/>
        <v>1</v>
      </c>
      <c r="P338" s="1411"/>
      <c r="Q338" s="1405">
        <f t="shared" si="84"/>
        <v>0</v>
      </c>
      <c r="R338" s="1476">
        <f t="shared" si="89"/>
        <v>0</v>
      </c>
      <c r="S338" s="1358">
        <f t="shared" si="90"/>
        <v>0</v>
      </c>
      <c r="T338" s="1485">
        <f t="shared" si="91"/>
        <v>0</v>
      </c>
      <c r="U338" s="1483">
        <f t="shared" si="85"/>
        <v>0</v>
      </c>
      <c r="V338" s="1483">
        <f t="shared" si="86"/>
        <v>0</v>
      </c>
      <c r="W338" s="1486"/>
      <c r="X338" s="1483">
        <f t="shared" si="87"/>
        <v>0</v>
      </c>
      <c r="Y338" s="1483">
        <f t="shared" si="88"/>
        <v>0</v>
      </c>
      <c r="Z338" s="1486"/>
    </row>
    <row r="339" spans="1:26">
      <c r="A339" s="1414"/>
      <c r="B339" s="1415"/>
      <c r="C339" s="1405">
        <f t="shared" si="77"/>
        <v>1</v>
      </c>
      <c r="D339" s="1411"/>
      <c r="E339" s="1405">
        <f t="shared" si="78"/>
        <v>0</v>
      </c>
      <c r="F339" s="1411"/>
      <c r="G339" s="1405">
        <f t="shared" si="79"/>
        <v>1</v>
      </c>
      <c r="H339" s="1411"/>
      <c r="I339" s="1405">
        <f t="shared" si="80"/>
        <v>1</v>
      </c>
      <c r="J339" s="1411"/>
      <c r="K339" s="1405">
        <f t="shared" si="81"/>
        <v>1</v>
      </c>
      <c r="L339" s="1411"/>
      <c r="M339" s="1405">
        <f t="shared" si="82"/>
        <v>1</v>
      </c>
      <c r="N339" s="1411"/>
      <c r="O339" s="1405">
        <f t="shared" si="83"/>
        <v>1</v>
      </c>
      <c r="P339" s="1411"/>
      <c r="Q339" s="1405">
        <f t="shared" si="84"/>
        <v>0</v>
      </c>
      <c r="R339" s="1476">
        <f t="shared" si="89"/>
        <v>0</v>
      </c>
      <c r="S339" s="1358">
        <f t="shared" si="90"/>
        <v>0</v>
      </c>
      <c r="T339" s="1485">
        <f t="shared" si="91"/>
        <v>0</v>
      </c>
      <c r="U339" s="1483">
        <f t="shared" si="85"/>
        <v>0</v>
      </c>
      <c r="V339" s="1483">
        <f t="shared" si="86"/>
        <v>0</v>
      </c>
      <c r="W339" s="1486"/>
      <c r="X339" s="1483">
        <f t="shared" si="87"/>
        <v>0</v>
      </c>
      <c r="Y339" s="1483">
        <f t="shared" si="88"/>
        <v>0</v>
      </c>
      <c r="Z339" s="1486"/>
    </row>
    <row r="340" spans="1:26">
      <c r="A340" s="1414"/>
      <c r="B340" s="1415"/>
      <c r="C340" s="1405">
        <f t="shared" si="77"/>
        <v>1</v>
      </c>
      <c r="D340" s="1411"/>
      <c r="E340" s="1405">
        <f t="shared" si="78"/>
        <v>0</v>
      </c>
      <c r="F340" s="1411"/>
      <c r="G340" s="1405">
        <f t="shared" si="79"/>
        <v>1</v>
      </c>
      <c r="H340" s="1411"/>
      <c r="I340" s="1405">
        <f t="shared" si="80"/>
        <v>1</v>
      </c>
      <c r="J340" s="1411"/>
      <c r="K340" s="1405">
        <f t="shared" si="81"/>
        <v>1</v>
      </c>
      <c r="L340" s="1411"/>
      <c r="M340" s="1405">
        <f t="shared" si="82"/>
        <v>1</v>
      </c>
      <c r="N340" s="1411"/>
      <c r="O340" s="1405">
        <f t="shared" si="83"/>
        <v>1</v>
      </c>
      <c r="P340" s="1411"/>
      <c r="Q340" s="1405">
        <f t="shared" si="84"/>
        <v>0</v>
      </c>
      <c r="R340" s="1476">
        <f t="shared" si="89"/>
        <v>0</v>
      </c>
      <c r="S340" s="1358">
        <f t="shared" si="90"/>
        <v>0</v>
      </c>
      <c r="T340" s="1485">
        <f t="shared" si="91"/>
        <v>0</v>
      </c>
      <c r="U340" s="1483">
        <f t="shared" si="85"/>
        <v>0</v>
      </c>
      <c r="V340" s="1483">
        <f t="shared" si="86"/>
        <v>0</v>
      </c>
      <c r="W340" s="1486"/>
      <c r="X340" s="1483">
        <f t="shared" si="87"/>
        <v>0</v>
      </c>
      <c r="Y340" s="1483">
        <f t="shared" si="88"/>
        <v>0</v>
      </c>
      <c r="Z340" s="1486"/>
    </row>
    <row r="341" spans="1:26">
      <c r="A341" s="1414"/>
      <c r="B341" s="1415"/>
      <c r="C341" s="1405">
        <f t="shared" si="77"/>
        <v>1</v>
      </c>
      <c r="D341" s="1411"/>
      <c r="E341" s="1405">
        <f t="shared" si="78"/>
        <v>0</v>
      </c>
      <c r="F341" s="1411"/>
      <c r="G341" s="1405">
        <f t="shared" si="79"/>
        <v>1</v>
      </c>
      <c r="H341" s="1411"/>
      <c r="I341" s="1405">
        <f t="shared" si="80"/>
        <v>1</v>
      </c>
      <c r="J341" s="1411"/>
      <c r="K341" s="1405">
        <f t="shared" si="81"/>
        <v>1</v>
      </c>
      <c r="L341" s="1411"/>
      <c r="M341" s="1405">
        <f t="shared" si="82"/>
        <v>1</v>
      </c>
      <c r="N341" s="1411"/>
      <c r="O341" s="1405">
        <f t="shared" si="83"/>
        <v>1</v>
      </c>
      <c r="P341" s="1411"/>
      <c r="Q341" s="1405">
        <f t="shared" si="84"/>
        <v>0</v>
      </c>
      <c r="R341" s="1476">
        <f t="shared" si="89"/>
        <v>0</v>
      </c>
      <c r="S341" s="1358">
        <f t="shared" si="90"/>
        <v>0</v>
      </c>
      <c r="T341" s="1485">
        <f t="shared" si="91"/>
        <v>0</v>
      </c>
      <c r="U341" s="1483">
        <f t="shared" si="85"/>
        <v>0</v>
      </c>
      <c r="V341" s="1483">
        <f t="shared" si="86"/>
        <v>0</v>
      </c>
      <c r="W341" s="1486"/>
      <c r="X341" s="1483">
        <f t="shared" si="87"/>
        <v>0</v>
      </c>
      <c r="Y341" s="1483">
        <f t="shared" si="88"/>
        <v>0</v>
      </c>
      <c r="Z341" s="1486"/>
    </row>
    <row r="342" spans="1:26">
      <c r="A342" s="1414"/>
      <c r="B342" s="1415"/>
      <c r="C342" s="1405">
        <f t="shared" si="77"/>
        <v>1</v>
      </c>
      <c r="D342" s="1411"/>
      <c r="E342" s="1405">
        <f t="shared" si="78"/>
        <v>0</v>
      </c>
      <c r="F342" s="1411"/>
      <c r="G342" s="1405">
        <f t="shared" si="79"/>
        <v>1</v>
      </c>
      <c r="H342" s="1411"/>
      <c r="I342" s="1405">
        <f t="shared" si="80"/>
        <v>1</v>
      </c>
      <c r="J342" s="1411"/>
      <c r="K342" s="1405">
        <f t="shared" si="81"/>
        <v>1</v>
      </c>
      <c r="L342" s="1411"/>
      <c r="M342" s="1405">
        <f t="shared" si="82"/>
        <v>1</v>
      </c>
      <c r="N342" s="1411"/>
      <c r="O342" s="1405">
        <f t="shared" si="83"/>
        <v>1</v>
      </c>
      <c r="P342" s="1411"/>
      <c r="Q342" s="1405">
        <f t="shared" si="84"/>
        <v>0</v>
      </c>
      <c r="R342" s="1476">
        <f t="shared" si="89"/>
        <v>0</v>
      </c>
      <c r="S342" s="1358">
        <f t="shared" si="90"/>
        <v>0</v>
      </c>
      <c r="T342" s="1485">
        <f t="shared" si="91"/>
        <v>0</v>
      </c>
      <c r="U342" s="1483">
        <f t="shared" si="85"/>
        <v>0</v>
      </c>
      <c r="V342" s="1483">
        <f t="shared" si="86"/>
        <v>0</v>
      </c>
      <c r="W342" s="1486"/>
      <c r="X342" s="1483">
        <f t="shared" si="87"/>
        <v>0</v>
      </c>
      <c r="Y342" s="1483">
        <f t="shared" si="88"/>
        <v>0</v>
      </c>
      <c r="Z342" s="1486"/>
    </row>
    <row r="343" spans="1:26">
      <c r="A343" s="1414"/>
      <c r="B343" s="1415"/>
      <c r="C343" s="1405">
        <f t="shared" si="77"/>
        <v>1</v>
      </c>
      <c r="D343" s="1411"/>
      <c r="E343" s="1405">
        <f t="shared" si="78"/>
        <v>0</v>
      </c>
      <c r="F343" s="1411"/>
      <c r="G343" s="1405">
        <f t="shared" si="79"/>
        <v>1</v>
      </c>
      <c r="H343" s="1411"/>
      <c r="I343" s="1405">
        <f t="shared" si="80"/>
        <v>1</v>
      </c>
      <c r="J343" s="1411"/>
      <c r="K343" s="1405">
        <f t="shared" si="81"/>
        <v>1</v>
      </c>
      <c r="L343" s="1411"/>
      <c r="M343" s="1405">
        <f t="shared" si="82"/>
        <v>1</v>
      </c>
      <c r="N343" s="1411"/>
      <c r="O343" s="1405">
        <f t="shared" si="83"/>
        <v>1</v>
      </c>
      <c r="P343" s="1411"/>
      <c r="Q343" s="1405">
        <f t="shared" si="84"/>
        <v>0</v>
      </c>
      <c r="R343" s="1476">
        <f t="shared" si="89"/>
        <v>0</v>
      </c>
      <c r="S343" s="1358">
        <f t="shared" si="90"/>
        <v>0</v>
      </c>
      <c r="T343" s="1485">
        <f t="shared" si="91"/>
        <v>0</v>
      </c>
      <c r="U343" s="1483">
        <f t="shared" si="85"/>
        <v>0</v>
      </c>
      <c r="V343" s="1483">
        <f t="shared" si="86"/>
        <v>0</v>
      </c>
      <c r="W343" s="1486"/>
      <c r="X343" s="1483">
        <f t="shared" si="87"/>
        <v>0</v>
      </c>
      <c r="Y343" s="1483">
        <f t="shared" si="88"/>
        <v>0</v>
      </c>
      <c r="Z343" s="1486"/>
    </row>
    <row r="344" spans="1:26">
      <c r="A344" s="1414"/>
      <c r="B344" s="1415"/>
      <c r="C344" s="1405">
        <f t="shared" si="77"/>
        <v>1</v>
      </c>
      <c r="D344" s="1411"/>
      <c r="E344" s="1405">
        <f t="shared" si="78"/>
        <v>0</v>
      </c>
      <c r="F344" s="1411"/>
      <c r="G344" s="1405">
        <f t="shared" si="79"/>
        <v>1</v>
      </c>
      <c r="H344" s="1411"/>
      <c r="I344" s="1405">
        <f t="shared" si="80"/>
        <v>1</v>
      </c>
      <c r="J344" s="1411"/>
      <c r="K344" s="1405">
        <f t="shared" si="81"/>
        <v>1</v>
      </c>
      <c r="L344" s="1411"/>
      <c r="M344" s="1405">
        <f t="shared" si="82"/>
        <v>1</v>
      </c>
      <c r="N344" s="1411"/>
      <c r="O344" s="1405">
        <f t="shared" si="83"/>
        <v>1</v>
      </c>
      <c r="P344" s="1411"/>
      <c r="Q344" s="1405">
        <f t="shared" si="84"/>
        <v>0</v>
      </c>
      <c r="R344" s="1476">
        <f t="shared" si="89"/>
        <v>0</v>
      </c>
      <c r="S344" s="1358">
        <f t="shared" si="90"/>
        <v>0</v>
      </c>
      <c r="T344" s="1485">
        <f t="shared" si="91"/>
        <v>0</v>
      </c>
      <c r="U344" s="1483">
        <f t="shared" si="85"/>
        <v>0</v>
      </c>
      <c r="V344" s="1483">
        <f t="shared" si="86"/>
        <v>0</v>
      </c>
      <c r="W344" s="1486"/>
      <c r="X344" s="1483">
        <f t="shared" si="87"/>
        <v>0</v>
      </c>
      <c r="Y344" s="1483">
        <f t="shared" si="88"/>
        <v>0</v>
      </c>
      <c r="Z344" s="1486"/>
    </row>
    <row r="345" spans="1:26">
      <c r="A345" s="1414"/>
      <c r="B345" s="1415"/>
      <c r="C345" s="1405">
        <f t="shared" si="77"/>
        <v>1</v>
      </c>
      <c r="D345" s="1411"/>
      <c r="E345" s="1405">
        <f t="shared" si="78"/>
        <v>0</v>
      </c>
      <c r="F345" s="1411"/>
      <c r="G345" s="1405">
        <f t="shared" si="79"/>
        <v>1</v>
      </c>
      <c r="H345" s="1411"/>
      <c r="I345" s="1405">
        <f t="shared" si="80"/>
        <v>1</v>
      </c>
      <c r="J345" s="1411"/>
      <c r="K345" s="1405">
        <f t="shared" si="81"/>
        <v>1</v>
      </c>
      <c r="L345" s="1411"/>
      <c r="M345" s="1405">
        <f t="shared" si="82"/>
        <v>1</v>
      </c>
      <c r="N345" s="1411"/>
      <c r="O345" s="1405">
        <f t="shared" si="83"/>
        <v>1</v>
      </c>
      <c r="P345" s="1411"/>
      <c r="Q345" s="1405">
        <f t="shared" si="84"/>
        <v>0</v>
      </c>
      <c r="R345" s="1476">
        <f t="shared" si="89"/>
        <v>0</v>
      </c>
      <c r="S345" s="1358">
        <f t="shared" si="90"/>
        <v>0</v>
      </c>
      <c r="T345" s="1485">
        <f t="shared" si="91"/>
        <v>0</v>
      </c>
      <c r="U345" s="1483">
        <f t="shared" si="85"/>
        <v>0</v>
      </c>
      <c r="V345" s="1483">
        <f t="shared" si="86"/>
        <v>0</v>
      </c>
      <c r="W345" s="1486"/>
      <c r="X345" s="1483">
        <f t="shared" si="87"/>
        <v>0</v>
      </c>
      <c r="Y345" s="1483">
        <f t="shared" si="88"/>
        <v>0</v>
      </c>
      <c r="Z345" s="1486"/>
    </row>
    <row r="346" spans="1:26">
      <c r="A346" s="1414"/>
      <c r="B346" s="1415"/>
      <c r="C346" s="1405">
        <f t="shared" si="77"/>
        <v>1</v>
      </c>
      <c r="D346" s="1411"/>
      <c r="E346" s="1405">
        <f t="shared" si="78"/>
        <v>0</v>
      </c>
      <c r="F346" s="1411"/>
      <c r="G346" s="1405">
        <f t="shared" si="79"/>
        <v>1</v>
      </c>
      <c r="H346" s="1411"/>
      <c r="I346" s="1405">
        <f t="shared" si="80"/>
        <v>1</v>
      </c>
      <c r="J346" s="1411"/>
      <c r="K346" s="1405">
        <f t="shared" si="81"/>
        <v>1</v>
      </c>
      <c r="L346" s="1411"/>
      <c r="M346" s="1405">
        <f t="shared" si="82"/>
        <v>1</v>
      </c>
      <c r="N346" s="1411"/>
      <c r="O346" s="1405">
        <f t="shared" si="83"/>
        <v>1</v>
      </c>
      <c r="P346" s="1411"/>
      <c r="Q346" s="1405">
        <f t="shared" si="84"/>
        <v>0</v>
      </c>
      <c r="R346" s="1476">
        <f t="shared" si="89"/>
        <v>0</v>
      </c>
      <c r="S346" s="1358">
        <f t="shared" si="90"/>
        <v>0</v>
      </c>
      <c r="T346" s="1485">
        <f t="shared" si="91"/>
        <v>0</v>
      </c>
      <c r="U346" s="1483">
        <f t="shared" si="85"/>
        <v>0</v>
      </c>
      <c r="V346" s="1483">
        <f t="shared" si="86"/>
        <v>0</v>
      </c>
      <c r="W346" s="1486"/>
      <c r="X346" s="1483">
        <f t="shared" si="87"/>
        <v>0</v>
      </c>
      <c r="Y346" s="1483">
        <f t="shared" si="88"/>
        <v>0</v>
      </c>
      <c r="Z346" s="1486"/>
    </row>
    <row r="347" spans="1:26">
      <c r="A347" s="1414"/>
      <c r="B347" s="1415"/>
      <c r="C347" s="1405">
        <f t="shared" si="77"/>
        <v>1</v>
      </c>
      <c r="D347" s="1411"/>
      <c r="E347" s="1405">
        <f t="shared" si="78"/>
        <v>0</v>
      </c>
      <c r="F347" s="1411"/>
      <c r="G347" s="1405">
        <f t="shared" si="79"/>
        <v>1</v>
      </c>
      <c r="H347" s="1411"/>
      <c r="I347" s="1405">
        <f t="shared" si="80"/>
        <v>1</v>
      </c>
      <c r="J347" s="1411"/>
      <c r="K347" s="1405">
        <f t="shared" si="81"/>
        <v>1</v>
      </c>
      <c r="L347" s="1411"/>
      <c r="M347" s="1405">
        <f t="shared" si="82"/>
        <v>1</v>
      </c>
      <c r="N347" s="1411"/>
      <c r="O347" s="1405">
        <f t="shared" si="83"/>
        <v>1</v>
      </c>
      <c r="P347" s="1411"/>
      <c r="Q347" s="1405">
        <f t="shared" si="84"/>
        <v>0</v>
      </c>
      <c r="R347" s="1476">
        <f t="shared" si="89"/>
        <v>0</v>
      </c>
      <c r="S347" s="1358">
        <f t="shared" si="90"/>
        <v>0</v>
      </c>
      <c r="T347" s="1485">
        <f t="shared" si="91"/>
        <v>0</v>
      </c>
      <c r="U347" s="1483">
        <f t="shared" si="85"/>
        <v>0</v>
      </c>
      <c r="V347" s="1483">
        <f t="shared" si="86"/>
        <v>0</v>
      </c>
      <c r="W347" s="1486"/>
      <c r="X347" s="1483">
        <f t="shared" si="87"/>
        <v>0</v>
      </c>
      <c r="Y347" s="1483">
        <f t="shared" si="88"/>
        <v>0</v>
      </c>
      <c r="Z347" s="1486"/>
    </row>
    <row r="348" spans="1:26">
      <c r="A348" s="1414"/>
      <c r="B348" s="1415"/>
      <c r="C348" s="1405">
        <f t="shared" ref="C348:C411" si="92">IF(B348="",1,(LOOKUP(B348,$6:$6,$7:$7)-LOOKUP($B$27,$6:$6,$7:$7)+100)/100)</f>
        <v>1</v>
      </c>
      <c r="D348" s="1411"/>
      <c r="E348" s="1405">
        <f t="shared" ref="E348:E411" si="93">(SUMIF($8:$8,D348,$9:$9)-SUMIF($8:$8,$D$27,$9:$9)+100)/100</f>
        <v>0</v>
      </c>
      <c r="F348" s="1411"/>
      <c r="G348" s="1405">
        <f t="shared" ref="G348:G411" si="94">(SUMIF($10:$10,F348,$11:$11)-SUMIF($10:$10,$F$27,$11:$11)+100)/100</f>
        <v>1</v>
      </c>
      <c r="H348" s="1411"/>
      <c r="I348" s="1405">
        <f t="shared" ref="I348:I411" si="95">(SUMIF($12:$12,H348,$13:$13)-SUMIF($12:$12,$H$27,$13:$13)+100)/100</f>
        <v>1</v>
      </c>
      <c r="J348" s="1411"/>
      <c r="K348" s="1405">
        <f t="shared" ref="K348:K411" si="96">(SUMIF($14:$14,J348,$15:$15)-SUMIF($14:$14,$J$27,$15:$15)+100)/100</f>
        <v>1</v>
      </c>
      <c r="L348" s="1411"/>
      <c r="M348" s="1405">
        <f t="shared" ref="M348:M411" si="97">(SUMIF($16:$16,L348,$17:$17)-SUMIF($16:$16,$L$27,$17:$17)+100)/100</f>
        <v>1</v>
      </c>
      <c r="N348" s="1411"/>
      <c r="O348" s="1405">
        <f t="shared" ref="O348:O411" si="98">(SUMIF($18:$18,N348,$19:$19)-SUMIF($18:$18,$N$27,$19:$19)+100)/100</f>
        <v>1</v>
      </c>
      <c r="P348" s="1411"/>
      <c r="Q348" s="1405">
        <f t="shared" ref="Q348:Q411" si="99">(SUMIF($20:$20,P348,$21:$21)-SUMIF($20:$20,$P$27,$21:$21)+100)/100</f>
        <v>0</v>
      </c>
      <c r="R348" s="1476">
        <f t="shared" si="89"/>
        <v>0</v>
      </c>
      <c r="S348" s="1358">
        <f t="shared" si="90"/>
        <v>0</v>
      </c>
      <c r="T348" s="1485">
        <f t="shared" si="91"/>
        <v>0</v>
      </c>
      <c r="U348" s="1483">
        <f t="shared" ref="U348:U411" si="100">ROUND(W348*B348,0)</f>
        <v>0</v>
      </c>
      <c r="V348" s="1483">
        <f t="shared" ref="V348:V411" si="101">ROUND(W348*B348/10000,0)</f>
        <v>0</v>
      </c>
      <c r="W348" s="1486"/>
      <c r="X348" s="1483">
        <f t="shared" ref="X348:X411" si="102">ROUND(Z348*B348,0)</f>
        <v>0</v>
      </c>
      <c r="Y348" s="1483">
        <f t="shared" ref="Y348:Y411" si="103">ROUND(Z348*B348/10000,0)</f>
        <v>0</v>
      </c>
      <c r="Z348" s="1486"/>
    </row>
    <row r="349" spans="1:26">
      <c r="A349" s="1414"/>
      <c r="B349" s="1415"/>
      <c r="C349" s="1405">
        <f t="shared" si="92"/>
        <v>1</v>
      </c>
      <c r="D349" s="1411"/>
      <c r="E349" s="1405">
        <f t="shared" si="93"/>
        <v>0</v>
      </c>
      <c r="F349" s="1411"/>
      <c r="G349" s="1405">
        <f t="shared" si="94"/>
        <v>1</v>
      </c>
      <c r="H349" s="1411"/>
      <c r="I349" s="1405">
        <f t="shared" si="95"/>
        <v>1</v>
      </c>
      <c r="J349" s="1411"/>
      <c r="K349" s="1405">
        <f t="shared" si="96"/>
        <v>1</v>
      </c>
      <c r="L349" s="1411"/>
      <c r="M349" s="1405">
        <f t="shared" si="97"/>
        <v>1</v>
      </c>
      <c r="N349" s="1411"/>
      <c r="O349" s="1405">
        <f t="shared" si="98"/>
        <v>1</v>
      </c>
      <c r="P349" s="1411"/>
      <c r="Q349" s="1405">
        <f t="shared" si="99"/>
        <v>0</v>
      </c>
      <c r="R349" s="1476">
        <f t="shared" ref="R349:R412" si="104">IF(B349="",0,ROUND($R$27*C349*E349*G349*I349*K349*M349*O349*Q349,0))</f>
        <v>0</v>
      </c>
      <c r="S349" s="1358">
        <f t="shared" ref="S349:S412" si="105">ROUND(R349*B349,0)</f>
        <v>0</v>
      </c>
      <c r="T349" s="1485">
        <f t="shared" ref="T349:T412" si="106">ROUND(R349*B349/10000,0)</f>
        <v>0</v>
      </c>
      <c r="U349" s="1483">
        <f t="shared" si="100"/>
        <v>0</v>
      </c>
      <c r="V349" s="1483">
        <f t="shared" si="101"/>
        <v>0</v>
      </c>
      <c r="W349" s="1486"/>
      <c r="X349" s="1483">
        <f t="shared" si="102"/>
        <v>0</v>
      </c>
      <c r="Y349" s="1483">
        <f t="shared" si="103"/>
        <v>0</v>
      </c>
      <c r="Z349" s="1486"/>
    </row>
    <row r="350" spans="1:26">
      <c r="A350" s="1414"/>
      <c r="B350" s="1415"/>
      <c r="C350" s="1405">
        <f t="shared" si="92"/>
        <v>1</v>
      </c>
      <c r="D350" s="1411"/>
      <c r="E350" s="1405">
        <f t="shared" si="93"/>
        <v>0</v>
      </c>
      <c r="F350" s="1411"/>
      <c r="G350" s="1405">
        <f t="shared" si="94"/>
        <v>1</v>
      </c>
      <c r="H350" s="1411"/>
      <c r="I350" s="1405">
        <f t="shared" si="95"/>
        <v>1</v>
      </c>
      <c r="J350" s="1411"/>
      <c r="K350" s="1405">
        <f t="shared" si="96"/>
        <v>1</v>
      </c>
      <c r="L350" s="1411"/>
      <c r="M350" s="1405">
        <f t="shared" si="97"/>
        <v>1</v>
      </c>
      <c r="N350" s="1411"/>
      <c r="O350" s="1405">
        <f t="shared" si="98"/>
        <v>1</v>
      </c>
      <c r="P350" s="1411"/>
      <c r="Q350" s="1405">
        <f t="shared" si="99"/>
        <v>0</v>
      </c>
      <c r="R350" s="1476">
        <f t="shared" si="104"/>
        <v>0</v>
      </c>
      <c r="S350" s="1358">
        <f t="shared" si="105"/>
        <v>0</v>
      </c>
      <c r="T350" s="1485">
        <f t="shared" si="106"/>
        <v>0</v>
      </c>
      <c r="U350" s="1483">
        <f t="shared" si="100"/>
        <v>0</v>
      </c>
      <c r="V350" s="1483">
        <f t="shared" si="101"/>
        <v>0</v>
      </c>
      <c r="W350" s="1486"/>
      <c r="X350" s="1483">
        <f t="shared" si="102"/>
        <v>0</v>
      </c>
      <c r="Y350" s="1483">
        <f t="shared" si="103"/>
        <v>0</v>
      </c>
      <c r="Z350" s="1486"/>
    </row>
    <row r="351" spans="1:26">
      <c r="A351" s="1414"/>
      <c r="B351" s="1415"/>
      <c r="C351" s="1405">
        <f t="shared" si="92"/>
        <v>1</v>
      </c>
      <c r="D351" s="1411"/>
      <c r="E351" s="1405">
        <f t="shared" si="93"/>
        <v>0</v>
      </c>
      <c r="F351" s="1411"/>
      <c r="G351" s="1405">
        <f t="shared" si="94"/>
        <v>1</v>
      </c>
      <c r="H351" s="1411"/>
      <c r="I351" s="1405">
        <f t="shared" si="95"/>
        <v>1</v>
      </c>
      <c r="J351" s="1411"/>
      <c r="K351" s="1405">
        <f t="shared" si="96"/>
        <v>1</v>
      </c>
      <c r="L351" s="1411"/>
      <c r="M351" s="1405">
        <f t="shared" si="97"/>
        <v>1</v>
      </c>
      <c r="N351" s="1411"/>
      <c r="O351" s="1405">
        <f t="shared" si="98"/>
        <v>1</v>
      </c>
      <c r="P351" s="1411"/>
      <c r="Q351" s="1405">
        <f t="shared" si="99"/>
        <v>0</v>
      </c>
      <c r="R351" s="1476">
        <f t="shared" si="104"/>
        <v>0</v>
      </c>
      <c r="S351" s="1358">
        <f t="shared" si="105"/>
        <v>0</v>
      </c>
      <c r="T351" s="1485">
        <f t="shared" si="106"/>
        <v>0</v>
      </c>
      <c r="U351" s="1483">
        <f t="shared" si="100"/>
        <v>0</v>
      </c>
      <c r="V351" s="1483">
        <f t="shared" si="101"/>
        <v>0</v>
      </c>
      <c r="W351" s="1486"/>
      <c r="X351" s="1483">
        <f t="shared" si="102"/>
        <v>0</v>
      </c>
      <c r="Y351" s="1483">
        <f t="shared" si="103"/>
        <v>0</v>
      </c>
      <c r="Z351" s="1486"/>
    </row>
    <row r="352" spans="1:26">
      <c r="A352" s="1414"/>
      <c r="B352" s="1415"/>
      <c r="C352" s="1405">
        <f t="shared" si="92"/>
        <v>1</v>
      </c>
      <c r="D352" s="1411"/>
      <c r="E352" s="1405">
        <f t="shared" si="93"/>
        <v>0</v>
      </c>
      <c r="F352" s="1411"/>
      <c r="G352" s="1405">
        <f t="shared" si="94"/>
        <v>1</v>
      </c>
      <c r="H352" s="1411"/>
      <c r="I352" s="1405">
        <f t="shared" si="95"/>
        <v>1</v>
      </c>
      <c r="J352" s="1411"/>
      <c r="K352" s="1405">
        <f t="shared" si="96"/>
        <v>1</v>
      </c>
      <c r="L352" s="1411"/>
      <c r="M352" s="1405">
        <f t="shared" si="97"/>
        <v>1</v>
      </c>
      <c r="N352" s="1411"/>
      <c r="O352" s="1405">
        <f t="shared" si="98"/>
        <v>1</v>
      </c>
      <c r="P352" s="1411"/>
      <c r="Q352" s="1405">
        <f t="shared" si="99"/>
        <v>0</v>
      </c>
      <c r="R352" s="1476">
        <f t="shared" si="104"/>
        <v>0</v>
      </c>
      <c r="S352" s="1358">
        <f t="shared" si="105"/>
        <v>0</v>
      </c>
      <c r="T352" s="1485">
        <f t="shared" si="106"/>
        <v>0</v>
      </c>
      <c r="U352" s="1483">
        <f t="shared" si="100"/>
        <v>0</v>
      </c>
      <c r="V352" s="1483">
        <f t="shared" si="101"/>
        <v>0</v>
      </c>
      <c r="W352" s="1486"/>
      <c r="X352" s="1483">
        <f t="shared" si="102"/>
        <v>0</v>
      </c>
      <c r="Y352" s="1483">
        <f t="shared" si="103"/>
        <v>0</v>
      </c>
      <c r="Z352" s="1486"/>
    </row>
    <row r="353" spans="1:26">
      <c r="A353" s="1414"/>
      <c r="B353" s="1415"/>
      <c r="C353" s="1405">
        <f t="shared" si="92"/>
        <v>1</v>
      </c>
      <c r="D353" s="1411"/>
      <c r="E353" s="1405">
        <f t="shared" si="93"/>
        <v>0</v>
      </c>
      <c r="F353" s="1411"/>
      <c r="G353" s="1405">
        <f t="shared" si="94"/>
        <v>1</v>
      </c>
      <c r="H353" s="1411"/>
      <c r="I353" s="1405">
        <f t="shared" si="95"/>
        <v>1</v>
      </c>
      <c r="J353" s="1411"/>
      <c r="K353" s="1405">
        <f t="shared" si="96"/>
        <v>1</v>
      </c>
      <c r="L353" s="1411"/>
      <c r="M353" s="1405">
        <f t="shared" si="97"/>
        <v>1</v>
      </c>
      <c r="N353" s="1411"/>
      <c r="O353" s="1405">
        <f t="shared" si="98"/>
        <v>1</v>
      </c>
      <c r="P353" s="1411"/>
      <c r="Q353" s="1405">
        <f t="shared" si="99"/>
        <v>0</v>
      </c>
      <c r="R353" s="1476">
        <f t="shared" si="104"/>
        <v>0</v>
      </c>
      <c r="S353" s="1358">
        <f t="shared" si="105"/>
        <v>0</v>
      </c>
      <c r="T353" s="1485">
        <f t="shared" si="106"/>
        <v>0</v>
      </c>
      <c r="U353" s="1483">
        <f t="shared" si="100"/>
        <v>0</v>
      </c>
      <c r="V353" s="1483">
        <f t="shared" si="101"/>
        <v>0</v>
      </c>
      <c r="W353" s="1486"/>
      <c r="X353" s="1483">
        <f t="shared" si="102"/>
        <v>0</v>
      </c>
      <c r="Y353" s="1483">
        <f t="shared" si="103"/>
        <v>0</v>
      </c>
      <c r="Z353" s="1486"/>
    </row>
    <row r="354" spans="1:26">
      <c r="A354" s="1414"/>
      <c r="B354" s="1415"/>
      <c r="C354" s="1405">
        <f t="shared" si="92"/>
        <v>1</v>
      </c>
      <c r="D354" s="1411"/>
      <c r="E354" s="1405">
        <f t="shared" si="93"/>
        <v>0</v>
      </c>
      <c r="F354" s="1411"/>
      <c r="G354" s="1405">
        <f t="shared" si="94"/>
        <v>1</v>
      </c>
      <c r="H354" s="1411"/>
      <c r="I354" s="1405">
        <f t="shared" si="95"/>
        <v>1</v>
      </c>
      <c r="J354" s="1411"/>
      <c r="K354" s="1405">
        <f t="shared" si="96"/>
        <v>1</v>
      </c>
      <c r="L354" s="1411"/>
      <c r="M354" s="1405">
        <f t="shared" si="97"/>
        <v>1</v>
      </c>
      <c r="N354" s="1411"/>
      <c r="O354" s="1405">
        <f t="shared" si="98"/>
        <v>1</v>
      </c>
      <c r="P354" s="1411"/>
      <c r="Q354" s="1405">
        <f t="shared" si="99"/>
        <v>0</v>
      </c>
      <c r="R354" s="1476">
        <f t="shared" si="104"/>
        <v>0</v>
      </c>
      <c r="S354" s="1358">
        <f t="shared" si="105"/>
        <v>0</v>
      </c>
      <c r="T354" s="1485">
        <f t="shared" si="106"/>
        <v>0</v>
      </c>
      <c r="U354" s="1483">
        <f t="shared" si="100"/>
        <v>0</v>
      </c>
      <c r="V354" s="1483">
        <f t="shared" si="101"/>
        <v>0</v>
      </c>
      <c r="W354" s="1486"/>
      <c r="X354" s="1483">
        <f t="shared" si="102"/>
        <v>0</v>
      </c>
      <c r="Y354" s="1483">
        <f t="shared" si="103"/>
        <v>0</v>
      </c>
      <c r="Z354" s="1486"/>
    </row>
    <row r="355" spans="1:26">
      <c r="A355" s="1414"/>
      <c r="B355" s="1415"/>
      <c r="C355" s="1405">
        <f t="shared" si="92"/>
        <v>1</v>
      </c>
      <c r="D355" s="1411"/>
      <c r="E355" s="1405">
        <f t="shared" si="93"/>
        <v>0</v>
      </c>
      <c r="F355" s="1411"/>
      <c r="G355" s="1405">
        <f t="shared" si="94"/>
        <v>1</v>
      </c>
      <c r="H355" s="1411"/>
      <c r="I355" s="1405">
        <f t="shared" si="95"/>
        <v>1</v>
      </c>
      <c r="J355" s="1411"/>
      <c r="K355" s="1405">
        <f t="shared" si="96"/>
        <v>1</v>
      </c>
      <c r="L355" s="1411"/>
      <c r="M355" s="1405">
        <f t="shared" si="97"/>
        <v>1</v>
      </c>
      <c r="N355" s="1411"/>
      <c r="O355" s="1405">
        <f t="shared" si="98"/>
        <v>1</v>
      </c>
      <c r="P355" s="1411"/>
      <c r="Q355" s="1405">
        <f t="shared" si="99"/>
        <v>0</v>
      </c>
      <c r="R355" s="1476">
        <f t="shared" si="104"/>
        <v>0</v>
      </c>
      <c r="S355" s="1358">
        <f t="shared" si="105"/>
        <v>0</v>
      </c>
      <c r="T355" s="1485">
        <f t="shared" si="106"/>
        <v>0</v>
      </c>
      <c r="U355" s="1483">
        <f t="shared" si="100"/>
        <v>0</v>
      </c>
      <c r="V355" s="1483">
        <f t="shared" si="101"/>
        <v>0</v>
      </c>
      <c r="W355" s="1486"/>
      <c r="X355" s="1483">
        <f t="shared" si="102"/>
        <v>0</v>
      </c>
      <c r="Y355" s="1483">
        <f t="shared" si="103"/>
        <v>0</v>
      </c>
      <c r="Z355" s="1486"/>
    </row>
    <row r="356" spans="1:26">
      <c r="A356" s="1414"/>
      <c r="B356" s="1415"/>
      <c r="C356" s="1405">
        <f t="shared" si="92"/>
        <v>1</v>
      </c>
      <c r="D356" s="1411"/>
      <c r="E356" s="1405">
        <f t="shared" si="93"/>
        <v>0</v>
      </c>
      <c r="F356" s="1411"/>
      <c r="G356" s="1405">
        <f t="shared" si="94"/>
        <v>1</v>
      </c>
      <c r="H356" s="1411"/>
      <c r="I356" s="1405">
        <f t="shared" si="95"/>
        <v>1</v>
      </c>
      <c r="J356" s="1411"/>
      <c r="K356" s="1405">
        <f t="shared" si="96"/>
        <v>1</v>
      </c>
      <c r="L356" s="1411"/>
      <c r="M356" s="1405">
        <f t="shared" si="97"/>
        <v>1</v>
      </c>
      <c r="N356" s="1411"/>
      <c r="O356" s="1405">
        <f t="shared" si="98"/>
        <v>1</v>
      </c>
      <c r="P356" s="1411"/>
      <c r="Q356" s="1405">
        <f t="shared" si="99"/>
        <v>0</v>
      </c>
      <c r="R356" s="1476">
        <f t="shared" si="104"/>
        <v>0</v>
      </c>
      <c r="S356" s="1358">
        <f t="shared" si="105"/>
        <v>0</v>
      </c>
      <c r="T356" s="1485">
        <f t="shared" si="106"/>
        <v>0</v>
      </c>
      <c r="U356" s="1483">
        <f t="shared" si="100"/>
        <v>0</v>
      </c>
      <c r="V356" s="1483">
        <f t="shared" si="101"/>
        <v>0</v>
      </c>
      <c r="W356" s="1486"/>
      <c r="X356" s="1483">
        <f t="shared" si="102"/>
        <v>0</v>
      </c>
      <c r="Y356" s="1483">
        <f t="shared" si="103"/>
        <v>0</v>
      </c>
      <c r="Z356" s="1486"/>
    </row>
    <row r="357" spans="1:26">
      <c r="A357" s="1414"/>
      <c r="B357" s="1415"/>
      <c r="C357" s="1405">
        <f t="shared" si="92"/>
        <v>1</v>
      </c>
      <c r="D357" s="1411"/>
      <c r="E357" s="1405">
        <f t="shared" si="93"/>
        <v>0</v>
      </c>
      <c r="F357" s="1411"/>
      <c r="G357" s="1405">
        <f t="shared" si="94"/>
        <v>1</v>
      </c>
      <c r="H357" s="1411"/>
      <c r="I357" s="1405">
        <f t="shared" si="95"/>
        <v>1</v>
      </c>
      <c r="J357" s="1411"/>
      <c r="K357" s="1405">
        <f t="shared" si="96"/>
        <v>1</v>
      </c>
      <c r="L357" s="1411"/>
      <c r="M357" s="1405">
        <f t="shared" si="97"/>
        <v>1</v>
      </c>
      <c r="N357" s="1411"/>
      <c r="O357" s="1405">
        <f t="shared" si="98"/>
        <v>1</v>
      </c>
      <c r="P357" s="1411"/>
      <c r="Q357" s="1405">
        <f t="shared" si="99"/>
        <v>0</v>
      </c>
      <c r="R357" s="1476">
        <f t="shared" si="104"/>
        <v>0</v>
      </c>
      <c r="S357" s="1358">
        <f t="shared" si="105"/>
        <v>0</v>
      </c>
      <c r="T357" s="1485">
        <f t="shared" si="106"/>
        <v>0</v>
      </c>
      <c r="U357" s="1483">
        <f t="shared" si="100"/>
        <v>0</v>
      </c>
      <c r="V357" s="1483">
        <f t="shared" si="101"/>
        <v>0</v>
      </c>
      <c r="W357" s="1486"/>
      <c r="X357" s="1483">
        <f t="shared" si="102"/>
        <v>0</v>
      </c>
      <c r="Y357" s="1483">
        <f t="shared" si="103"/>
        <v>0</v>
      </c>
      <c r="Z357" s="1486"/>
    </row>
    <row r="358" spans="1:26">
      <c r="A358" s="1414"/>
      <c r="B358" s="1415"/>
      <c r="C358" s="1405">
        <f t="shared" si="92"/>
        <v>1</v>
      </c>
      <c r="D358" s="1411"/>
      <c r="E358" s="1405">
        <f t="shared" si="93"/>
        <v>0</v>
      </c>
      <c r="F358" s="1411"/>
      <c r="G358" s="1405">
        <f t="shared" si="94"/>
        <v>1</v>
      </c>
      <c r="H358" s="1411"/>
      <c r="I358" s="1405">
        <f t="shared" si="95"/>
        <v>1</v>
      </c>
      <c r="J358" s="1411"/>
      <c r="K358" s="1405">
        <f t="shared" si="96"/>
        <v>1</v>
      </c>
      <c r="L358" s="1411"/>
      <c r="M358" s="1405">
        <f t="shared" si="97"/>
        <v>1</v>
      </c>
      <c r="N358" s="1411"/>
      <c r="O358" s="1405">
        <f t="shared" si="98"/>
        <v>1</v>
      </c>
      <c r="P358" s="1411"/>
      <c r="Q358" s="1405">
        <f t="shared" si="99"/>
        <v>0</v>
      </c>
      <c r="R358" s="1476">
        <f t="shared" si="104"/>
        <v>0</v>
      </c>
      <c r="S358" s="1358">
        <f t="shared" si="105"/>
        <v>0</v>
      </c>
      <c r="T358" s="1485">
        <f t="shared" si="106"/>
        <v>0</v>
      </c>
      <c r="U358" s="1483">
        <f t="shared" si="100"/>
        <v>0</v>
      </c>
      <c r="V358" s="1483">
        <f t="shared" si="101"/>
        <v>0</v>
      </c>
      <c r="W358" s="1486"/>
      <c r="X358" s="1483">
        <f t="shared" si="102"/>
        <v>0</v>
      </c>
      <c r="Y358" s="1483">
        <f t="shared" si="103"/>
        <v>0</v>
      </c>
      <c r="Z358" s="1486"/>
    </row>
    <row r="359" spans="1:26">
      <c r="A359" s="1414"/>
      <c r="B359" s="1415"/>
      <c r="C359" s="1405">
        <f t="shared" si="92"/>
        <v>1</v>
      </c>
      <c r="D359" s="1411"/>
      <c r="E359" s="1405">
        <f t="shared" si="93"/>
        <v>0</v>
      </c>
      <c r="F359" s="1411"/>
      <c r="G359" s="1405">
        <f t="shared" si="94"/>
        <v>1</v>
      </c>
      <c r="H359" s="1411"/>
      <c r="I359" s="1405">
        <f t="shared" si="95"/>
        <v>1</v>
      </c>
      <c r="J359" s="1411"/>
      <c r="K359" s="1405">
        <f t="shared" si="96"/>
        <v>1</v>
      </c>
      <c r="L359" s="1411"/>
      <c r="M359" s="1405">
        <f t="shared" si="97"/>
        <v>1</v>
      </c>
      <c r="N359" s="1411"/>
      <c r="O359" s="1405">
        <f t="shared" si="98"/>
        <v>1</v>
      </c>
      <c r="P359" s="1411"/>
      <c r="Q359" s="1405">
        <f t="shared" si="99"/>
        <v>0</v>
      </c>
      <c r="R359" s="1476">
        <f t="shared" si="104"/>
        <v>0</v>
      </c>
      <c r="S359" s="1358">
        <f t="shared" si="105"/>
        <v>0</v>
      </c>
      <c r="T359" s="1485">
        <f t="shared" si="106"/>
        <v>0</v>
      </c>
      <c r="U359" s="1483">
        <f t="shared" si="100"/>
        <v>0</v>
      </c>
      <c r="V359" s="1483">
        <f t="shared" si="101"/>
        <v>0</v>
      </c>
      <c r="W359" s="1486"/>
      <c r="X359" s="1483">
        <f t="shared" si="102"/>
        <v>0</v>
      </c>
      <c r="Y359" s="1483">
        <f t="shared" si="103"/>
        <v>0</v>
      </c>
      <c r="Z359" s="1486"/>
    </row>
    <row r="360" spans="1:26">
      <c r="A360" s="1414"/>
      <c r="B360" s="1415"/>
      <c r="C360" s="1405">
        <f t="shared" si="92"/>
        <v>1</v>
      </c>
      <c r="D360" s="1411"/>
      <c r="E360" s="1405">
        <f t="shared" si="93"/>
        <v>0</v>
      </c>
      <c r="F360" s="1411"/>
      <c r="G360" s="1405">
        <f t="shared" si="94"/>
        <v>1</v>
      </c>
      <c r="H360" s="1411"/>
      <c r="I360" s="1405">
        <f t="shared" si="95"/>
        <v>1</v>
      </c>
      <c r="J360" s="1411"/>
      <c r="K360" s="1405">
        <f t="shared" si="96"/>
        <v>1</v>
      </c>
      <c r="L360" s="1411"/>
      <c r="M360" s="1405">
        <f t="shared" si="97"/>
        <v>1</v>
      </c>
      <c r="N360" s="1411"/>
      <c r="O360" s="1405">
        <f t="shared" si="98"/>
        <v>1</v>
      </c>
      <c r="P360" s="1411"/>
      <c r="Q360" s="1405">
        <f t="shared" si="99"/>
        <v>0</v>
      </c>
      <c r="R360" s="1476">
        <f t="shared" si="104"/>
        <v>0</v>
      </c>
      <c r="S360" s="1358">
        <f t="shared" si="105"/>
        <v>0</v>
      </c>
      <c r="T360" s="1485">
        <f t="shared" si="106"/>
        <v>0</v>
      </c>
      <c r="U360" s="1483">
        <f t="shared" si="100"/>
        <v>0</v>
      </c>
      <c r="V360" s="1483">
        <f t="shared" si="101"/>
        <v>0</v>
      </c>
      <c r="W360" s="1486"/>
      <c r="X360" s="1483">
        <f t="shared" si="102"/>
        <v>0</v>
      </c>
      <c r="Y360" s="1483">
        <f t="shared" si="103"/>
        <v>0</v>
      </c>
      <c r="Z360" s="1486"/>
    </row>
    <row r="361" spans="1:26">
      <c r="A361" s="1414"/>
      <c r="B361" s="1415"/>
      <c r="C361" s="1405">
        <f t="shared" si="92"/>
        <v>1</v>
      </c>
      <c r="D361" s="1411"/>
      <c r="E361" s="1405">
        <f t="shared" si="93"/>
        <v>0</v>
      </c>
      <c r="F361" s="1411"/>
      <c r="G361" s="1405">
        <f t="shared" si="94"/>
        <v>1</v>
      </c>
      <c r="H361" s="1411"/>
      <c r="I361" s="1405">
        <f t="shared" si="95"/>
        <v>1</v>
      </c>
      <c r="J361" s="1411"/>
      <c r="K361" s="1405">
        <f t="shared" si="96"/>
        <v>1</v>
      </c>
      <c r="L361" s="1411"/>
      <c r="M361" s="1405">
        <f t="shared" si="97"/>
        <v>1</v>
      </c>
      <c r="N361" s="1411"/>
      <c r="O361" s="1405">
        <f t="shared" si="98"/>
        <v>1</v>
      </c>
      <c r="P361" s="1411"/>
      <c r="Q361" s="1405">
        <f t="shared" si="99"/>
        <v>0</v>
      </c>
      <c r="R361" s="1476">
        <f t="shared" si="104"/>
        <v>0</v>
      </c>
      <c r="S361" s="1358">
        <f t="shared" si="105"/>
        <v>0</v>
      </c>
      <c r="T361" s="1485">
        <f t="shared" si="106"/>
        <v>0</v>
      </c>
      <c r="U361" s="1483">
        <f t="shared" si="100"/>
        <v>0</v>
      </c>
      <c r="V361" s="1483">
        <f t="shared" si="101"/>
        <v>0</v>
      </c>
      <c r="W361" s="1486"/>
      <c r="X361" s="1483">
        <f t="shared" si="102"/>
        <v>0</v>
      </c>
      <c r="Y361" s="1483">
        <f t="shared" si="103"/>
        <v>0</v>
      </c>
      <c r="Z361" s="1486"/>
    </row>
    <row r="362" spans="1:26">
      <c r="A362" s="1414"/>
      <c r="B362" s="1415"/>
      <c r="C362" s="1405">
        <f t="shared" si="92"/>
        <v>1</v>
      </c>
      <c r="D362" s="1411"/>
      <c r="E362" s="1405">
        <f t="shared" si="93"/>
        <v>0</v>
      </c>
      <c r="F362" s="1411"/>
      <c r="G362" s="1405">
        <f t="shared" si="94"/>
        <v>1</v>
      </c>
      <c r="H362" s="1411"/>
      <c r="I362" s="1405">
        <f t="shared" si="95"/>
        <v>1</v>
      </c>
      <c r="J362" s="1411"/>
      <c r="K362" s="1405">
        <f t="shared" si="96"/>
        <v>1</v>
      </c>
      <c r="L362" s="1411"/>
      <c r="M362" s="1405">
        <f t="shared" si="97"/>
        <v>1</v>
      </c>
      <c r="N362" s="1411"/>
      <c r="O362" s="1405">
        <f t="shared" si="98"/>
        <v>1</v>
      </c>
      <c r="P362" s="1411"/>
      <c r="Q362" s="1405">
        <f t="shared" si="99"/>
        <v>0</v>
      </c>
      <c r="R362" s="1476">
        <f t="shared" si="104"/>
        <v>0</v>
      </c>
      <c r="S362" s="1358">
        <f t="shared" si="105"/>
        <v>0</v>
      </c>
      <c r="T362" s="1485">
        <f t="shared" si="106"/>
        <v>0</v>
      </c>
      <c r="U362" s="1483">
        <f t="shared" si="100"/>
        <v>0</v>
      </c>
      <c r="V362" s="1483">
        <f t="shared" si="101"/>
        <v>0</v>
      </c>
      <c r="W362" s="1486"/>
      <c r="X362" s="1483">
        <f t="shared" si="102"/>
        <v>0</v>
      </c>
      <c r="Y362" s="1483">
        <f t="shared" si="103"/>
        <v>0</v>
      </c>
      <c r="Z362" s="1486"/>
    </row>
    <row r="363" spans="1:26">
      <c r="A363" s="1414"/>
      <c r="B363" s="1415"/>
      <c r="C363" s="1405">
        <f t="shared" si="92"/>
        <v>1</v>
      </c>
      <c r="D363" s="1411"/>
      <c r="E363" s="1405">
        <f t="shared" si="93"/>
        <v>0</v>
      </c>
      <c r="F363" s="1411"/>
      <c r="G363" s="1405">
        <f t="shared" si="94"/>
        <v>1</v>
      </c>
      <c r="H363" s="1411"/>
      <c r="I363" s="1405">
        <f t="shared" si="95"/>
        <v>1</v>
      </c>
      <c r="J363" s="1411"/>
      <c r="K363" s="1405">
        <f t="shared" si="96"/>
        <v>1</v>
      </c>
      <c r="L363" s="1411"/>
      <c r="M363" s="1405">
        <f t="shared" si="97"/>
        <v>1</v>
      </c>
      <c r="N363" s="1411"/>
      <c r="O363" s="1405">
        <f t="shared" si="98"/>
        <v>1</v>
      </c>
      <c r="P363" s="1411"/>
      <c r="Q363" s="1405">
        <f t="shared" si="99"/>
        <v>0</v>
      </c>
      <c r="R363" s="1476">
        <f t="shared" si="104"/>
        <v>0</v>
      </c>
      <c r="S363" s="1358">
        <f t="shared" si="105"/>
        <v>0</v>
      </c>
      <c r="T363" s="1485">
        <f t="shared" si="106"/>
        <v>0</v>
      </c>
      <c r="U363" s="1483">
        <f t="shared" si="100"/>
        <v>0</v>
      </c>
      <c r="V363" s="1483">
        <f t="shared" si="101"/>
        <v>0</v>
      </c>
      <c r="W363" s="1486"/>
      <c r="X363" s="1483">
        <f t="shared" si="102"/>
        <v>0</v>
      </c>
      <c r="Y363" s="1483">
        <f t="shared" si="103"/>
        <v>0</v>
      </c>
      <c r="Z363" s="1486"/>
    </row>
    <row r="364" spans="1:26">
      <c r="A364" s="1414"/>
      <c r="B364" s="1415"/>
      <c r="C364" s="1405">
        <f t="shared" si="92"/>
        <v>1</v>
      </c>
      <c r="D364" s="1411"/>
      <c r="E364" s="1405">
        <f t="shared" si="93"/>
        <v>0</v>
      </c>
      <c r="F364" s="1411"/>
      <c r="G364" s="1405">
        <f t="shared" si="94"/>
        <v>1</v>
      </c>
      <c r="H364" s="1411"/>
      <c r="I364" s="1405">
        <f t="shared" si="95"/>
        <v>1</v>
      </c>
      <c r="J364" s="1411"/>
      <c r="K364" s="1405">
        <f t="shared" si="96"/>
        <v>1</v>
      </c>
      <c r="L364" s="1411"/>
      <c r="M364" s="1405">
        <f t="shared" si="97"/>
        <v>1</v>
      </c>
      <c r="N364" s="1411"/>
      <c r="O364" s="1405">
        <f t="shared" si="98"/>
        <v>1</v>
      </c>
      <c r="P364" s="1411"/>
      <c r="Q364" s="1405">
        <f t="shared" si="99"/>
        <v>0</v>
      </c>
      <c r="R364" s="1476">
        <f t="shared" si="104"/>
        <v>0</v>
      </c>
      <c r="S364" s="1358">
        <f t="shared" si="105"/>
        <v>0</v>
      </c>
      <c r="T364" s="1485">
        <f t="shared" si="106"/>
        <v>0</v>
      </c>
      <c r="U364" s="1483">
        <f t="shared" si="100"/>
        <v>0</v>
      </c>
      <c r="V364" s="1483">
        <f t="shared" si="101"/>
        <v>0</v>
      </c>
      <c r="W364" s="1486"/>
      <c r="X364" s="1483">
        <f t="shared" si="102"/>
        <v>0</v>
      </c>
      <c r="Y364" s="1483">
        <f t="shared" si="103"/>
        <v>0</v>
      </c>
      <c r="Z364" s="1486"/>
    </row>
    <row r="365" spans="1:26">
      <c r="A365" s="1414"/>
      <c r="B365" s="1415"/>
      <c r="C365" s="1405">
        <f t="shared" si="92"/>
        <v>1</v>
      </c>
      <c r="D365" s="1411"/>
      <c r="E365" s="1405">
        <f t="shared" si="93"/>
        <v>0</v>
      </c>
      <c r="F365" s="1411"/>
      <c r="G365" s="1405">
        <f t="shared" si="94"/>
        <v>1</v>
      </c>
      <c r="H365" s="1411"/>
      <c r="I365" s="1405">
        <f t="shared" si="95"/>
        <v>1</v>
      </c>
      <c r="J365" s="1411"/>
      <c r="K365" s="1405">
        <f t="shared" si="96"/>
        <v>1</v>
      </c>
      <c r="L365" s="1411"/>
      <c r="M365" s="1405">
        <f t="shared" si="97"/>
        <v>1</v>
      </c>
      <c r="N365" s="1411"/>
      <c r="O365" s="1405">
        <f t="shared" si="98"/>
        <v>1</v>
      </c>
      <c r="P365" s="1411"/>
      <c r="Q365" s="1405">
        <f t="shared" si="99"/>
        <v>0</v>
      </c>
      <c r="R365" s="1476">
        <f t="shared" si="104"/>
        <v>0</v>
      </c>
      <c r="S365" s="1358">
        <f t="shared" si="105"/>
        <v>0</v>
      </c>
      <c r="T365" s="1485">
        <f t="shared" si="106"/>
        <v>0</v>
      </c>
      <c r="U365" s="1483">
        <f t="shared" si="100"/>
        <v>0</v>
      </c>
      <c r="V365" s="1483">
        <f t="shared" si="101"/>
        <v>0</v>
      </c>
      <c r="W365" s="1486"/>
      <c r="X365" s="1483">
        <f t="shared" si="102"/>
        <v>0</v>
      </c>
      <c r="Y365" s="1483">
        <f t="shared" si="103"/>
        <v>0</v>
      </c>
      <c r="Z365" s="1486"/>
    </row>
    <row r="366" spans="1:26">
      <c r="A366" s="1414"/>
      <c r="B366" s="1415"/>
      <c r="C366" s="1405">
        <f t="shared" si="92"/>
        <v>1</v>
      </c>
      <c r="D366" s="1411"/>
      <c r="E366" s="1405">
        <f t="shared" si="93"/>
        <v>0</v>
      </c>
      <c r="F366" s="1411"/>
      <c r="G366" s="1405">
        <f t="shared" si="94"/>
        <v>1</v>
      </c>
      <c r="H366" s="1411"/>
      <c r="I366" s="1405">
        <f t="shared" si="95"/>
        <v>1</v>
      </c>
      <c r="J366" s="1411"/>
      <c r="K366" s="1405">
        <f t="shared" si="96"/>
        <v>1</v>
      </c>
      <c r="L366" s="1411"/>
      <c r="M366" s="1405">
        <f t="shared" si="97"/>
        <v>1</v>
      </c>
      <c r="N366" s="1411"/>
      <c r="O366" s="1405">
        <f t="shared" si="98"/>
        <v>1</v>
      </c>
      <c r="P366" s="1411"/>
      <c r="Q366" s="1405">
        <f t="shared" si="99"/>
        <v>0</v>
      </c>
      <c r="R366" s="1476">
        <f t="shared" si="104"/>
        <v>0</v>
      </c>
      <c r="S366" s="1358">
        <f t="shared" si="105"/>
        <v>0</v>
      </c>
      <c r="T366" s="1485">
        <f t="shared" si="106"/>
        <v>0</v>
      </c>
      <c r="U366" s="1483">
        <f t="shared" si="100"/>
        <v>0</v>
      </c>
      <c r="V366" s="1483">
        <f t="shared" si="101"/>
        <v>0</v>
      </c>
      <c r="W366" s="1486"/>
      <c r="X366" s="1483">
        <f t="shared" si="102"/>
        <v>0</v>
      </c>
      <c r="Y366" s="1483">
        <f t="shared" si="103"/>
        <v>0</v>
      </c>
      <c r="Z366" s="1486"/>
    </row>
    <row r="367" spans="1:26">
      <c r="A367" s="1414"/>
      <c r="B367" s="1415"/>
      <c r="C367" s="1405">
        <f t="shared" si="92"/>
        <v>1</v>
      </c>
      <c r="D367" s="1411"/>
      <c r="E367" s="1405">
        <f t="shared" si="93"/>
        <v>0</v>
      </c>
      <c r="F367" s="1411"/>
      <c r="G367" s="1405">
        <f t="shared" si="94"/>
        <v>1</v>
      </c>
      <c r="H367" s="1411"/>
      <c r="I367" s="1405">
        <f t="shared" si="95"/>
        <v>1</v>
      </c>
      <c r="J367" s="1411"/>
      <c r="K367" s="1405">
        <f t="shared" si="96"/>
        <v>1</v>
      </c>
      <c r="L367" s="1411"/>
      <c r="M367" s="1405">
        <f t="shared" si="97"/>
        <v>1</v>
      </c>
      <c r="N367" s="1411"/>
      <c r="O367" s="1405">
        <f t="shared" si="98"/>
        <v>1</v>
      </c>
      <c r="P367" s="1411"/>
      <c r="Q367" s="1405">
        <f t="shared" si="99"/>
        <v>0</v>
      </c>
      <c r="R367" s="1476">
        <f t="shared" si="104"/>
        <v>0</v>
      </c>
      <c r="S367" s="1358">
        <f t="shared" si="105"/>
        <v>0</v>
      </c>
      <c r="T367" s="1485">
        <f t="shared" si="106"/>
        <v>0</v>
      </c>
      <c r="U367" s="1483">
        <f t="shared" si="100"/>
        <v>0</v>
      </c>
      <c r="V367" s="1483">
        <f t="shared" si="101"/>
        <v>0</v>
      </c>
      <c r="W367" s="1486"/>
      <c r="X367" s="1483">
        <f t="shared" si="102"/>
        <v>0</v>
      </c>
      <c r="Y367" s="1483">
        <f t="shared" si="103"/>
        <v>0</v>
      </c>
      <c r="Z367" s="1486"/>
    </row>
    <row r="368" spans="1:26">
      <c r="A368" s="1414"/>
      <c r="B368" s="1415"/>
      <c r="C368" s="1405">
        <f t="shared" si="92"/>
        <v>1</v>
      </c>
      <c r="D368" s="1411"/>
      <c r="E368" s="1405">
        <f t="shared" si="93"/>
        <v>0</v>
      </c>
      <c r="F368" s="1411"/>
      <c r="G368" s="1405">
        <f t="shared" si="94"/>
        <v>1</v>
      </c>
      <c r="H368" s="1411"/>
      <c r="I368" s="1405">
        <f t="shared" si="95"/>
        <v>1</v>
      </c>
      <c r="J368" s="1411"/>
      <c r="K368" s="1405">
        <f t="shared" si="96"/>
        <v>1</v>
      </c>
      <c r="L368" s="1411"/>
      <c r="M368" s="1405">
        <f t="shared" si="97"/>
        <v>1</v>
      </c>
      <c r="N368" s="1411"/>
      <c r="O368" s="1405">
        <f t="shared" si="98"/>
        <v>1</v>
      </c>
      <c r="P368" s="1411"/>
      <c r="Q368" s="1405">
        <f t="shared" si="99"/>
        <v>0</v>
      </c>
      <c r="R368" s="1476">
        <f t="shared" si="104"/>
        <v>0</v>
      </c>
      <c r="S368" s="1358">
        <f t="shared" si="105"/>
        <v>0</v>
      </c>
      <c r="T368" s="1485">
        <f t="shared" si="106"/>
        <v>0</v>
      </c>
      <c r="U368" s="1483">
        <f t="shared" si="100"/>
        <v>0</v>
      </c>
      <c r="V368" s="1483">
        <f t="shared" si="101"/>
        <v>0</v>
      </c>
      <c r="W368" s="1486"/>
      <c r="X368" s="1483">
        <f t="shared" si="102"/>
        <v>0</v>
      </c>
      <c r="Y368" s="1483">
        <f t="shared" si="103"/>
        <v>0</v>
      </c>
      <c r="Z368" s="1486"/>
    </row>
    <row r="369" spans="1:26">
      <c r="A369" s="1414"/>
      <c r="B369" s="1415"/>
      <c r="C369" s="1405">
        <f t="shared" si="92"/>
        <v>1</v>
      </c>
      <c r="D369" s="1411"/>
      <c r="E369" s="1405">
        <f t="shared" si="93"/>
        <v>0</v>
      </c>
      <c r="F369" s="1411"/>
      <c r="G369" s="1405">
        <f t="shared" si="94"/>
        <v>1</v>
      </c>
      <c r="H369" s="1411"/>
      <c r="I369" s="1405">
        <f t="shared" si="95"/>
        <v>1</v>
      </c>
      <c r="J369" s="1411"/>
      <c r="K369" s="1405">
        <f t="shared" si="96"/>
        <v>1</v>
      </c>
      <c r="L369" s="1411"/>
      <c r="M369" s="1405">
        <f t="shared" si="97"/>
        <v>1</v>
      </c>
      <c r="N369" s="1411"/>
      <c r="O369" s="1405">
        <f t="shared" si="98"/>
        <v>1</v>
      </c>
      <c r="P369" s="1411"/>
      <c r="Q369" s="1405">
        <f t="shared" si="99"/>
        <v>0</v>
      </c>
      <c r="R369" s="1476">
        <f t="shared" si="104"/>
        <v>0</v>
      </c>
      <c r="S369" s="1358">
        <f t="shared" si="105"/>
        <v>0</v>
      </c>
      <c r="T369" s="1485">
        <f t="shared" si="106"/>
        <v>0</v>
      </c>
      <c r="U369" s="1483">
        <f t="shared" si="100"/>
        <v>0</v>
      </c>
      <c r="V369" s="1483">
        <f t="shared" si="101"/>
        <v>0</v>
      </c>
      <c r="W369" s="1486"/>
      <c r="X369" s="1483">
        <f t="shared" si="102"/>
        <v>0</v>
      </c>
      <c r="Y369" s="1483">
        <f t="shared" si="103"/>
        <v>0</v>
      </c>
      <c r="Z369" s="1486"/>
    </row>
    <row r="370" spans="1:26">
      <c r="A370" s="1414"/>
      <c r="B370" s="1415"/>
      <c r="C370" s="1405">
        <f t="shared" si="92"/>
        <v>1</v>
      </c>
      <c r="D370" s="1411"/>
      <c r="E370" s="1405">
        <f t="shared" si="93"/>
        <v>0</v>
      </c>
      <c r="F370" s="1411"/>
      <c r="G370" s="1405">
        <f t="shared" si="94"/>
        <v>1</v>
      </c>
      <c r="H370" s="1411"/>
      <c r="I370" s="1405">
        <f t="shared" si="95"/>
        <v>1</v>
      </c>
      <c r="J370" s="1411"/>
      <c r="K370" s="1405">
        <f t="shared" si="96"/>
        <v>1</v>
      </c>
      <c r="L370" s="1411"/>
      <c r="M370" s="1405">
        <f t="shared" si="97"/>
        <v>1</v>
      </c>
      <c r="N370" s="1411"/>
      <c r="O370" s="1405">
        <f t="shared" si="98"/>
        <v>1</v>
      </c>
      <c r="P370" s="1411"/>
      <c r="Q370" s="1405">
        <f t="shared" si="99"/>
        <v>0</v>
      </c>
      <c r="R370" s="1476">
        <f t="shared" si="104"/>
        <v>0</v>
      </c>
      <c r="S370" s="1358">
        <f t="shared" si="105"/>
        <v>0</v>
      </c>
      <c r="T370" s="1485">
        <f t="shared" si="106"/>
        <v>0</v>
      </c>
      <c r="U370" s="1483">
        <f t="shared" si="100"/>
        <v>0</v>
      </c>
      <c r="V370" s="1483">
        <f t="shared" si="101"/>
        <v>0</v>
      </c>
      <c r="W370" s="1486"/>
      <c r="X370" s="1483">
        <f t="shared" si="102"/>
        <v>0</v>
      </c>
      <c r="Y370" s="1483">
        <f t="shared" si="103"/>
        <v>0</v>
      </c>
      <c r="Z370" s="1486"/>
    </row>
    <row r="371" spans="1:26">
      <c r="A371" s="1414"/>
      <c r="B371" s="1415"/>
      <c r="C371" s="1405">
        <f t="shared" si="92"/>
        <v>1</v>
      </c>
      <c r="D371" s="1411"/>
      <c r="E371" s="1405">
        <f t="shared" si="93"/>
        <v>0</v>
      </c>
      <c r="F371" s="1411"/>
      <c r="G371" s="1405">
        <f t="shared" si="94"/>
        <v>1</v>
      </c>
      <c r="H371" s="1411"/>
      <c r="I371" s="1405">
        <f t="shared" si="95"/>
        <v>1</v>
      </c>
      <c r="J371" s="1411"/>
      <c r="K371" s="1405">
        <f t="shared" si="96"/>
        <v>1</v>
      </c>
      <c r="L371" s="1411"/>
      <c r="M371" s="1405">
        <f t="shared" si="97"/>
        <v>1</v>
      </c>
      <c r="N371" s="1411"/>
      <c r="O371" s="1405">
        <f t="shared" si="98"/>
        <v>1</v>
      </c>
      <c r="P371" s="1411"/>
      <c r="Q371" s="1405">
        <f t="shared" si="99"/>
        <v>0</v>
      </c>
      <c r="R371" s="1476">
        <f t="shared" si="104"/>
        <v>0</v>
      </c>
      <c r="S371" s="1358">
        <f t="shared" si="105"/>
        <v>0</v>
      </c>
      <c r="T371" s="1485">
        <f t="shared" si="106"/>
        <v>0</v>
      </c>
      <c r="U371" s="1483">
        <f t="shared" si="100"/>
        <v>0</v>
      </c>
      <c r="V371" s="1483">
        <f t="shared" si="101"/>
        <v>0</v>
      </c>
      <c r="W371" s="1486"/>
      <c r="X371" s="1483">
        <f t="shared" si="102"/>
        <v>0</v>
      </c>
      <c r="Y371" s="1483">
        <f t="shared" si="103"/>
        <v>0</v>
      </c>
      <c r="Z371" s="1486"/>
    </row>
    <row r="372" spans="1:26">
      <c r="A372" s="1414"/>
      <c r="B372" s="1415"/>
      <c r="C372" s="1405">
        <f t="shared" si="92"/>
        <v>1</v>
      </c>
      <c r="D372" s="1411"/>
      <c r="E372" s="1405">
        <f t="shared" si="93"/>
        <v>0</v>
      </c>
      <c r="F372" s="1411"/>
      <c r="G372" s="1405">
        <f t="shared" si="94"/>
        <v>1</v>
      </c>
      <c r="H372" s="1411"/>
      <c r="I372" s="1405">
        <f t="shared" si="95"/>
        <v>1</v>
      </c>
      <c r="J372" s="1411"/>
      <c r="K372" s="1405">
        <f t="shared" si="96"/>
        <v>1</v>
      </c>
      <c r="L372" s="1411"/>
      <c r="M372" s="1405">
        <f t="shared" si="97"/>
        <v>1</v>
      </c>
      <c r="N372" s="1411"/>
      <c r="O372" s="1405">
        <f t="shared" si="98"/>
        <v>1</v>
      </c>
      <c r="P372" s="1411"/>
      <c r="Q372" s="1405">
        <f t="shared" si="99"/>
        <v>0</v>
      </c>
      <c r="R372" s="1476">
        <f t="shared" si="104"/>
        <v>0</v>
      </c>
      <c r="S372" s="1358">
        <f t="shared" si="105"/>
        <v>0</v>
      </c>
      <c r="T372" s="1485">
        <f t="shared" si="106"/>
        <v>0</v>
      </c>
      <c r="U372" s="1483">
        <f t="shared" si="100"/>
        <v>0</v>
      </c>
      <c r="V372" s="1483">
        <f t="shared" si="101"/>
        <v>0</v>
      </c>
      <c r="W372" s="1486"/>
      <c r="X372" s="1483">
        <f t="shared" si="102"/>
        <v>0</v>
      </c>
      <c r="Y372" s="1483">
        <f t="shared" si="103"/>
        <v>0</v>
      </c>
      <c r="Z372" s="1486"/>
    </row>
    <row r="373" spans="1:26">
      <c r="A373" s="1414"/>
      <c r="B373" s="1415"/>
      <c r="C373" s="1405">
        <f t="shared" si="92"/>
        <v>1</v>
      </c>
      <c r="D373" s="1411"/>
      <c r="E373" s="1405">
        <f t="shared" si="93"/>
        <v>0</v>
      </c>
      <c r="F373" s="1411"/>
      <c r="G373" s="1405">
        <f t="shared" si="94"/>
        <v>1</v>
      </c>
      <c r="H373" s="1411"/>
      <c r="I373" s="1405">
        <f t="shared" si="95"/>
        <v>1</v>
      </c>
      <c r="J373" s="1411"/>
      <c r="K373" s="1405">
        <f t="shared" si="96"/>
        <v>1</v>
      </c>
      <c r="L373" s="1411"/>
      <c r="M373" s="1405">
        <f t="shared" si="97"/>
        <v>1</v>
      </c>
      <c r="N373" s="1411"/>
      <c r="O373" s="1405">
        <f t="shared" si="98"/>
        <v>1</v>
      </c>
      <c r="P373" s="1411"/>
      <c r="Q373" s="1405">
        <f t="shared" si="99"/>
        <v>0</v>
      </c>
      <c r="R373" s="1476">
        <f t="shared" si="104"/>
        <v>0</v>
      </c>
      <c r="S373" s="1358">
        <f t="shared" si="105"/>
        <v>0</v>
      </c>
      <c r="T373" s="1485">
        <f t="shared" si="106"/>
        <v>0</v>
      </c>
      <c r="U373" s="1483">
        <f t="shared" si="100"/>
        <v>0</v>
      </c>
      <c r="V373" s="1483">
        <f t="shared" si="101"/>
        <v>0</v>
      </c>
      <c r="W373" s="1486"/>
      <c r="X373" s="1483">
        <f t="shared" si="102"/>
        <v>0</v>
      </c>
      <c r="Y373" s="1483">
        <f t="shared" si="103"/>
        <v>0</v>
      </c>
      <c r="Z373" s="1486"/>
    </row>
    <row r="374" spans="1:26">
      <c r="A374" s="1414"/>
      <c r="B374" s="1415"/>
      <c r="C374" s="1405">
        <f t="shared" si="92"/>
        <v>1</v>
      </c>
      <c r="D374" s="1411"/>
      <c r="E374" s="1405">
        <f t="shared" si="93"/>
        <v>0</v>
      </c>
      <c r="F374" s="1411"/>
      <c r="G374" s="1405">
        <f t="shared" si="94"/>
        <v>1</v>
      </c>
      <c r="H374" s="1411"/>
      <c r="I374" s="1405">
        <f t="shared" si="95"/>
        <v>1</v>
      </c>
      <c r="J374" s="1411"/>
      <c r="K374" s="1405">
        <f t="shared" si="96"/>
        <v>1</v>
      </c>
      <c r="L374" s="1411"/>
      <c r="M374" s="1405">
        <f t="shared" si="97"/>
        <v>1</v>
      </c>
      <c r="N374" s="1411"/>
      <c r="O374" s="1405">
        <f t="shared" si="98"/>
        <v>1</v>
      </c>
      <c r="P374" s="1411"/>
      <c r="Q374" s="1405">
        <f t="shared" si="99"/>
        <v>0</v>
      </c>
      <c r="R374" s="1476">
        <f t="shared" si="104"/>
        <v>0</v>
      </c>
      <c r="S374" s="1358">
        <f t="shared" si="105"/>
        <v>0</v>
      </c>
      <c r="T374" s="1485">
        <f t="shared" si="106"/>
        <v>0</v>
      </c>
      <c r="U374" s="1483">
        <f t="shared" si="100"/>
        <v>0</v>
      </c>
      <c r="V374" s="1483">
        <f t="shared" si="101"/>
        <v>0</v>
      </c>
      <c r="W374" s="1486"/>
      <c r="X374" s="1483">
        <f t="shared" si="102"/>
        <v>0</v>
      </c>
      <c r="Y374" s="1483">
        <f t="shared" si="103"/>
        <v>0</v>
      </c>
      <c r="Z374" s="1486"/>
    </row>
    <row r="375" spans="1:26">
      <c r="A375" s="1414"/>
      <c r="B375" s="1415"/>
      <c r="C375" s="1405">
        <f t="shared" si="92"/>
        <v>1</v>
      </c>
      <c r="D375" s="1411"/>
      <c r="E375" s="1405">
        <f t="shared" si="93"/>
        <v>0</v>
      </c>
      <c r="F375" s="1411"/>
      <c r="G375" s="1405">
        <f t="shared" si="94"/>
        <v>1</v>
      </c>
      <c r="H375" s="1411"/>
      <c r="I375" s="1405">
        <f t="shared" si="95"/>
        <v>1</v>
      </c>
      <c r="J375" s="1411"/>
      <c r="K375" s="1405">
        <f t="shared" si="96"/>
        <v>1</v>
      </c>
      <c r="L375" s="1411"/>
      <c r="M375" s="1405">
        <f t="shared" si="97"/>
        <v>1</v>
      </c>
      <c r="N375" s="1411"/>
      <c r="O375" s="1405">
        <f t="shared" si="98"/>
        <v>1</v>
      </c>
      <c r="P375" s="1411"/>
      <c r="Q375" s="1405">
        <f t="shared" si="99"/>
        <v>0</v>
      </c>
      <c r="R375" s="1476">
        <f t="shared" si="104"/>
        <v>0</v>
      </c>
      <c r="S375" s="1358">
        <f t="shared" si="105"/>
        <v>0</v>
      </c>
      <c r="T375" s="1485">
        <f t="shared" si="106"/>
        <v>0</v>
      </c>
      <c r="U375" s="1483">
        <f t="shared" si="100"/>
        <v>0</v>
      </c>
      <c r="V375" s="1483">
        <f t="shared" si="101"/>
        <v>0</v>
      </c>
      <c r="W375" s="1486"/>
      <c r="X375" s="1483">
        <f t="shared" si="102"/>
        <v>0</v>
      </c>
      <c r="Y375" s="1483">
        <f t="shared" si="103"/>
        <v>0</v>
      </c>
      <c r="Z375" s="1486"/>
    </row>
    <row r="376" spans="1:26">
      <c r="A376" s="1414"/>
      <c r="B376" s="1415"/>
      <c r="C376" s="1405">
        <f t="shared" si="92"/>
        <v>1</v>
      </c>
      <c r="D376" s="1411"/>
      <c r="E376" s="1405">
        <f t="shared" si="93"/>
        <v>0</v>
      </c>
      <c r="F376" s="1411"/>
      <c r="G376" s="1405">
        <f t="shared" si="94"/>
        <v>1</v>
      </c>
      <c r="H376" s="1411"/>
      <c r="I376" s="1405">
        <f t="shared" si="95"/>
        <v>1</v>
      </c>
      <c r="J376" s="1411"/>
      <c r="K376" s="1405">
        <f t="shared" si="96"/>
        <v>1</v>
      </c>
      <c r="L376" s="1411"/>
      <c r="M376" s="1405">
        <f t="shared" si="97"/>
        <v>1</v>
      </c>
      <c r="N376" s="1411"/>
      <c r="O376" s="1405">
        <f t="shared" si="98"/>
        <v>1</v>
      </c>
      <c r="P376" s="1411"/>
      <c r="Q376" s="1405">
        <f t="shared" si="99"/>
        <v>0</v>
      </c>
      <c r="R376" s="1476">
        <f t="shared" si="104"/>
        <v>0</v>
      </c>
      <c r="S376" s="1358">
        <f t="shared" si="105"/>
        <v>0</v>
      </c>
      <c r="T376" s="1485">
        <f t="shared" si="106"/>
        <v>0</v>
      </c>
      <c r="U376" s="1483">
        <f t="shared" si="100"/>
        <v>0</v>
      </c>
      <c r="V376" s="1483">
        <f t="shared" si="101"/>
        <v>0</v>
      </c>
      <c r="W376" s="1486"/>
      <c r="X376" s="1483">
        <f t="shared" si="102"/>
        <v>0</v>
      </c>
      <c r="Y376" s="1483">
        <f t="shared" si="103"/>
        <v>0</v>
      </c>
      <c r="Z376" s="1486"/>
    </row>
    <row r="377" spans="1:26">
      <c r="A377" s="1414"/>
      <c r="B377" s="1415"/>
      <c r="C377" s="1405">
        <f t="shared" si="92"/>
        <v>1</v>
      </c>
      <c r="D377" s="1411"/>
      <c r="E377" s="1405">
        <f t="shared" si="93"/>
        <v>0</v>
      </c>
      <c r="F377" s="1411"/>
      <c r="G377" s="1405">
        <f t="shared" si="94"/>
        <v>1</v>
      </c>
      <c r="H377" s="1411"/>
      <c r="I377" s="1405">
        <f t="shared" si="95"/>
        <v>1</v>
      </c>
      <c r="J377" s="1411"/>
      <c r="K377" s="1405">
        <f t="shared" si="96"/>
        <v>1</v>
      </c>
      <c r="L377" s="1411"/>
      <c r="M377" s="1405">
        <f t="shared" si="97"/>
        <v>1</v>
      </c>
      <c r="N377" s="1411"/>
      <c r="O377" s="1405">
        <f t="shared" si="98"/>
        <v>1</v>
      </c>
      <c r="P377" s="1411"/>
      <c r="Q377" s="1405">
        <f t="shared" si="99"/>
        <v>0</v>
      </c>
      <c r="R377" s="1476">
        <f t="shared" si="104"/>
        <v>0</v>
      </c>
      <c r="S377" s="1358">
        <f t="shared" si="105"/>
        <v>0</v>
      </c>
      <c r="T377" s="1485">
        <f t="shared" si="106"/>
        <v>0</v>
      </c>
      <c r="U377" s="1483">
        <f t="shared" si="100"/>
        <v>0</v>
      </c>
      <c r="V377" s="1483">
        <f t="shared" si="101"/>
        <v>0</v>
      </c>
      <c r="W377" s="1486"/>
      <c r="X377" s="1483">
        <f t="shared" si="102"/>
        <v>0</v>
      </c>
      <c r="Y377" s="1483">
        <f t="shared" si="103"/>
        <v>0</v>
      </c>
      <c r="Z377" s="1486"/>
    </row>
    <row r="378" spans="1:26">
      <c r="A378" s="1414"/>
      <c r="B378" s="1415"/>
      <c r="C378" s="1405">
        <f t="shared" si="92"/>
        <v>1</v>
      </c>
      <c r="D378" s="1411"/>
      <c r="E378" s="1405">
        <f t="shared" si="93"/>
        <v>0</v>
      </c>
      <c r="F378" s="1411"/>
      <c r="G378" s="1405">
        <f t="shared" si="94"/>
        <v>1</v>
      </c>
      <c r="H378" s="1411"/>
      <c r="I378" s="1405">
        <f t="shared" si="95"/>
        <v>1</v>
      </c>
      <c r="J378" s="1411"/>
      <c r="K378" s="1405">
        <f t="shared" si="96"/>
        <v>1</v>
      </c>
      <c r="L378" s="1411"/>
      <c r="M378" s="1405">
        <f t="shared" si="97"/>
        <v>1</v>
      </c>
      <c r="N378" s="1411"/>
      <c r="O378" s="1405">
        <f t="shared" si="98"/>
        <v>1</v>
      </c>
      <c r="P378" s="1411"/>
      <c r="Q378" s="1405">
        <f t="shared" si="99"/>
        <v>0</v>
      </c>
      <c r="R378" s="1476">
        <f t="shared" si="104"/>
        <v>0</v>
      </c>
      <c r="S378" s="1358">
        <f t="shared" si="105"/>
        <v>0</v>
      </c>
      <c r="T378" s="1485">
        <f t="shared" si="106"/>
        <v>0</v>
      </c>
      <c r="U378" s="1483">
        <f t="shared" si="100"/>
        <v>0</v>
      </c>
      <c r="V378" s="1483">
        <f t="shared" si="101"/>
        <v>0</v>
      </c>
      <c r="W378" s="1486"/>
      <c r="X378" s="1483">
        <f t="shared" si="102"/>
        <v>0</v>
      </c>
      <c r="Y378" s="1483">
        <f t="shared" si="103"/>
        <v>0</v>
      </c>
      <c r="Z378" s="1486"/>
    </row>
    <row r="379" spans="1:26">
      <c r="A379" s="1414"/>
      <c r="B379" s="1415"/>
      <c r="C379" s="1405">
        <f t="shared" si="92"/>
        <v>1</v>
      </c>
      <c r="D379" s="1411"/>
      <c r="E379" s="1405">
        <f t="shared" si="93"/>
        <v>0</v>
      </c>
      <c r="F379" s="1411"/>
      <c r="G379" s="1405">
        <f t="shared" si="94"/>
        <v>1</v>
      </c>
      <c r="H379" s="1411"/>
      <c r="I379" s="1405">
        <f t="shared" si="95"/>
        <v>1</v>
      </c>
      <c r="J379" s="1411"/>
      <c r="K379" s="1405">
        <f t="shared" si="96"/>
        <v>1</v>
      </c>
      <c r="L379" s="1411"/>
      <c r="M379" s="1405">
        <f t="shared" si="97"/>
        <v>1</v>
      </c>
      <c r="N379" s="1411"/>
      <c r="O379" s="1405">
        <f t="shared" si="98"/>
        <v>1</v>
      </c>
      <c r="P379" s="1411"/>
      <c r="Q379" s="1405">
        <f t="shared" si="99"/>
        <v>0</v>
      </c>
      <c r="R379" s="1476">
        <f t="shared" si="104"/>
        <v>0</v>
      </c>
      <c r="S379" s="1358">
        <f t="shared" si="105"/>
        <v>0</v>
      </c>
      <c r="T379" s="1485">
        <f t="shared" si="106"/>
        <v>0</v>
      </c>
      <c r="U379" s="1483">
        <f t="shared" si="100"/>
        <v>0</v>
      </c>
      <c r="V379" s="1483">
        <f t="shared" si="101"/>
        <v>0</v>
      </c>
      <c r="W379" s="1486"/>
      <c r="X379" s="1483">
        <f t="shared" si="102"/>
        <v>0</v>
      </c>
      <c r="Y379" s="1483">
        <f t="shared" si="103"/>
        <v>0</v>
      </c>
      <c r="Z379" s="1486"/>
    </row>
    <row r="380" spans="1:26">
      <c r="A380" s="1414"/>
      <c r="B380" s="1415"/>
      <c r="C380" s="1405">
        <f t="shared" si="92"/>
        <v>1</v>
      </c>
      <c r="D380" s="1411"/>
      <c r="E380" s="1405">
        <f t="shared" si="93"/>
        <v>0</v>
      </c>
      <c r="F380" s="1411"/>
      <c r="G380" s="1405">
        <f t="shared" si="94"/>
        <v>1</v>
      </c>
      <c r="H380" s="1411"/>
      <c r="I380" s="1405">
        <f t="shared" si="95"/>
        <v>1</v>
      </c>
      <c r="J380" s="1411"/>
      <c r="K380" s="1405">
        <f t="shared" si="96"/>
        <v>1</v>
      </c>
      <c r="L380" s="1411"/>
      <c r="M380" s="1405">
        <f t="shared" si="97"/>
        <v>1</v>
      </c>
      <c r="N380" s="1411"/>
      <c r="O380" s="1405">
        <f t="shared" si="98"/>
        <v>1</v>
      </c>
      <c r="P380" s="1411"/>
      <c r="Q380" s="1405">
        <f t="shared" si="99"/>
        <v>0</v>
      </c>
      <c r="R380" s="1476">
        <f t="shared" si="104"/>
        <v>0</v>
      </c>
      <c r="S380" s="1358">
        <f t="shared" si="105"/>
        <v>0</v>
      </c>
      <c r="T380" s="1485">
        <f t="shared" si="106"/>
        <v>0</v>
      </c>
      <c r="U380" s="1483">
        <f t="shared" si="100"/>
        <v>0</v>
      </c>
      <c r="V380" s="1483">
        <f t="shared" si="101"/>
        <v>0</v>
      </c>
      <c r="W380" s="1486"/>
      <c r="X380" s="1483">
        <f t="shared" si="102"/>
        <v>0</v>
      </c>
      <c r="Y380" s="1483">
        <f t="shared" si="103"/>
        <v>0</v>
      </c>
      <c r="Z380" s="1486"/>
    </row>
    <row r="381" spans="1:26">
      <c r="A381" s="1414"/>
      <c r="B381" s="1415"/>
      <c r="C381" s="1405">
        <f t="shared" si="92"/>
        <v>1</v>
      </c>
      <c r="D381" s="1411"/>
      <c r="E381" s="1405">
        <f t="shared" si="93"/>
        <v>0</v>
      </c>
      <c r="F381" s="1411"/>
      <c r="G381" s="1405">
        <f t="shared" si="94"/>
        <v>1</v>
      </c>
      <c r="H381" s="1411"/>
      <c r="I381" s="1405">
        <f t="shared" si="95"/>
        <v>1</v>
      </c>
      <c r="J381" s="1411"/>
      <c r="K381" s="1405">
        <f t="shared" si="96"/>
        <v>1</v>
      </c>
      <c r="L381" s="1411"/>
      <c r="M381" s="1405">
        <f t="shared" si="97"/>
        <v>1</v>
      </c>
      <c r="N381" s="1411"/>
      <c r="O381" s="1405">
        <f t="shared" si="98"/>
        <v>1</v>
      </c>
      <c r="P381" s="1411"/>
      <c r="Q381" s="1405">
        <f t="shared" si="99"/>
        <v>0</v>
      </c>
      <c r="R381" s="1476">
        <f t="shared" si="104"/>
        <v>0</v>
      </c>
      <c r="S381" s="1358">
        <f t="shared" si="105"/>
        <v>0</v>
      </c>
      <c r="T381" s="1485">
        <f t="shared" si="106"/>
        <v>0</v>
      </c>
      <c r="U381" s="1483">
        <f t="shared" si="100"/>
        <v>0</v>
      </c>
      <c r="V381" s="1483">
        <f t="shared" si="101"/>
        <v>0</v>
      </c>
      <c r="W381" s="1486"/>
      <c r="X381" s="1483">
        <f t="shared" si="102"/>
        <v>0</v>
      </c>
      <c r="Y381" s="1483">
        <f t="shared" si="103"/>
        <v>0</v>
      </c>
      <c r="Z381" s="1486"/>
    </row>
    <row r="382" spans="1:26">
      <c r="A382" s="1414"/>
      <c r="B382" s="1415"/>
      <c r="C382" s="1405">
        <f t="shared" si="92"/>
        <v>1</v>
      </c>
      <c r="D382" s="1411"/>
      <c r="E382" s="1405">
        <f t="shared" si="93"/>
        <v>0</v>
      </c>
      <c r="F382" s="1411"/>
      <c r="G382" s="1405">
        <f t="shared" si="94"/>
        <v>1</v>
      </c>
      <c r="H382" s="1411"/>
      <c r="I382" s="1405">
        <f t="shared" si="95"/>
        <v>1</v>
      </c>
      <c r="J382" s="1411"/>
      <c r="K382" s="1405">
        <f t="shared" si="96"/>
        <v>1</v>
      </c>
      <c r="L382" s="1411"/>
      <c r="M382" s="1405">
        <f t="shared" si="97"/>
        <v>1</v>
      </c>
      <c r="N382" s="1411"/>
      <c r="O382" s="1405">
        <f t="shared" si="98"/>
        <v>1</v>
      </c>
      <c r="P382" s="1411"/>
      <c r="Q382" s="1405">
        <f t="shared" si="99"/>
        <v>0</v>
      </c>
      <c r="R382" s="1476">
        <f t="shared" si="104"/>
        <v>0</v>
      </c>
      <c r="S382" s="1358">
        <f t="shared" si="105"/>
        <v>0</v>
      </c>
      <c r="T382" s="1485">
        <f t="shared" si="106"/>
        <v>0</v>
      </c>
      <c r="U382" s="1483">
        <f t="shared" si="100"/>
        <v>0</v>
      </c>
      <c r="V382" s="1483">
        <f t="shared" si="101"/>
        <v>0</v>
      </c>
      <c r="W382" s="1486"/>
      <c r="X382" s="1483">
        <f t="shared" si="102"/>
        <v>0</v>
      </c>
      <c r="Y382" s="1483">
        <f t="shared" si="103"/>
        <v>0</v>
      </c>
      <c r="Z382" s="1486"/>
    </row>
    <row r="383" spans="1:26">
      <c r="A383" s="1414"/>
      <c r="B383" s="1415"/>
      <c r="C383" s="1405">
        <f t="shared" si="92"/>
        <v>1</v>
      </c>
      <c r="D383" s="1411"/>
      <c r="E383" s="1405">
        <f t="shared" si="93"/>
        <v>0</v>
      </c>
      <c r="F383" s="1411"/>
      <c r="G383" s="1405">
        <f t="shared" si="94"/>
        <v>1</v>
      </c>
      <c r="H383" s="1411"/>
      <c r="I383" s="1405">
        <f t="shared" si="95"/>
        <v>1</v>
      </c>
      <c r="J383" s="1411"/>
      <c r="K383" s="1405">
        <f t="shared" si="96"/>
        <v>1</v>
      </c>
      <c r="L383" s="1411"/>
      <c r="M383" s="1405">
        <f t="shared" si="97"/>
        <v>1</v>
      </c>
      <c r="N383" s="1411"/>
      <c r="O383" s="1405">
        <f t="shared" si="98"/>
        <v>1</v>
      </c>
      <c r="P383" s="1411"/>
      <c r="Q383" s="1405">
        <f t="shared" si="99"/>
        <v>0</v>
      </c>
      <c r="R383" s="1476">
        <f t="shared" si="104"/>
        <v>0</v>
      </c>
      <c r="S383" s="1358">
        <f t="shared" si="105"/>
        <v>0</v>
      </c>
      <c r="T383" s="1485">
        <f t="shared" si="106"/>
        <v>0</v>
      </c>
      <c r="U383" s="1483">
        <f t="shared" si="100"/>
        <v>0</v>
      </c>
      <c r="V383" s="1483">
        <f t="shared" si="101"/>
        <v>0</v>
      </c>
      <c r="W383" s="1486"/>
      <c r="X383" s="1483">
        <f t="shared" si="102"/>
        <v>0</v>
      </c>
      <c r="Y383" s="1483">
        <f t="shared" si="103"/>
        <v>0</v>
      </c>
      <c r="Z383" s="1486"/>
    </row>
    <row r="384" spans="1:26">
      <c r="A384" s="1414"/>
      <c r="B384" s="1415"/>
      <c r="C384" s="1405">
        <f t="shared" si="92"/>
        <v>1</v>
      </c>
      <c r="D384" s="1411"/>
      <c r="E384" s="1405">
        <f t="shared" si="93"/>
        <v>0</v>
      </c>
      <c r="F384" s="1411"/>
      <c r="G384" s="1405">
        <f t="shared" si="94"/>
        <v>1</v>
      </c>
      <c r="H384" s="1411"/>
      <c r="I384" s="1405">
        <f t="shared" si="95"/>
        <v>1</v>
      </c>
      <c r="J384" s="1411"/>
      <c r="K384" s="1405">
        <f t="shared" si="96"/>
        <v>1</v>
      </c>
      <c r="L384" s="1411"/>
      <c r="M384" s="1405">
        <f t="shared" si="97"/>
        <v>1</v>
      </c>
      <c r="N384" s="1411"/>
      <c r="O384" s="1405">
        <f t="shared" si="98"/>
        <v>1</v>
      </c>
      <c r="P384" s="1411"/>
      <c r="Q384" s="1405">
        <f t="shared" si="99"/>
        <v>0</v>
      </c>
      <c r="R384" s="1476">
        <f t="shared" si="104"/>
        <v>0</v>
      </c>
      <c r="S384" s="1358">
        <f t="shared" si="105"/>
        <v>0</v>
      </c>
      <c r="T384" s="1485">
        <f t="shared" si="106"/>
        <v>0</v>
      </c>
      <c r="U384" s="1483">
        <f t="shared" si="100"/>
        <v>0</v>
      </c>
      <c r="V384" s="1483">
        <f t="shared" si="101"/>
        <v>0</v>
      </c>
      <c r="W384" s="1486"/>
      <c r="X384" s="1483">
        <f t="shared" si="102"/>
        <v>0</v>
      </c>
      <c r="Y384" s="1483">
        <f t="shared" si="103"/>
        <v>0</v>
      </c>
      <c r="Z384" s="1486"/>
    </row>
    <row r="385" spans="1:26">
      <c r="A385" s="1414"/>
      <c r="B385" s="1415"/>
      <c r="C385" s="1405">
        <f t="shared" si="92"/>
        <v>1</v>
      </c>
      <c r="D385" s="1411"/>
      <c r="E385" s="1405">
        <f t="shared" si="93"/>
        <v>0</v>
      </c>
      <c r="F385" s="1411"/>
      <c r="G385" s="1405">
        <f t="shared" si="94"/>
        <v>1</v>
      </c>
      <c r="H385" s="1411"/>
      <c r="I385" s="1405">
        <f t="shared" si="95"/>
        <v>1</v>
      </c>
      <c r="J385" s="1411"/>
      <c r="K385" s="1405">
        <f t="shared" si="96"/>
        <v>1</v>
      </c>
      <c r="L385" s="1411"/>
      <c r="M385" s="1405">
        <f t="shared" si="97"/>
        <v>1</v>
      </c>
      <c r="N385" s="1411"/>
      <c r="O385" s="1405">
        <f t="shared" si="98"/>
        <v>1</v>
      </c>
      <c r="P385" s="1411"/>
      <c r="Q385" s="1405">
        <f t="shared" si="99"/>
        <v>0</v>
      </c>
      <c r="R385" s="1476">
        <f t="shared" si="104"/>
        <v>0</v>
      </c>
      <c r="S385" s="1358">
        <f t="shared" si="105"/>
        <v>0</v>
      </c>
      <c r="T385" s="1485">
        <f t="shared" si="106"/>
        <v>0</v>
      </c>
      <c r="U385" s="1483">
        <f t="shared" si="100"/>
        <v>0</v>
      </c>
      <c r="V385" s="1483">
        <f t="shared" si="101"/>
        <v>0</v>
      </c>
      <c r="W385" s="1486"/>
      <c r="X385" s="1483">
        <f t="shared" si="102"/>
        <v>0</v>
      </c>
      <c r="Y385" s="1483">
        <f t="shared" si="103"/>
        <v>0</v>
      </c>
      <c r="Z385" s="1486"/>
    </row>
    <row r="386" spans="1:26">
      <c r="A386" s="1414"/>
      <c r="B386" s="1415"/>
      <c r="C386" s="1405">
        <f t="shared" si="92"/>
        <v>1</v>
      </c>
      <c r="D386" s="1411"/>
      <c r="E386" s="1405">
        <f t="shared" si="93"/>
        <v>0</v>
      </c>
      <c r="F386" s="1411"/>
      <c r="G386" s="1405">
        <f t="shared" si="94"/>
        <v>1</v>
      </c>
      <c r="H386" s="1411"/>
      <c r="I386" s="1405">
        <f t="shared" si="95"/>
        <v>1</v>
      </c>
      <c r="J386" s="1411"/>
      <c r="K386" s="1405">
        <f t="shared" si="96"/>
        <v>1</v>
      </c>
      <c r="L386" s="1411"/>
      <c r="M386" s="1405">
        <f t="shared" si="97"/>
        <v>1</v>
      </c>
      <c r="N386" s="1411"/>
      <c r="O386" s="1405">
        <f t="shared" si="98"/>
        <v>1</v>
      </c>
      <c r="P386" s="1411"/>
      <c r="Q386" s="1405">
        <f t="shared" si="99"/>
        <v>0</v>
      </c>
      <c r="R386" s="1476">
        <f t="shared" si="104"/>
        <v>0</v>
      </c>
      <c r="S386" s="1358">
        <f t="shared" si="105"/>
        <v>0</v>
      </c>
      <c r="T386" s="1485">
        <f t="shared" si="106"/>
        <v>0</v>
      </c>
      <c r="U386" s="1483">
        <f t="shared" si="100"/>
        <v>0</v>
      </c>
      <c r="V386" s="1483">
        <f t="shared" si="101"/>
        <v>0</v>
      </c>
      <c r="W386" s="1486"/>
      <c r="X386" s="1483">
        <f t="shared" si="102"/>
        <v>0</v>
      </c>
      <c r="Y386" s="1483">
        <f t="shared" si="103"/>
        <v>0</v>
      </c>
      <c r="Z386" s="1486"/>
    </row>
    <row r="387" spans="1:26">
      <c r="A387" s="1414"/>
      <c r="B387" s="1415"/>
      <c r="C387" s="1405">
        <f t="shared" si="92"/>
        <v>1</v>
      </c>
      <c r="D387" s="1411"/>
      <c r="E387" s="1405">
        <f t="shared" si="93"/>
        <v>0</v>
      </c>
      <c r="F387" s="1411"/>
      <c r="G387" s="1405">
        <f t="shared" si="94"/>
        <v>1</v>
      </c>
      <c r="H387" s="1411"/>
      <c r="I387" s="1405">
        <f t="shared" si="95"/>
        <v>1</v>
      </c>
      <c r="J387" s="1411"/>
      <c r="K387" s="1405">
        <f t="shared" si="96"/>
        <v>1</v>
      </c>
      <c r="L387" s="1411"/>
      <c r="M387" s="1405">
        <f t="shared" si="97"/>
        <v>1</v>
      </c>
      <c r="N387" s="1411"/>
      <c r="O387" s="1405">
        <f t="shared" si="98"/>
        <v>1</v>
      </c>
      <c r="P387" s="1411"/>
      <c r="Q387" s="1405">
        <f t="shared" si="99"/>
        <v>0</v>
      </c>
      <c r="R387" s="1476">
        <f t="shared" si="104"/>
        <v>0</v>
      </c>
      <c r="S387" s="1358">
        <f t="shared" si="105"/>
        <v>0</v>
      </c>
      <c r="T387" s="1485">
        <f t="shared" si="106"/>
        <v>0</v>
      </c>
      <c r="U387" s="1483">
        <f t="shared" si="100"/>
        <v>0</v>
      </c>
      <c r="V387" s="1483">
        <f t="shared" si="101"/>
        <v>0</v>
      </c>
      <c r="W387" s="1486"/>
      <c r="X387" s="1483">
        <f t="shared" si="102"/>
        <v>0</v>
      </c>
      <c r="Y387" s="1483">
        <f t="shared" si="103"/>
        <v>0</v>
      </c>
      <c r="Z387" s="1486"/>
    </row>
    <row r="388" spans="1:26">
      <c r="A388" s="1414"/>
      <c r="B388" s="1415"/>
      <c r="C388" s="1405">
        <f t="shared" si="92"/>
        <v>1</v>
      </c>
      <c r="D388" s="1411"/>
      <c r="E388" s="1405">
        <f t="shared" si="93"/>
        <v>0</v>
      </c>
      <c r="F388" s="1411"/>
      <c r="G388" s="1405">
        <f t="shared" si="94"/>
        <v>1</v>
      </c>
      <c r="H388" s="1411"/>
      <c r="I388" s="1405">
        <f t="shared" si="95"/>
        <v>1</v>
      </c>
      <c r="J388" s="1411"/>
      <c r="K388" s="1405">
        <f t="shared" si="96"/>
        <v>1</v>
      </c>
      <c r="L388" s="1411"/>
      <c r="M388" s="1405">
        <f t="shared" si="97"/>
        <v>1</v>
      </c>
      <c r="N388" s="1411"/>
      <c r="O388" s="1405">
        <f t="shared" si="98"/>
        <v>1</v>
      </c>
      <c r="P388" s="1411"/>
      <c r="Q388" s="1405">
        <f t="shared" si="99"/>
        <v>0</v>
      </c>
      <c r="R388" s="1476">
        <f t="shared" si="104"/>
        <v>0</v>
      </c>
      <c r="S388" s="1358">
        <f t="shared" si="105"/>
        <v>0</v>
      </c>
      <c r="T388" s="1485">
        <f t="shared" si="106"/>
        <v>0</v>
      </c>
      <c r="U388" s="1483">
        <f t="shared" si="100"/>
        <v>0</v>
      </c>
      <c r="V388" s="1483">
        <f t="shared" si="101"/>
        <v>0</v>
      </c>
      <c r="W388" s="1486"/>
      <c r="X388" s="1483">
        <f t="shared" si="102"/>
        <v>0</v>
      </c>
      <c r="Y388" s="1483">
        <f t="shared" si="103"/>
        <v>0</v>
      </c>
      <c r="Z388" s="1486"/>
    </row>
    <row r="389" spans="1:26">
      <c r="A389" s="1414"/>
      <c r="B389" s="1415"/>
      <c r="C389" s="1405">
        <f t="shared" si="92"/>
        <v>1</v>
      </c>
      <c r="D389" s="1411"/>
      <c r="E389" s="1405">
        <f t="shared" si="93"/>
        <v>0</v>
      </c>
      <c r="F389" s="1411"/>
      <c r="G389" s="1405">
        <f t="shared" si="94"/>
        <v>1</v>
      </c>
      <c r="H389" s="1411"/>
      <c r="I389" s="1405">
        <f t="shared" si="95"/>
        <v>1</v>
      </c>
      <c r="J389" s="1411"/>
      <c r="K389" s="1405">
        <f t="shared" si="96"/>
        <v>1</v>
      </c>
      <c r="L389" s="1411"/>
      <c r="M389" s="1405">
        <f t="shared" si="97"/>
        <v>1</v>
      </c>
      <c r="N389" s="1411"/>
      <c r="O389" s="1405">
        <f t="shared" si="98"/>
        <v>1</v>
      </c>
      <c r="P389" s="1411"/>
      <c r="Q389" s="1405">
        <f t="shared" si="99"/>
        <v>0</v>
      </c>
      <c r="R389" s="1476">
        <f t="shared" si="104"/>
        <v>0</v>
      </c>
      <c r="S389" s="1358">
        <f t="shared" si="105"/>
        <v>0</v>
      </c>
      <c r="T389" s="1485">
        <f t="shared" si="106"/>
        <v>0</v>
      </c>
      <c r="U389" s="1483">
        <f t="shared" si="100"/>
        <v>0</v>
      </c>
      <c r="V389" s="1483">
        <f t="shared" si="101"/>
        <v>0</v>
      </c>
      <c r="W389" s="1486"/>
      <c r="X389" s="1483">
        <f t="shared" si="102"/>
        <v>0</v>
      </c>
      <c r="Y389" s="1483">
        <f t="shared" si="103"/>
        <v>0</v>
      </c>
      <c r="Z389" s="1486"/>
    </row>
    <row r="390" spans="1:26">
      <c r="A390" s="1414"/>
      <c r="B390" s="1415"/>
      <c r="C390" s="1405">
        <f t="shared" si="92"/>
        <v>1</v>
      </c>
      <c r="D390" s="1411"/>
      <c r="E390" s="1405">
        <f t="shared" si="93"/>
        <v>0</v>
      </c>
      <c r="F390" s="1411"/>
      <c r="G390" s="1405">
        <f t="shared" si="94"/>
        <v>1</v>
      </c>
      <c r="H390" s="1411"/>
      <c r="I390" s="1405">
        <f t="shared" si="95"/>
        <v>1</v>
      </c>
      <c r="J390" s="1411"/>
      <c r="K390" s="1405">
        <f t="shared" si="96"/>
        <v>1</v>
      </c>
      <c r="L390" s="1411"/>
      <c r="M390" s="1405">
        <f t="shared" si="97"/>
        <v>1</v>
      </c>
      <c r="N390" s="1411"/>
      <c r="O390" s="1405">
        <f t="shared" si="98"/>
        <v>1</v>
      </c>
      <c r="P390" s="1411"/>
      <c r="Q390" s="1405">
        <f t="shared" si="99"/>
        <v>0</v>
      </c>
      <c r="R390" s="1476">
        <f t="shared" si="104"/>
        <v>0</v>
      </c>
      <c r="S390" s="1358">
        <f t="shared" si="105"/>
        <v>0</v>
      </c>
      <c r="T390" s="1485">
        <f t="shared" si="106"/>
        <v>0</v>
      </c>
      <c r="U390" s="1483">
        <f t="shared" si="100"/>
        <v>0</v>
      </c>
      <c r="V390" s="1483">
        <f t="shared" si="101"/>
        <v>0</v>
      </c>
      <c r="W390" s="1486"/>
      <c r="X390" s="1483">
        <f t="shared" si="102"/>
        <v>0</v>
      </c>
      <c r="Y390" s="1483">
        <f t="shared" si="103"/>
        <v>0</v>
      </c>
      <c r="Z390" s="1486"/>
    </row>
    <row r="391" spans="1:26">
      <c r="A391" s="1414"/>
      <c r="B391" s="1415"/>
      <c r="C391" s="1405">
        <f t="shared" si="92"/>
        <v>1</v>
      </c>
      <c r="D391" s="1411"/>
      <c r="E391" s="1405">
        <f t="shared" si="93"/>
        <v>0</v>
      </c>
      <c r="F391" s="1411"/>
      <c r="G391" s="1405">
        <f t="shared" si="94"/>
        <v>1</v>
      </c>
      <c r="H391" s="1411"/>
      <c r="I391" s="1405">
        <f t="shared" si="95"/>
        <v>1</v>
      </c>
      <c r="J391" s="1411"/>
      <c r="K391" s="1405">
        <f t="shared" si="96"/>
        <v>1</v>
      </c>
      <c r="L391" s="1411"/>
      <c r="M391" s="1405">
        <f t="shared" si="97"/>
        <v>1</v>
      </c>
      <c r="N391" s="1411"/>
      <c r="O391" s="1405">
        <f t="shared" si="98"/>
        <v>1</v>
      </c>
      <c r="P391" s="1411"/>
      <c r="Q391" s="1405">
        <f t="shared" si="99"/>
        <v>0</v>
      </c>
      <c r="R391" s="1476">
        <f t="shared" si="104"/>
        <v>0</v>
      </c>
      <c r="S391" s="1358">
        <f t="shared" si="105"/>
        <v>0</v>
      </c>
      <c r="T391" s="1485">
        <f t="shared" si="106"/>
        <v>0</v>
      </c>
      <c r="U391" s="1483">
        <f t="shared" si="100"/>
        <v>0</v>
      </c>
      <c r="V391" s="1483">
        <f t="shared" si="101"/>
        <v>0</v>
      </c>
      <c r="W391" s="1486"/>
      <c r="X391" s="1483">
        <f t="shared" si="102"/>
        <v>0</v>
      </c>
      <c r="Y391" s="1483">
        <f t="shared" si="103"/>
        <v>0</v>
      </c>
      <c r="Z391" s="1486"/>
    </row>
    <row r="392" spans="1:26">
      <c r="A392" s="1414"/>
      <c r="B392" s="1415"/>
      <c r="C392" s="1405">
        <f t="shared" si="92"/>
        <v>1</v>
      </c>
      <c r="D392" s="1411"/>
      <c r="E392" s="1405">
        <f t="shared" si="93"/>
        <v>0</v>
      </c>
      <c r="F392" s="1411"/>
      <c r="G392" s="1405">
        <f t="shared" si="94"/>
        <v>1</v>
      </c>
      <c r="H392" s="1411"/>
      <c r="I392" s="1405">
        <f t="shared" si="95"/>
        <v>1</v>
      </c>
      <c r="J392" s="1411"/>
      <c r="K392" s="1405">
        <f t="shared" si="96"/>
        <v>1</v>
      </c>
      <c r="L392" s="1411"/>
      <c r="M392" s="1405">
        <f t="shared" si="97"/>
        <v>1</v>
      </c>
      <c r="N392" s="1411"/>
      <c r="O392" s="1405">
        <f t="shared" si="98"/>
        <v>1</v>
      </c>
      <c r="P392" s="1411"/>
      <c r="Q392" s="1405">
        <f t="shared" si="99"/>
        <v>0</v>
      </c>
      <c r="R392" s="1476">
        <f t="shared" si="104"/>
        <v>0</v>
      </c>
      <c r="S392" s="1358">
        <f t="shared" si="105"/>
        <v>0</v>
      </c>
      <c r="T392" s="1485">
        <f t="shared" si="106"/>
        <v>0</v>
      </c>
      <c r="U392" s="1483">
        <f t="shared" si="100"/>
        <v>0</v>
      </c>
      <c r="V392" s="1483">
        <f t="shared" si="101"/>
        <v>0</v>
      </c>
      <c r="W392" s="1486"/>
      <c r="X392" s="1483">
        <f t="shared" si="102"/>
        <v>0</v>
      </c>
      <c r="Y392" s="1483">
        <f t="shared" si="103"/>
        <v>0</v>
      </c>
      <c r="Z392" s="1486"/>
    </row>
    <row r="393" spans="1:26">
      <c r="A393" s="1414"/>
      <c r="B393" s="1415"/>
      <c r="C393" s="1405">
        <f t="shared" si="92"/>
        <v>1</v>
      </c>
      <c r="D393" s="1411"/>
      <c r="E393" s="1405">
        <f t="shared" si="93"/>
        <v>0</v>
      </c>
      <c r="F393" s="1411"/>
      <c r="G393" s="1405">
        <f t="shared" si="94"/>
        <v>1</v>
      </c>
      <c r="H393" s="1411"/>
      <c r="I393" s="1405">
        <f t="shared" si="95"/>
        <v>1</v>
      </c>
      <c r="J393" s="1411"/>
      <c r="K393" s="1405">
        <f t="shared" si="96"/>
        <v>1</v>
      </c>
      <c r="L393" s="1411"/>
      <c r="M393" s="1405">
        <f t="shared" si="97"/>
        <v>1</v>
      </c>
      <c r="N393" s="1411"/>
      <c r="O393" s="1405">
        <f t="shared" si="98"/>
        <v>1</v>
      </c>
      <c r="P393" s="1411"/>
      <c r="Q393" s="1405">
        <f t="shared" si="99"/>
        <v>0</v>
      </c>
      <c r="R393" s="1476">
        <f t="shared" si="104"/>
        <v>0</v>
      </c>
      <c r="S393" s="1358">
        <f t="shared" si="105"/>
        <v>0</v>
      </c>
      <c r="T393" s="1485">
        <f t="shared" si="106"/>
        <v>0</v>
      </c>
      <c r="U393" s="1483">
        <f t="shared" si="100"/>
        <v>0</v>
      </c>
      <c r="V393" s="1483">
        <f t="shared" si="101"/>
        <v>0</v>
      </c>
      <c r="W393" s="1486"/>
      <c r="X393" s="1483">
        <f t="shared" si="102"/>
        <v>0</v>
      </c>
      <c r="Y393" s="1483">
        <f t="shared" si="103"/>
        <v>0</v>
      </c>
      <c r="Z393" s="1486"/>
    </row>
    <row r="394" spans="1:26">
      <c r="A394" s="1414"/>
      <c r="B394" s="1415"/>
      <c r="C394" s="1405">
        <f t="shared" si="92"/>
        <v>1</v>
      </c>
      <c r="D394" s="1411"/>
      <c r="E394" s="1405">
        <f t="shared" si="93"/>
        <v>0</v>
      </c>
      <c r="F394" s="1411"/>
      <c r="G394" s="1405">
        <f t="shared" si="94"/>
        <v>1</v>
      </c>
      <c r="H394" s="1411"/>
      <c r="I394" s="1405">
        <f t="shared" si="95"/>
        <v>1</v>
      </c>
      <c r="J394" s="1411"/>
      <c r="K394" s="1405">
        <f t="shared" si="96"/>
        <v>1</v>
      </c>
      <c r="L394" s="1411"/>
      <c r="M394" s="1405">
        <f t="shared" si="97"/>
        <v>1</v>
      </c>
      <c r="N394" s="1411"/>
      <c r="O394" s="1405">
        <f t="shared" si="98"/>
        <v>1</v>
      </c>
      <c r="P394" s="1411"/>
      <c r="Q394" s="1405">
        <f t="shared" si="99"/>
        <v>0</v>
      </c>
      <c r="R394" s="1476">
        <f t="shared" si="104"/>
        <v>0</v>
      </c>
      <c r="S394" s="1358">
        <f t="shared" si="105"/>
        <v>0</v>
      </c>
      <c r="T394" s="1485">
        <f t="shared" si="106"/>
        <v>0</v>
      </c>
      <c r="U394" s="1483">
        <f t="shared" si="100"/>
        <v>0</v>
      </c>
      <c r="V394" s="1483">
        <f t="shared" si="101"/>
        <v>0</v>
      </c>
      <c r="W394" s="1486"/>
      <c r="X394" s="1483">
        <f t="shared" si="102"/>
        <v>0</v>
      </c>
      <c r="Y394" s="1483">
        <f t="shared" si="103"/>
        <v>0</v>
      </c>
      <c r="Z394" s="1486"/>
    </row>
    <row r="395" spans="1:26">
      <c r="A395" s="1414"/>
      <c r="B395" s="1415"/>
      <c r="C395" s="1405">
        <f t="shared" si="92"/>
        <v>1</v>
      </c>
      <c r="D395" s="1411"/>
      <c r="E395" s="1405">
        <f t="shared" si="93"/>
        <v>0</v>
      </c>
      <c r="F395" s="1411"/>
      <c r="G395" s="1405">
        <f t="shared" si="94"/>
        <v>1</v>
      </c>
      <c r="H395" s="1411"/>
      <c r="I395" s="1405">
        <f t="shared" si="95"/>
        <v>1</v>
      </c>
      <c r="J395" s="1411"/>
      <c r="K395" s="1405">
        <f t="shared" si="96"/>
        <v>1</v>
      </c>
      <c r="L395" s="1411"/>
      <c r="M395" s="1405">
        <f t="shared" si="97"/>
        <v>1</v>
      </c>
      <c r="N395" s="1411"/>
      <c r="O395" s="1405">
        <f t="shared" si="98"/>
        <v>1</v>
      </c>
      <c r="P395" s="1411"/>
      <c r="Q395" s="1405">
        <f t="shared" si="99"/>
        <v>0</v>
      </c>
      <c r="R395" s="1476">
        <f t="shared" si="104"/>
        <v>0</v>
      </c>
      <c r="S395" s="1358">
        <f t="shared" si="105"/>
        <v>0</v>
      </c>
      <c r="T395" s="1485">
        <f t="shared" si="106"/>
        <v>0</v>
      </c>
      <c r="U395" s="1483">
        <f t="shared" si="100"/>
        <v>0</v>
      </c>
      <c r="V395" s="1483">
        <f t="shared" si="101"/>
        <v>0</v>
      </c>
      <c r="W395" s="1486"/>
      <c r="X395" s="1483">
        <f t="shared" si="102"/>
        <v>0</v>
      </c>
      <c r="Y395" s="1483">
        <f t="shared" si="103"/>
        <v>0</v>
      </c>
      <c r="Z395" s="1486"/>
    </row>
    <row r="396" spans="1:26">
      <c r="A396" s="1414"/>
      <c r="B396" s="1415"/>
      <c r="C396" s="1405">
        <f t="shared" si="92"/>
        <v>1</v>
      </c>
      <c r="D396" s="1411"/>
      <c r="E396" s="1405">
        <f t="shared" si="93"/>
        <v>0</v>
      </c>
      <c r="F396" s="1411"/>
      <c r="G396" s="1405">
        <f t="shared" si="94"/>
        <v>1</v>
      </c>
      <c r="H396" s="1411"/>
      <c r="I396" s="1405">
        <f t="shared" si="95"/>
        <v>1</v>
      </c>
      <c r="J396" s="1411"/>
      <c r="K396" s="1405">
        <f t="shared" si="96"/>
        <v>1</v>
      </c>
      <c r="L396" s="1411"/>
      <c r="M396" s="1405">
        <f t="shared" si="97"/>
        <v>1</v>
      </c>
      <c r="N396" s="1411"/>
      <c r="O396" s="1405">
        <f t="shared" si="98"/>
        <v>1</v>
      </c>
      <c r="P396" s="1411"/>
      <c r="Q396" s="1405">
        <f t="shared" si="99"/>
        <v>0</v>
      </c>
      <c r="R396" s="1476">
        <f t="shared" si="104"/>
        <v>0</v>
      </c>
      <c r="S396" s="1358">
        <f t="shared" si="105"/>
        <v>0</v>
      </c>
      <c r="T396" s="1485">
        <f t="shared" si="106"/>
        <v>0</v>
      </c>
      <c r="U396" s="1483">
        <f t="shared" si="100"/>
        <v>0</v>
      </c>
      <c r="V396" s="1483">
        <f t="shared" si="101"/>
        <v>0</v>
      </c>
      <c r="W396" s="1486"/>
      <c r="X396" s="1483">
        <f t="shared" si="102"/>
        <v>0</v>
      </c>
      <c r="Y396" s="1483">
        <f t="shared" si="103"/>
        <v>0</v>
      </c>
      <c r="Z396" s="1486"/>
    </row>
    <row r="397" spans="1:26">
      <c r="A397" s="1414"/>
      <c r="B397" s="1415"/>
      <c r="C397" s="1405">
        <f t="shared" si="92"/>
        <v>1</v>
      </c>
      <c r="D397" s="1411"/>
      <c r="E397" s="1405">
        <f t="shared" si="93"/>
        <v>0</v>
      </c>
      <c r="F397" s="1411"/>
      <c r="G397" s="1405">
        <f t="shared" si="94"/>
        <v>1</v>
      </c>
      <c r="H397" s="1411"/>
      <c r="I397" s="1405">
        <f t="shared" si="95"/>
        <v>1</v>
      </c>
      <c r="J397" s="1411"/>
      <c r="K397" s="1405">
        <f t="shared" si="96"/>
        <v>1</v>
      </c>
      <c r="L397" s="1411"/>
      <c r="M397" s="1405">
        <f t="shared" si="97"/>
        <v>1</v>
      </c>
      <c r="N397" s="1411"/>
      <c r="O397" s="1405">
        <f t="shared" si="98"/>
        <v>1</v>
      </c>
      <c r="P397" s="1411"/>
      <c r="Q397" s="1405">
        <f t="shared" si="99"/>
        <v>0</v>
      </c>
      <c r="R397" s="1476">
        <f t="shared" si="104"/>
        <v>0</v>
      </c>
      <c r="S397" s="1358">
        <f t="shared" si="105"/>
        <v>0</v>
      </c>
      <c r="T397" s="1485">
        <f t="shared" si="106"/>
        <v>0</v>
      </c>
      <c r="U397" s="1483">
        <f t="shared" si="100"/>
        <v>0</v>
      </c>
      <c r="V397" s="1483">
        <f t="shared" si="101"/>
        <v>0</v>
      </c>
      <c r="W397" s="1486"/>
      <c r="X397" s="1483">
        <f t="shared" si="102"/>
        <v>0</v>
      </c>
      <c r="Y397" s="1483">
        <f t="shared" si="103"/>
        <v>0</v>
      </c>
      <c r="Z397" s="1486"/>
    </row>
    <row r="398" spans="1:26">
      <c r="A398" s="1414"/>
      <c r="B398" s="1415"/>
      <c r="C398" s="1405">
        <f t="shared" si="92"/>
        <v>1</v>
      </c>
      <c r="D398" s="1411"/>
      <c r="E398" s="1405">
        <f t="shared" si="93"/>
        <v>0</v>
      </c>
      <c r="F398" s="1411"/>
      <c r="G398" s="1405">
        <f t="shared" si="94"/>
        <v>1</v>
      </c>
      <c r="H398" s="1411"/>
      <c r="I398" s="1405">
        <f t="shared" si="95"/>
        <v>1</v>
      </c>
      <c r="J398" s="1411"/>
      <c r="K398" s="1405">
        <f t="shared" si="96"/>
        <v>1</v>
      </c>
      <c r="L398" s="1411"/>
      <c r="M398" s="1405">
        <f t="shared" si="97"/>
        <v>1</v>
      </c>
      <c r="N398" s="1411"/>
      <c r="O398" s="1405">
        <f t="shared" si="98"/>
        <v>1</v>
      </c>
      <c r="P398" s="1411"/>
      <c r="Q398" s="1405">
        <f t="shared" si="99"/>
        <v>0</v>
      </c>
      <c r="R398" s="1476">
        <f t="shared" si="104"/>
        <v>0</v>
      </c>
      <c r="S398" s="1358">
        <f t="shared" si="105"/>
        <v>0</v>
      </c>
      <c r="T398" s="1485">
        <f t="shared" si="106"/>
        <v>0</v>
      </c>
      <c r="U398" s="1483">
        <f t="shared" si="100"/>
        <v>0</v>
      </c>
      <c r="V398" s="1483">
        <f t="shared" si="101"/>
        <v>0</v>
      </c>
      <c r="W398" s="1486"/>
      <c r="X398" s="1483">
        <f t="shared" si="102"/>
        <v>0</v>
      </c>
      <c r="Y398" s="1483">
        <f t="shared" si="103"/>
        <v>0</v>
      </c>
      <c r="Z398" s="1486"/>
    </row>
    <row r="399" spans="1:26">
      <c r="A399" s="1414"/>
      <c r="B399" s="1415"/>
      <c r="C399" s="1405">
        <f t="shared" si="92"/>
        <v>1</v>
      </c>
      <c r="D399" s="1411"/>
      <c r="E399" s="1405">
        <f t="shared" si="93"/>
        <v>0</v>
      </c>
      <c r="F399" s="1411"/>
      <c r="G399" s="1405">
        <f t="shared" si="94"/>
        <v>1</v>
      </c>
      <c r="H399" s="1411"/>
      <c r="I399" s="1405">
        <f t="shared" si="95"/>
        <v>1</v>
      </c>
      <c r="J399" s="1411"/>
      <c r="K399" s="1405">
        <f t="shared" si="96"/>
        <v>1</v>
      </c>
      <c r="L399" s="1411"/>
      <c r="M399" s="1405">
        <f t="shared" si="97"/>
        <v>1</v>
      </c>
      <c r="N399" s="1411"/>
      <c r="O399" s="1405">
        <f t="shared" si="98"/>
        <v>1</v>
      </c>
      <c r="P399" s="1411"/>
      <c r="Q399" s="1405">
        <f t="shared" si="99"/>
        <v>0</v>
      </c>
      <c r="R399" s="1476">
        <f t="shared" si="104"/>
        <v>0</v>
      </c>
      <c r="S399" s="1358">
        <f t="shared" si="105"/>
        <v>0</v>
      </c>
      <c r="T399" s="1485">
        <f t="shared" si="106"/>
        <v>0</v>
      </c>
      <c r="U399" s="1483">
        <f t="shared" si="100"/>
        <v>0</v>
      </c>
      <c r="V399" s="1483">
        <f t="shared" si="101"/>
        <v>0</v>
      </c>
      <c r="W399" s="1486"/>
      <c r="X399" s="1483">
        <f t="shared" si="102"/>
        <v>0</v>
      </c>
      <c r="Y399" s="1483">
        <f t="shared" si="103"/>
        <v>0</v>
      </c>
      <c r="Z399" s="1486"/>
    </row>
    <row r="400" spans="1:26">
      <c r="A400" s="1414"/>
      <c r="B400" s="1415"/>
      <c r="C400" s="1405">
        <f t="shared" si="92"/>
        <v>1</v>
      </c>
      <c r="D400" s="1411"/>
      <c r="E400" s="1405">
        <f t="shared" si="93"/>
        <v>0</v>
      </c>
      <c r="F400" s="1411"/>
      <c r="G400" s="1405">
        <f t="shared" si="94"/>
        <v>1</v>
      </c>
      <c r="H400" s="1411"/>
      <c r="I400" s="1405">
        <f t="shared" si="95"/>
        <v>1</v>
      </c>
      <c r="J400" s="1411"/>
      <c r="K400" s="1405">
        <f t="shared" si="96"/>
        <v>1</v>
      </c>
      <c r="L400" s="1411"/>
      <c r="M400" s="1405">
        <f t="shared" si="97"/>
        <v>1</v>
      </c>
      <c r="N400" s="1411"/>
      <c r="O400" s="1405">
        <f t="shared" si="98"/>
        <v>1</v>
      </c>
      <c r="P400" s="1411"/>
      <c r="Q400" s="1405">
        <f t="shared" si="99"/>
        <v>0</v>
      </c>
      <c r="R400" s="1476">
        <f t="shared" si="104"/>
        <v>0</v>
      </c>
      <c r="S400" s="1358">
        <f t="shared" si="105"/>
        <v>0</v>
      </c>
      <c r="T400" s="1485">
        <f t="shared" si="106"/>
        <v>0</v>
      </c>
      <c r="U400" s="1483">
        <f t="shared" si="100"/>
        <v>0</v>
      </c>
      <c r="V400" s="1483">
        <f t="shared" si="101"/>
        <v>0</v>
      </c>
      <c r="W400" s="1486"/>
      <c r="X400" s="1483">
        <f t="shared" si="102"/>
        <v>0</v>
      </c>
      <c r="Y400" s="1483">
        <f t="shared" si="103"/>
        <v>0</v>
      </c>
      <c r="Z400" s="1486"/>
    </row>
    <row r="401" spans="1:26">
      <c r="A401" s="1414"/>
      <c r="B401" s="1415"/>
      <c r="C401" s="1405">
        <f t="shared" si="92"/>
        <v>1</v>
      </c>
      <c r="D401" s="1411"/>
      <c r="E401" s="1405">
        <f t="shared" si="93"/>
        <v>0</v>
      </c>
      <c r="F401" s="1411"/>
      <c r="G401" s="1405">
        <f t="shared" si="94"/>
        <v>1</v>
      </c>
      <c r="H401" s="1411"/>
      <c r="I401" s="1405">
        <f t="shared" si="95"/>
        <v>1</v>
      </c>
      <c r="J401" s="1411"/>
      <c r="K401" s="1405">
        <f t="shared" si="96"/>
        <v>1</v>
      </c>
      <c r="L401" s="1411"/>
      <c r="M401" s="1405">
        <f t="shared" si="97"/>
        <v>1</v>
      </c>
      <c r="N401" s="1411"/>
      <c r="O401" s="1405">
        <f t="shared" si="98"/>
        <v>1</v>
      </c>
      <c r="P401" s="1411"/>
      <c r="Q401" s="1405">
        <f t="shared" si="99"/>
        <v>0</v>
      </c>
      <c r="R401" s="1476">
        <f t="shared" si="104"/>
        <v>0</v>
      </c>
      <c r="S401" s="1358">
        <f t="shared" si="105"/>
        <v>0</v>
      </c>
      <c r="T401" s="1485">
        <f t="shared" si="106"/>
        <v>0</v>
      </c>
      <c r="U401" s="1483">
        <f t="shared" si="100"/>
        <v>0</v>
      </c>
      <c r="V401" s="1483">
        <f t="shared" si="101"/>
        <v>0</v>
      </c>
      <c r="W401" s="1486"/>
      <c r="X401" s="1483">
        <f t="shared" si="102"/>
        <v>0</v>
      </c>
      <c r="Y401" s="1483">
        <f t="shared" si="103"/>
        <v>0</v>
      </c>
      <c r="Z401" s="1486"/>
    </row>
    <row r="402" spans="1:26">
      <c r="A402" s="1414"/>
      <c r="B402" s="1415"/>
      <c r="C402" s="1405">
        <f t="shared" si="92"/>
        <v>1</v>
      </c>
      <c r="D402" s="1411"/>
      <c r="E402" s="1405">
        <f t="shared" si="93"/>
        <v>0</v>
      </c>
      <c r="F402" s="1411"/>
      <c r="G402" s="1405">
        <f t="shared" si="94"/>
        <v>1</v>
      </c>
      <c r="H402" s="1411"/>
      <c r="I402" s="1405">
        <f t="shared" si="95"/>
        <v>1</v>
      </c>
      <c r="J402" s="1411"/>
      <c r="K402" s="1405">
        <f t="shared" si="96"/>
        <v>1</v>
      </c>
      <c r="L402" s="1411"/>
      <c r="M402" s="1405">
        <f t="shared" si="97"/>
        <v>1</v>
      </c>
      <c r="N402" s="1411"/>
      <c r="O402" s="1405">
        <f t="shared" si="98"/>
        <v>1</v>
      </c>
      <c r="P402" s="1411"/>
      <c r="Q402" s="1405">
        <f t="shared" si="99"/>
        <v>0</v>
      </c>
      <c r="R402" s="1476">
        <f t="shared" si="104"/>
        <v>0</v>
      </c>
      <c r="S402" s="1358">
        <f t="shared" si="105"/>
        <v>0</v>
      </c>
      <c r="T402" s="1485">
        <f t="shared" si="106"/>
        <v>0</v>
      </c>
      <c r="U402" s="1483">
        <f t="shared" si="100"/>
        <v>0</v>
      </c>
      <c r="V402" s="1483">
        <f t="shared" si="101"/>
        <v>0</v>
      </c>
      <c r="W402" s="1486"/>
      <c r="X402" s="1483">
        <f t="shared" si="102"/>
        <v>0</v>
      </c>
      <c r="Y402" s="1483">
        <f t="shared" si="103"/>
        <v>0</v>
      </c>
      <c r="Z402" s="1486"/>
    </row>
    <row r="403" spans="1:26">
      <c r="A403" s="1414"/>
      <c r="B403" s="1415"/>
      <c r="C403" s="1405">
        <f t="shared" si="92"/>
        <v>1</v>
      </c>
      <c r="D403" s="1411"/>
      <c r="E403" s="1405">
        <f t="shared" si="93"/>
        <v>0</v>
      </c>
      <c r="F403" s="1411"/>
      <c r="G403" s="1405">
        <f t="shared" si="94"/>
        <v>1</v>
      </c>
      <c r="H403" s="1411"/>
      <c r="I403" s="1405">
        <f t="shared" si="95"/>
        <v>1</v>
      </c>
      <c r="J403" s="1411"/>
      <c r="K403" s="1405">
        <f t="shared" si="96"/>
        <v>1</v>
      </c>
      <c r="L403" s="1411"/>
      <c r="M403" s="1405">
        <f t="shared" si="97"/>
        <v>1</v>
      </c>
      <c r="N403" s="1411"/>
      <c r="O403" s="1405">
        <f t="shared" si="98"/>
        <v>1</v>
      </c>
      <c r="P403" s="1411"/>
      <c r="Q403" s="1405">
        <f t="shared" si="99"/>
        <v>0</v>
      </c>
      <c r="R403" s="1476">
        <f t="shared" si="104"/>
        <v>0</v>
      </c>
      <c r="S403" s="1358">
        <f t="shared" si="105"/>
        <v>0</v>
      </c>
      <c r="T403" s="1485">
        <f t="shared" si="106"/>
        <v>0</v>
      </c>
      <c r="U403" s="1483">
        <f t="shared" si="100"/>
        <v>0</v>
      </c>
      <c r="V403" s="1483">
        <f t="shared" si="101"/>
        <v>0</v>
      </c>
      <c r="W403" s="1486"/>
      <c r="X403" s="1483">
        <f t="shared" si="102"/>
        <v>0</v>
      </c>
      <c r="Y403" s="1483">
        <f t="shared" si="103"/>
        <v>0</v>
      </c>
      <c r="Z403" s="1486"/>
    </row>
    <row r="404" spans="1:26">
      <c r="A404" s="1414"/>
      <c r="B404" s="1415"/>
      <c r="C404" s="1405">
        <f t="shared" si="92"/>
        <v>1</v>
      </c>
      <c r="D404" s="1411"/>
      <c r="E404" s="1405">
        <f t="shared" si="93"/>
        <v>0</v>
      </c>
      <c r="F404" s="1411"/>
      <c r="G404" s="1405">
        <f t="shared" si="94"/>
        <v>1</v>
      </c>
      <c r="H404" s="1411"/>
      <c r="I404" s="1405">
        <f t="shared" si="95"/>
        <v>1</v>
      </c>
      <c r="J404" s="1411"/>
      <c r="K404" s="1405">
        <f t="shared" si="96"/>
        <v>1</v>
      </c>
      <c r="L404" s="1411"/>
      <c r="M404" s="1405">
        <f t="shared" si="97"/>
        <v>1</v>
      </c>
      <c r="N404" s="1411"/>
      <c r="O404" s="1405">
        <f t="shared" si="98"/>
        <v>1</v>
      </c>
      <c r="P404" s="1411"/>
      <c r="Q404" s="1405">
        <f t="shared" si="99"/>
        <v>0</v>
      </c>
      <c r="R404" s="1476">
        <f t="shared" si="104"/>
        <v>0</v>
      </c>
      <c r="S404" s="1358">
        <f t="shared" si="105"/>
        <v>0</v>
      </c>
      <c r="T404" s="1485">
        <f t="shared" si="106"/>
        <v>0</v>
      </c>
      <c r="U404" s="1483">
        <f t="shared" si="100"/>
        <v>0</v>
      </c>
      <c r="V404" s="1483">
        <f t="shared" si="101"/>
        <v>0</v>
      </c>
      <c r="W404" s="1486"/>
      <c r="X404" s="1483">
        <f t="shared" si="102"/>
        <v>0</v>
      </c>
      <c r="Y404" s="1483">
        <f t="shared" si="103"/>
        <v>0</v>
      </c>
      <c r="Z404" s="1486"/>
    </row>
    <row r="405" spans="1:26">
      <c r="A405" s="1414"/>
      <c r="B405" s="1415"/>
      <c r="C405" s="1405">
        <f t="shared" si="92"/>
        <v>1</v>
      </c>
      <c r="D405" s="1411"/>
      <c r="E405" s="1405">
        <f t="shared" si="93"/>
        <v>0</v>
      </c>
      <c r="F405" s="1411"/>
      <c r="G405" s="1405">
        <f t="shared" si="94"/>
        <v>1</v>
      </c>
      <c r="H405" s="1411"/>
      <c r="I405" s="1405">
        <f t="shared" si="95"/>
        <v>1</v>
      </c>
      <c r="J405" s="1411"/>
      <c r="K405" s="1405">
        <f t="shared" si="96"/>
        <v>1</v>
      </c>
      <c r="L405" s="1411"/>
      <c r="M405" s="1405">
        <f t="shared" si="97"/>
        <v>1</v>
      </c>
      <c r="N405" s="1411"/>
      <c r="O405" s="1405">
        <f t="shared" si="98"/>
        <v>1</v>
      </c>
      <c r="P405" s="1411"/>
      <c r="Q405" s="1405">
        <f t="shared" si="99"/>
        <v>0</v>
      </c>
      <c r="R405" s="1476">
        <f t="shared" si="104"/>
        <v>0</v>
      </c>
      <c r="S405" s="1358">
        <f t="shared" si="105"/>
        <v>0</v>
      </c>
      <c r="T405" s="1485">
        <f t="shared" si="106"/>
        <v>0</v>
      </c>
      <c r="U405" s="1483">
        <f t="shared" si="100"/>
        <v>0</v>
      </c>
      <c r="V405" s="1483">
        <f t="shared" si="101"/>
        <v>0</v>
      </c>
      <c r="W405" s="1486"/>
      <c r="X405" s="1483">
        <f t="shared" si="102"/>
        <v>0</v>
      </c>
      <c r="Y405" s="1483">
        <f t="shared" si="103"/>
        <v>0</v>
      </c>
      <c r="Z405" s="1486"/>
    </row>
    <row r="406" spans="1:26">
      <c r="A406" s="1414"/>
      <c r="B406" s="1415"/>
      <c r="C406" s="1405">
        <f t="shared" si="92"/>
        <v>1</v>
      </c>
      <c r="D406" s="1411"/>
      <c r="E406" s="1405">
        <f t="shared" si="93"/>
        <v>0</v>
      </c>
      <c r="F406" s="1411"/>
      <c r="G406" s="1405">
        <f t="shared" si="94"/>
        <v>1</v>
      </c>
      <c r="H406" s="1411"/>
      <c r="I406" s="1405">
        <f t="shared" si="95"/>
        <v>1</v>
      </c>
      <c r="J406" s="1411"/>
      <c r="K406" s="1405">
        <f t="shared" si="96"/>
        <v>1</v>
      </c>
      <c r="L406" s="1411"/>
      <c r="M406" s="1405">
        <f t="shared" si="97"/>
        <v>1</v>
      </c>
      <c r="N406" s="1411"/>
      <c r="O406" s="1405">
        <f t="shared" si="98"/>
        <v>1</v>
      </c>
      <c r="P406" s="1411"/>
      <c r="Q406" s="1405">
        <f t="shared" si="99"/>
        <v>0</v>
      </c>
      <c r="R406" s="1476">
        <f t="shared" si="104"/>
        <v>0</v>
      </c>
      <c r="S406" s="1358">
        <f t="shared" si="105"/>
        <v>0</v>
      </c>
      <c r="T406" s="1485">
        <f t="shared" si="106"/>
        <v>0</v>
      </c>
      <c r="U406" s="1483">
        <f t="shared" si="100"/>
        <v>0</v>
      </c>
      <c r="V406" s="1483">
        <f t="shared" si="101"/>
        <v>0</v>
      </c>
      <c r="W406" s="1486"/>
      <c r="X406" s="1483">
        <f t="shared" si="102"/>
        <v>0</v>
      </c>
      <c r="Y406" s="1483">
        <f t="shared" si="103"/>
        <v>0</v>
      </c>
      <c r="Z406" s="1486"/>
    </row>
    <row r="407" spans="1:26">
      <c r="A407" s="1414"/>
      <c r="B407" s="1415"/>
      <c r="C407" s="1405">
        <f t="shared" si="92"/>
        <v>1</v>
      </c>
      <c r="D407" s="1411"/>
      <c r="E407" s="1405">
        <f t="shared" si="93"/>
        <v>0</v>
      </c>
      <c r="F407" s="1411"/>
      <c r="G407" s="1405">
        <f t="shared" si="94"/>
        <v>1</v>
      </c>
      <c r="H407" s="1411"/>
      <c r="I407" s="1405">
        <f t="shared" si="95"/>
        <v>1</v>
      </c>
      <c r="J407" s="1411"/>
      <c r="K407" s="1405">
        <f t="shared" si="96"/>
        <v>1</v>
      </c>
      <c r="L407" s="1411"/>
      <c r="M407" s="1405">
        <f t="shared" si="97"/>
        <v>1</v>
      </c>
      <c r="N407" s="1411"/>
      <c r="O407" s="1405">
        <f t="shared" si="98"/>
        <v>1</v>
      </c>
      <c r="P407" s="1411"/>
      <c r="Q407" s="1405">
        <f t="shared" si="99"/>
        <v>0</v>
      </c>
      <c r="R407" s="1476">
        <f t="shared" si="104"/>
        <v>0</v>
      </c>
      <c r="S407" s="1358">
        <f t="shared" si="105"/>
        <v>0</v>
      </c>
      <c r="T407" s="1485">
        <f t="shared" si="106"/>
        <v>0</v>
      </c>
      <c r="U407" s="1483">
        <f t="shared" si="100"/>
        <v>0</v>
      </c>
      <c r="V407" s="1483">
        <f t="shared" si="101"/>
        <v>0</v>
      </c>
      <c r="W407" s="1486"/>
      <c r="X407" s="1483">
        <f t="shared" si="102"/>
        <v>0</v>
      </c>
      <c r="Y407" s="1483">
        <f t="shared" si="103"/>
        <v>0</v>
      </c>
      <c r="Z407" s="1486"/>
    </row>
    <row r="408" spans="1:26">
      <c r="A408" s="1414"/>
      <c r="B408" s="1415"/>
      <c r="C408" s="1405">
        <f t="shared" si="92"/>
        <v>1</v>
      </c>
      <c r="D408" s="1411"/>
      <c r="E408" s="1405">
        <f t="shared" si="93"/>
        <v>0</v>
      </c>
      <c r="F408" s="1411"/>
      <c r="G408" s="1405">
        <f t="shared" si="94"/>
        <v>1</v>
      </c>
      <c r="H408" s="1411"/>
      <c r="I408" s="1405">
        <f t="shared" si="95"/>
        <v>1</v>
      </c>
      <c r="J408" s="1411"/>
      <c r="K408" s="1405">
        <f t="shared" si="96"/>
        <v>1</v>
      </c>
      <c r="L408" s="1411"/>
      <c r="M408" s="1405">
        <f t="shared" si="97"/>
        <v>1</v>
      </c>
      <c r="N408" s="1411"/>
      <c r="O408" s="1405">
        <f t="shared" si="98"/>
        <v>1</v>
      </c>
      <c r="P408" s="1411"/>
      <c r="Q408" s="1405">
        <f t="shared" si="99"/>
        <v>0</v>
      </c>
      <c r="R408" s="1476">
        <f t="shared" si="104"/>
        <v>0</v>
      </c>
      <c r="S408" s="1358">
        <f t="shared" si="105"/>
        <v>0</v>
      </c>
      <c r="T408" s="1485">
        <f t="shared" si="106"/>
        <v>0</v>
      </c>
      <c r="U408" s="1483">
        <f t="shared" si="100"/>
        <v>0</v>
      </c>
      <c r="V408" s="1483">
        <f t="shared" si="101"/>
        <v>0</v>
      </c>
      <c r="W408" s="1486"/>
      <c r="X408" s="1483">
        <f t="shared" si="102"/>
        <v>0</v>
      </c>
      <c r="Y408" s="1483">
        <f t="shared" si="103"/>
        <v>0</v>
      </c>
      <c r="Z408" s="1486"/>
    </row>
    <row r="409" spans="1:26">
      <c r="A409" s="1414"/>
      <c r="B409" s="1415"/>
      <c r="C409" s="1405">
        <f t="shared" si="92"/>
        <v>1</v>
      </c>
      <c r="D409" s="1411"/>
      <c r="E409" s="1405">
        <f t="shared" si="93"/>
        <v>0</v>
      </c>
      <c r="F409" s="1411"/>
      <c r="G409" s="1405">
        <f t="shared" si="94"/>
        <v>1</v>
      </c>
      <c r="H409" s="1411"/>
      <c r="I409" s="1405">
        <f t="shared" si="95"/>
        <v>1</v>
      </c>
      <c r="J409" s="1411"/>
      <c r="K409" s="1405">
        <f t="shared" si="96"/>
        <v>1</v>
      </c>
      <c r="L409" s="1411"/>
      <c r="M409" s="1405">
        <f t="shared" si="97"/>
        <v>1</v>
      </c>
      <c r="N409" s="1411"/>
      <c r="O409" s="1405">
        <f t="shared" si="98"/>
        <v>1</v>
      </c>
      <c r="P409" s="1411"/>
      <c r="Q409" s="1405">
        <f t="shared" si="99"/>
        <v>0</v>
      </c>
      <c r="R409" s="1476">
        <f t="shared" si="104"/>
        <v>0</v>
      </c>
      <c r="S409" s="1358">
        <f t="shared" si="105"/>
        <v>0</v>
      </c>
      <c r="T409" s="1485">
        <f t="shared" si="106"/>
        <v>0</v>
      </c>
      <c r="U409" s="1483">
        <f t="shared" si="100"/>
        <v>0</v>
      </c>
      <c r="V409" s="1483">
        <f t="shared" si="101"/>
        <v>0</v>
      </c>
      <c r="W409" s="1486"/>
      <c r="X409" s="1483">
        <f t="shared" si="102"/>
        <v>0</v>
      </c>
      <c r="Y409" s="1483">
        <f t="shared" si="103"/>
        <v>0</v>
      </c>
      <c r="Z409" s="1486"/>
    </row>
    <row r="410" spans="1:26">
      <c r="A410" s="1414"/>
      <c r="B410" s="1415"/>
      <c r="C410" s="1405">
        <f t="shared" si="92"/>
        <v>1</v>
      </c>
      <c r="D410" s="1411"/>
      <c r="E410" s="1405">
        <f t="shared" si="93"/>
        <v>0</v>
      </c>
      <c r="F410" s="1411"/>
      <c r="G410" s="1405">
        <f t="shared" si="94"/>
        <v>1</v>
      </c>
      <c r="H410" s="1411"/>
      <c r="I410" s="1405">
        <f t="shared" si="95"/>
        <v>1</v>
      </c>
      <c r="J410" s="1411"/>
      <c r="K410" s="1405">
        <f t="shared" si="96"/>
        <v>1</v>
      </c>
      <c r="L410" s="1411"/>
      <c r="M410" s="1405">
        <f t="shared" si="97"/>
        <v>1</v>
      </c>
      <c r="N410" s="1411"/>
      <c r="O410" s="1405">
        <f t="shared" si="98"/>
        <v>1</v>
      </c>
      <c r="P410" s="1411"/>
      <c r="Q410" s="1405">
        <f t="shared" si="99"/>
        <v>0</v>
      </c>
      <c r="R410" s="1476">
        <f t="shared" si="104"/>
        <v>0</v>
      </c>
      <c r="S410" s="1358">
        <f t="shared" si="105"/>
        <v>0</v>
      </c>
      <c r="T410" s="1485">
        <f t="shared" si="106"/>
        <v>0</v>
      </c>
      <c r="U410" s="1483">
        <f t="shared" si="100"/>
        <v>0</v>
      </c>
      <c r="V410" s="1483">
        <f t="shared" si="101"/>
        <v>0</v>
      </c>
      <c r="W410" s="1486"/>
      <c r="X410" s="1483">
        <f t="shared" si="102"/>
        <v>0</v>
      </c>
      <c r="Y410" s="1483">
        <f t="shared" si="103"/>
        <v>0</v>
      </c>
      <c r="Z410" s="1486"/>
    </row>
    <row r="411" spans="1:26">
      <c r="A411" s="1414"/>
      <c r="B411" s="1415"/>
      <c r="C411" s="1405">
        <f t="shared" si="92"/>
        <v>1</v>
      </c>
      <c r="D411" s="1411"/>
      <c r="E411" s="1405">
        <f t="shared" si="93"/>
        <v>0</v>
      </c>
      <c r="F411" s="1411"/>
      <c r="G411" s="1405">
        <f t="shared" si="94"/>
        <v>1</v>
      </c>
      <c r="H411" s="1411"/>
      <c r="I411" s="1405">
        <f t="shared" si="95"/>
        <v>1</v>
      </c>
      <c r="J411" s="1411"/>
      <c r="K411" s="1405">
        <f t="shared" si="96"/>
        <v>1</v>
      </c>
      <c r="L411" s="1411"/>
      <c r="M411" s="1405">
        <f t="shared" si="97"/>
        <v>1</v>
      </c>
      <c r="N411" s="1411"/>
      <c r="O411" s="1405">
        <f t="shared" si="98"/>
        <v>1</v>
      </c>
      <c r="P411" s="1411"/>
      <c r="Q411" s="1405">
        <f t="shared" si="99"/>
        <v>0</v>
      </c>
      <c r="R411" s="1476">
        <f t="shared" si="104"/>
        <v>0</v>
      </c>
      <c r="S411" s="1358">
        <f t="shared" si="105"/>
        <v>0</v>
      </c>
      <c r="T411" s="1485">
        <f t="shared" si="106"/>
        <v>0</v>
      </c>
      <c r="U411" s="1483">
        <f t="shared" si="100"/>
        <v>0</v>
      </c>
      <c r="V411" s="1483">
        <f t="shared" si="101"/>
        <v>0</v>
      </c>
      <c r="W411" s="1486"/>
      <c r="X411" s="1483">
        <f t="shared" si="102"/>
        <v>0</v>
      </c>
      <c r="Y411" s="1483">
        <f t="shared" si="103"/>
        <v>0</v>
      </c>
      <c r="Z411" s="1486"/>
    </row>
    <row r="412" spans="1:26">
      <c r="A412" s="1414"/>
      <c r="B412" s="1415"/>
      <c r="C412" s="1405">
        <f t="shared" ref="C412:C475" si="107">IF(B412="",1,(LOOKUP(B412,$6:$6,$7:$7)-LOOKUP($B$27,$6:$6,$7:$7)+100)/100)</f>
        <v>1</v>
      </c>
      <c r="D412" s="1411"/>
      <c r="E412" s="1405">
        <f t="shared" ref="E412:E475" si="108">(SUMIF($8:$8,D412,$9:$9)-SUMIF($8:$8,$D$27,$9:$9)+100)/100</f>
        <v>0</v>
      </c>
      <c r="F412" s="1411"/>
      <c r="G412" s="1405">
        <f t="shared" ref="G412:G475" si="109">(SUMIF($10:$10,F412,$11:$11)-SUMIF($10:$10,$F$27,$11:$11)+100)/100</f>
        <v>1</v>
      </c>
      <c r="H412" s="1411"/>
      <c r="I412" s="1405">
        <f t="shared" ref="I412:I475" si="110">(SUMIF($12:$12,H412,$13:$13)-SUMIF($12:$12,$H$27,$13:$13)+100)/100</f>
        <v>1</v>
      </c>
      <c r="J412" s="1411"/>
      <c r="K412" s="1405">
        <f t="shared" ref="K412:K475" si="111">(SUMIF($14:$14,J412,$15:$15)-SUMIF($14:$14,$J$27,$15:$15)+100)/100</f>
        <v>1</v>
      </c>
      <c r="L412" s="1411"/>
      <c r="M412" s="1405">
        <f t="shared" ref="M412:M475" si="112">(SUMIF($16:$16,L412,$17:$17)-SUMIF($16:$16,$L$27,$17:$17)+100)/100</f>
        <v>1</v>
      </c>
      <c r="N412" s="1411"/>
      <c r="O412" s="1405">
        <f t="shared" ref="O412:O475" si="113">(SUMIF($18:$18,N412,$19:$19)-SUMIF($18:$18,$N$27,$19:$19)+100)/100</f>
        <v>1</v>
      </c>
      <c r="P412" s="1411"/>
      <c r="Q412" s="1405">
        <f t="shared" ref="Q412:Q475" si="114">(SUMIF($20:$20,P412,$21:$21)-SUMIF($20:$20,$P$27,$21:$21)+100)/100</f>
        <v>0</v>
      </c>
      <c r="R412" s="1476">
        <f t="shared" si="104"/>
        <v>0</v>
      </c>
      <c r="S412" s="1358">
        <f t="shared" si="105"/>
        <v>0</v>
      </c>
      <c r="T412" s="1485">
        <f t="shared" si="106"/>
        <v>0</v>
      </c>
      <c r="U412" s="1483">
        <f t="shared" ref="U412:U475" si="115">ROUND(W412*B412,0)</f>
        <v>0</v>
      </c>
      <c r="V412" s="1483">
        <f t="shared" ref="V412:V475" si="116">ROUND(W412*B412/10000,0)</f>
        <v>0</v>
      </c>
      <c r="W412" s="1486"/>
      <c r="X412" s="1483">
        <f t="shared" ref="X412:X475" si="117">ROUND(Z412*B412,0)</f>
        <v>0</v>
      </c>
      <c r="Y412" s="1483">
        <f t="shared" ref="Y412:Y475" si="118">ROUND(Z412*B412/10000,0)</f>
        <v>0</v>
      </c>
      <c r="Z412" s="1486"/>
    </row>
    <row r="413" spans="1:26">
      <c r="A413" s="1414"/>
      <c r="B413" s="1415"/>
      <c r="C413" s="1405">
        <f t="shared" si="107"/>
        <v>1</v>
      </c>
      <c r="D413" s="1411"/>
      <c r="E413" s="1405">
        <f t="shared" si="108"/>
        <v>0</v>
      </c>
      <c r="F413" s="1411"/>
      <c r="G413" s="1405">
        <f t="shared" si="109"/>
        <v>1</v>
      </c>
      <c r="H413" s="1411"/>
      <c r="I413" s="1405">
        <f t="shared" si="110"/>
        <v>1</v>
      </c>
      <c r="J413" s="1411"/>
      <c r="K413" s="1405">
        <f t="shared" si="111"/>
        <v>1</v>
      </c>
      <c r="L413" s="1411"/>
      <c r="M413" s="1405">
        <f t="shared" si="112"/>
        <v>1</v>
      </c>
      <c r="N413" s="1411"/>
      <c r="O413" s="1405">
        <f t="shared" si="113"/>
        <v>1</v>
      </c>
      <c r="P413" s="1411"/>
      <c r="Q413" s="1405">
        <f t="shared" si="114"/>
        <v>0</v>
      </c>
      <c r="R413" s="1476">
        <f t="shared" ref="R413:R476" si="119">IF(B413="",0,ROUND($R$27*C413*E413*G413*I413*K413*M413*O413*Q413,0))</f>
        <v>0</v>
      </c>
      <c r="S413" s="1358">
        <f t="shared" ref="S413:S476" si="120">ROUND(R413*B413,0)</f>
        <v>0</v>
      </c>
      <c r="T413" s="1485">
        <f t="shared" ref="T413:T476" si="121">ROUND(R413*B413/10000,0)</f>
        <v>0</v>
      </c>
      <c r="U413" s="1483">
        <f t="shared" si="115"/>
        <v>0</v>
      </c>
      <c r="V413" s="1483">
        <f t="shared" si="116"/>
        <v>0</v>
      </c>
      <c r="W413" s="1486"/>
      <c r="X413" s="1483">
        <f t="shared" si="117"/>
        <v>0</v>
      </c>
      <c r="Y413" s="1483">
        <f t="shared" si="118"/>
        <v>0</v>
      </c>
      <c r="Z413" s="1486"/>
    </row>
    <row r="414" spans="1:26">
      <c r="A414" s="1414"/>
      <c r="B414" s="1415"/>
      <c r="C414" s="1405">
        <f t="shared" si="107"/>
        <v>1</v>
      </c>
      <c r="D414" s="1411"/>
      <c r="E414" s="1405">
        <f t="shared" si="108"/>
        <v>0</v>
      </c>
      <c r="F414" s="1411"/>
      <c r="G414" s="1405">
        <f t="shared" si="109"/>
        <v>1</v>
      </c>
      <c r="H414" s="1411"/>
      <c r="I414" s="1405">
        <f t="shared" si="110"/>
        <v>1</v>
      </c>
      <c r="J414" s="1411"/>
      <c r="K414" s="1405">
        <f t="shared" si="111"/>
        <v>1</v>
      </c>
      <c r="L414" s="1411"/>
      <c r="M414" s="1405">
        <f t="shared" si="112"/>
        <v>1</v>
      </c>
      <c r="N414" s="1411"/>
      <c r="O414" s="1405">
        <f t="shared" si="113"/>
        <v>1</v>
      </c>
      <c r="P414" s="1411"/>
      <c r="Q414" s="1405">
        <f t="shared" si="114"/>
        <v>0</v>
      </c>
      <c r="R414" s="1476">
        <f t="shared" si="119"/>
        <v>0</v>
      </c>
      <c r="S414" s="1358">
        <f t="shared" si="120"/>
        <v>0</v>
      </c>
      <c r="T414" s="1485">
        <f t="shared" si="121"/>
        <v>0</v>
      </c>
      <c r="U414" s="1483">
        <f t="shared" si="115"/>
        <v>0</v>
      </c>
      <c r="V414" s="1483">
        <f t="shared" si="116"/>
        <v>0</v>
      </c>
      <c r="W414" s="1486"/>
      <c r="X414" s="1483">
        <f t="shared" si="117"/>
        <v>0</v>
      </c>
      <c r="Y414" s="1483">
        <f t="shared" si="118"/>
        <v>0</v>
      </c>
      <c r="Z414" s="1486"/>
    </row>
    <row r="415" spans="1:26">
      <c r="A415" s="1414"/>
      <c r="B415" s="1415"/>
      <c r="C415" s="1405">
        <f t="shared" si="107"/>
        <v>1</v>
      </c>
      <c r="D415" s="1411"/>
      <c r="E415" s="1405">
        <f t="shared" si="108"/>
        <v>0</v>
      </c>
      <c r="F415" s="1411"/>
      <c r="G415" s="1405">
        <f t="shared" si="109"/>
        <v>1</v>
      </c>
      <c r="H415" s="1411"/>
      <c r="I415" s="1405">
        <f t="shared" si="110"/>
        <v>1</v>
      </c>
      <c r="J415" s="1411"/>
      <c r="K415" s="1405">
        <f t="shared" si="111"/>
        <v>1</v>
      </c>
      <c r="L415" s="1411"/>
      <c r="M415" s="1405">
        <f t="shared" si="112"/>
        <v>1</v>
      </c>
      <c r="N415" s="1411"/>
      <c r="O415" s="1405">
        <f t="shared" si="113"/>
        <v>1</v>
      </c>
      <c r="P415" s="1411"/>
      <c r="Q415" s="1405">
        <f t="shared" si="114"/>
        <v>0</v>
      </c>
      <c r="R415" s="1476">
        <f t="shared" si="119"/>
        <v>0</v>
      </c>
      <c r="S415" s="1358">
        <f t="shared" si="120"/>
        <v>0</v>
      </c>
      <c r="T415" s="1485">
        <f t="shared" si="121"/>
        <v>0</v>
      </c>
      <c r="U415" s="1483">
        <f t="shared" si="115"/>
        <v>0</v>
      </c>
      <c r="V415" s="1483">
        <f t="shared" si="116"/>
        <v>0</v>
      </c>
      <c r="W415" s="1486"/>
      <c r="X415" s="1483">
        <f t="shared" si="117"/>
        <v>0</v>
      </c>
      <c r="Y415" s="1483">
        <f t="shared" si="118"/>
        <v>0</v>
      </c>
      <c r="Z415" s="1486"/>
    </row>
    <row r="416" spans="1:26">
      <c r="A416" s="1414"/>
      <c r="B416" s="1415"/>
      <c r="C416" s="1405">
        <f t="shared" si="107"/>
        <v>1</v>
      </c>
      <c r="D416" s="1411"/>
      <c r="E416" s="1405">
        <f t="shared" si="108"/>
        <v>0</v>
      </c>
      <c r="F416" s="1411"/>
      <c r="G416" s="1405">
        <f t="shared" si="109"/>
        <v>1</v>
      </c>
      <c r="H416" s="1411"/>
      <c r="I416" s="1405">
        <f t="shared" si="110"/>
        <v>1</v>
      </c>
      <c r="J416" s="1411"/>
      <c r="K416" s="1405">
        <f t="shared" si="111"/>
        <v>1</v>
      </c>
      <c r="L416" s="1411"/>
      <c r="M416" s="1405">
        <f t="shared" si="112"/>
        <v>1</v>
      </c>
      <c r="N416" s="1411"/>
      <c r="O416" s="1405">
        <f t="shared" si="113"/>
        <v>1</v>
      </c>
      <c r="P416" s="1411"/>
      <c r="Q416" s="1405">
        <f t="shared" si="114"/>
        <v>0</v>
      </c>
      <c r="R416" s="1476">
        <f t="shared" si="119"/>
        <v>0</v>
      </c>
      <c r="S416" s="1358">
        <f t="shared" si="120"/>
        <v>0</v>
      </c>
      <c r="T416" s="1485">
        <f t="shared" si="121"/>
        <v>0</v>
      </c>
      <c r="U416" s="1483">
        <f t="shared" si="115"/>
        <v>0</v>
      </c>
      <c r="V416" s="1483">
        <f t="shared" si="116"/>
        <v>0</v>
      </c>
      <c r="W416" s="1486"/>
      <c r="X416" s="1483">
        <f t="shared" si="117"/>
        <v>0</v>
      </c>
      <c r="Y416" s="1483">
        <f t="shared" si="118"/>
        <v>0</v>
      </c>
      <c r="Z416" s="1486"/>
    </row>
    <row r="417" spans="1:26">
      <c r="A417" s="1414"/>
      <c r="B417" s="1415"/>
      <c r="C417" s="1405">
        <f t="shared" si="107"/>
        <v>1</v>
      </c>
      <c r="D417" s="1411"/>
      <c r="E417" s="1405">
        <f t="shared" si="108"/>
        <v>0</v>
      </c>
      <c r="F417" s="1411"/>
      <c r="G417" s="1405">
        <f t="shared" si="109"/>
        <v>1</v>
      </c>
      <c r="H417" s="1411"/>
      <c r="I417" s="1405">
        <f t="shared" si="110"/>
        <v>1</v>
      </c>
      <c r="J417" s="1411"/>
      <c r="K417" s="1405">
        <f t="shared" si="111"/>
        <v>1</v>
      </c>
      <c r="L417" s="1411"/>
      <c r="M417" s="1405">
        <f t="shared" si="112"/>
        <v>1</v>
      </c>
      <c r="N417" s="1411"/>
      <c r="O417" s="1405">
        <f t="shared" si="113"/>
        <v>1</v>
      </c>
      <c r="P417" s="1411"/>
      <c r="Q417" s="1405">
        <f t="shared" si="114"/>
        <v>0</v>
      </c>
      <c r="R417" s="1476">
        <f t="shared" si="119"/>
        <v>0</v>
      </c>
      <c r="S417" s="1358">
        <f t="shared" si="120"/>
        <v>0</v>
      </c>
      <c r="T417" s="1485">
        <f t="shared" si="121"/>
        <v>0</v>
      </c>
      <c r="U417" s="1483">
        <f t="shared" si="115"/>
        <v>0</v>
      </c>
      <c r="V417" s="1483">
        <f t="shared" si="116"/>
        <v>0</v>
      </c>
      <c r="W417" s="1486"/>
      <c r="X417" s="1483">
        <f t="shared" si="117"/>
        <v>0</v>
      </c>
      <c r="Y417" s="1483">
        <f t="shared" si="118"/>
        <v>0</v>
      </c>
      <c r="Z417" s="1486"/>
    </row>
    <row r="418" spans="1:26">
      <c r="A418" s="1414"/>
      <c r="B418" s="1415"/>
      <c r="C418" s="1405">
        <f t="shared" si="107"/>
        <v>1</v>
      </c>
      <c r="D418" s="1411"/>
      <c r="E418" s="1405">
        <f t="shared" si="108"/>
        <v>0</v>
      </c>
      <c r="F418" s="1411"/>
      <c r="G418" s="1405">
        <f t="shared" si="109"/>
        <v>1</v>
      </c>
      <c r="H418" s="1411"/>
      <c r="I418" s="1405">
        <f t="shared" si="110"/>
        <v>1</v>
      </c>
      <c r="J418" s="1411"/>
      <c r="K418" s="1405">
        <f t="shared" si="111"/>
        <v>1</v>
      </c>
      <c r="L418" s="1411"/>
      <c r="M418" s="1405">
        <f t="shared" si="112"/>
        <v>1</v>
      </c>
      <c r="N418" s="1411"/>
      <c r="O418" s="1405">
        <f t="shared" si="113"/>
        <v>1</v>
      </c>
      <c r="P418" s="1411"/>
      <c r="Q418" s="1405">
        <f t="shared" si="114"/>
        <v>0</v>
      </c>
      <c r="R418" s="1476">
        <f t="shared" si="119"/>
        <v>0</v>
      </c>
      <c r="S418" s="1358">
        <f t="shared" si="120"/>
        <v>0</v>
      </c>
      <c r="T418" s="1485">
        <f t="shared" si="121"/>
        <v>0</v>
      </c>
      <c r="U418" s="1483">
        <f t="shared" si="115"/>
        <v>0</v>
      </c>
      <c r="V418" s="1483">
        <f t="shared" si="116"/>
        <v>0</v>
      </c>
      <c r="W418" s="1486"/>
      <c r="X418" s="1483">
        <f t="shared" si="117"/>
        <v>0</v>
      </c>
      <c r="Y418" s="1483">
        <f t="shared" si="118"/>
        <v>0</v>
      </c>
      <c r="Z418" s="1486"/>
    </row>
    <row r="419" spans="1:26">
      <c r="A419" s="1414"/>
      <c r="B419" s="1415"/>
      <c r="C419" s="1405">
        <f t="shared" si="107"/>
        <v>1</v>
      </c>
      <c r="D419" s="1411"/>
      <c r="E419" s="1405">
        <f t="shared" si="108"/>
        <v>0</v>
      </c>
      <c r="F419" s="1411"/>
      <c r="G419" s="1405">
        <f t="shared" si="109"/>
        <v>1</v>
      </c>
      <c r="H419" s="1411"/>
      <c r="I419" s="1405">
        <f t="shared" si="110"/>
        <v>1</v>
      </c>
      <c r="J419" s="1411"/>
      <c r="K419" s="1405">
        <f t="shared" si="111"/>
        <v>1</v>
      </c>
      <c r="L419" s="1411"/>
      <c r="M419" s="1405">
        <f t="shared" si="112"/>
        <v>1</v>
      </c>
      <c r="N419" s="1411"/>
      <c r="O419" s="1405">
        <f t="shared" si="113"/>
        <v>1</v>
      </c>
      <c r="P419" s="1411"/>
      <c r="Q419" s="1405">
        <f t="shared" si="114"/>
        <v>0</v>
      </c>
      <c r="R419" s="1476">
        <f t="shared" si="119"/>
        <v>0</v>
      </c>
      <c r="S419" s="1358">
        <f t="shared" si="120"/>
        <v>0</v>
      </c>
      <c r="T419" s="1485">
        <f t="shared" si="121"/>
        <v>0</v>
      </c>
      <c r="U419" s="1483">
        <f t="shared" si="115"/>
        <v>0</v>
      </c>
      <c r="V419" s="1483">
        <f t="shared" si="116"/>
        <v>0</v>
      </c>
      <c r="W419" s="1486"/>
      <c r="X419" s="1483">
        <f t="shared" si="117"/>
        <v>0</v>
      </c>
      <c r="Y419" s="1483">
        <f t="shared" si="118"/>
        <v>0</v>
      </c>
      <c r="Z419" s="1486"/>
    </row>
    <row r="420" spans="1:26">
      <c r="A420" s="1414"/>
      <c r="B420" s="1415"/>
      <c r="C420" s="1405">
        <f t="shared" si="107"/>
        <v>1</v>
      </c>
      <c r="D420" s="1411"/>
      <c r="E420" s="1405">
        <f t="shared" si="108"/>
        <v>0</v>
      </c>
      <c r="F420" s="1411"/>
      <c r="G420" s="1405">
        <f t="shared" si="109"/>
        <v>1</v>
      </c>
      <c r="H420" s="1411"/>
      <c r="I420" s="1405">
        <f t="shared" si="110"/>
        <v>1</v>
      </c>
      <c r="J420" s="1411"/>
      <c r="K420" s="1405">
        <f t="shared" si="111"/>
        <v>1</v>
      </c>
      <c r="L420" s="1411"/>
      <c r="M420" s="1405">
        <f t="shared" si="112"/>
        <v>1</v>
      </c>
      <c r="N420" s="1411"/>
      <c r="O420" s="1405">
        <f t="shared" si="113"/>
        <v>1</v>
      </c>
      <c r="P420" s="1411"/>
      <c r="Q420" s="1405">
        <f t="shared" si="114"/>
        <v>0</v>
      </c>
      <c r="R420" s="1476">
        <f t="shared" si="119"/>
        <v>0</v>
      </c>
      <c r="S420" s="1358">
        <f t="shared" si="120"/>
        <v>0</v>
      </c>
      <c r="T420" s="1485">
        <f t="shared" si="121"/>
        <v>0</v>
      </c>
      <c r="U420" s="1483">
        <f t="shared" si="115"/>
        <v>0</v>
      </c>
      <c r="V420" s="1483">
        <f t="shared" si="116"/>
        <v>0</v>
      </c>
      <c r="W420" s="1486"/>
      <c r="X420" s="1483">
        <f t="shared" si="117"/>
        <v>0</v>
      </c>
      <c r="Y420" s="1483">
        <f t="shared" si="118"/>
        <v>0</v>
      </c>
      <c r="Z420" s="1486"/>
    </row>
    <row r="421" spans="1:26">
      <c r="A421" s="1414"/>
      <c r="B421" s="1415"/>
      <c r="C421" s="1405">
        <f t="shared" si="107"/>
        <v>1</v>
      </c>
      <c r="D421" s="1411"/>
      <c r="E421" s="1405">
        <f t="shared" si="108"/>
        <v>0</v>
      </c>
      <c r="F421" s="1411"/>
      <c r="G421" s="1405">
        <f t="shared" si="109"/>
        <v>1</v>
      </c>
      <c r="H421" s="1411"/>
      <c r="I421" s="1405">
        <f t="shared" si="110"/>
        <v>1</v>
      </c>
      <c r="J421" s="1411"/>
      <c r="K421" s="1405">
        <f t="shared" si="111"/>
        <v>1</v>
      </c>
      <c r="L421" s="1411"/>
      <c r="M421" s="1405">
        <f t="shared" si="112"/>
        <v>1</v>
      </c>
      <c r="N421" s="1411"/>
      <c r="O421" s="1405">
        <f t="shared" si="113"/>
        <v>1</v>
      </c>
      <c r="P421" s="1411"/>
      <c r="Q421" s="1405">
        <f t="shared" si="114"/>
        <v>0</v>
      </c>
      <c r="R421" s="1476">
        <f t="shared" si="119"/>
        <v>0</v>
      </c>
      <c r="S421" s="1358">
        <f t="shared" si="120"/>
        <v>0</v>
      </c>
      <c r="T421" s="1485">
        <f t="shared" si="121"/>
        <v>0</v>
      </c>
      <c r="U421" s="1483">
        <f t="shared" si="115"/>
        <v>0</v>
      </c>
      <c r="V421" s="1483">
        <f t="shared" si="116"/>
        <v>0</v>
      </c>
      <c r="W421" s="1486"/>
      <c r="X421" s="1483">
        <f t="shared" si="117"/>
        <v>0</v>
      </c>
      <c r="Y421" s="1483">
        <f t="shared" si="118"/>
        <v>0</v>
      </c>
      <c r="Z421" s="1486"/>
    </row>
    <row r="422" spans="1:26">
      <c r="A422" s="1414"/>
      <c r="B422" s="1415"/>
      <c r="C422" s="1405">
        <f t="shared" si="107"/>
        <v>1</v>
      </c>
      <c r="D422" s="1411"/>
      <c r="E422" s="1405">
        <f t="shared" si="108"/>
        <v>0</v>
      </c>
      <c r="F422" s="1411"/>
      <c r="G422" s="1405">
        <f t="shared" si="109"/>
        <v>1</v>
      </c>
      <c r="H422" s="1411"/>
      <c r="I422" s="1405">
        <f t="shared" si="110"/>
        <v>1</v>
      </c>
      <c r="J422" s="1411"/>
      <c r="K422" s="1405">
        <f t="shared" si="111"/>
        <v>1</v>
      </c>
      <c r="L422" s="1411"/>
      <c r="M422" s="1405">
        <f t="shared" si="112"/>
        <v>1</v>
      </c>
      <c r="N422" s="1411"/>
      <c r="O422" s="1405">
        <f t="shared" si="113"/>
        <v>1</v>
      </c>
      <c r="P422" s="1411"/>
      <c r="Q422" s="1405">
        <f t="shared" si="114"/>
        <v>0</v>
      </c>
      <c r="R422" s="1476">
        <f t="shared" si="119"/>
        <v>0</v>
      </c>
      <c r="S422" s="1358">
        <f t="shared" si="120"/>
        <v>0</v>
      </c>
      <c r="T422" s="1485">
        <f t="shared" si="121"/>
        <v>0</v>
      </c>
      <c r="U422" s="1483">
        <f t="shared" si="115"/>
        <v>0</v>
      </c>
      <c r="V422" s="1483">
        <f t="shared" si="116"/>
        <v>0</v>
      </c>
      <c r="W422" s="1486"/>
      <c r="X422" s="1483">
        <f t="shared" si="117"/>
        <v>0</v>
      </c>
      <c r="Y422" s="1483">
        <f t="shared" si="118"/>
        <v>0</v>
      </c>
      <c r="Z422" s="1486"/>
    </row>
    <row r="423" spans="1:26">
      <c r="A423" s="1414"/>
      <c r="B423" s="1415"/>
      <c r="C423" s="1405">
        <f t="shared" si="107"/>
        <v>1</v>
      </c>
      <c r="D423" s="1411"/>
      <c r="E423" s="1405">
        <f t="shared" si="108"/>
        <v>0</v>
      </c>
      <c r="F423" s="1411"/>
      <c r="G423" s="1405">
        <f t="shared" si="109"/>
        <v>1</v>
      </c>
      <c r="H423" s="1411"/>
      <c r="I423" s="1405">
        <f t="shared" si="110"/>
        <v>1</v>
      </c>
      <c r="J423" s="1411"/>
      <c r="K423" s="1405">
        <f t="shared" si="111"/>
        <v>1</v>
      </c>
      <c r="L423" s="1411"/>
      <c r="M423" s="1405">
        <f t="shared" si="112"/>
        <v>1</v>
      </c>
      <c r="N423" s="1411"/>
      <c r="O423" s="1405">
        <f t="shared" si="113"/>
        <v>1</v>
      </c>
      <c r="P423" s="1411"/>
      <c r="Q423" s="1405">
        <f t="shared" si="114"/>
        <v>0</v>
      </c>
      <c r="R423" s="1476">
        <f t="shared" si="119"/>
        <v>0</v>
      </c>
      <c r="S423" s="1358">
        <f t="shared" si="120"/>
        <v>0</v>
      </c>
      <c r="T423" s="1485">
        <f t="shared" si="121"/>
        <v>0</v>
      </c>
      <c r="U423" s="1483">
        <f t="shared" si="115"/>
        <v>0</v>
      </c>
      <c r="V423" s="1483">
        <f t="shared" si="116"/>
        <v>0</v>
      </c>
      <c r="W423" s="1486"/>
      <c r="X423" s="1483">
        <f t="shared" si="117"/>
        <v>0</v>
      </c>
      <c r="Y423" s="1483">
        <f t="shared" si="118"/>
        <v>0</v>
      </c>
      <c r="Z423" s="1486"/>
    </row>
    <row r="424" spans="1:26">
      <c r="A424" s="1414"/>
      <c r="B424" s="1415"/>
      <c r="C424" s="1405">
        <f t="shared" si="107"/>
        <v>1</v>
      </c>
      <c r="D424" s="1411"/>
      <c r="E424" s="1405">
        <f t="shared" si="108"/>
        <v>0</v>
      </c>
      <c r="F424" s="1411"/>
      <c r="G424" s="1405">
        <f t="shared" si="109"/>
        <v>1</v>
      </c>
      <c r="H424" s="1411"/>
      <c r="I424" s="1405">
        <f t="shared" si="110"/>
        <v>1</v>
      </c>
      <c r="J424" s="1411"/>
      <c r="K424" s="1405">
        <f t="shared" si="111"/>
        <v>1</v>
      </c>
      <c r="L424" s="1411"/>
      <c r="M424" s="1405">
        <f t="shared" si="112"/>
        <v>1</v>
      </c>
      <c r="N424" s="1411"/>
      <c r="O424" s="1405">
        <f t="shared" si="113"/>
        <v>1</v>
      </c>
      <c r="P424" s="1411"/>
      <c r="Q424" s="1405">
        <f t="shared" si="114"/>
        <v>0</v>
      </c>
      <c r="R424" s="1476">
        <f t="shared" si="119"/>
        <v>0</v>
      </c>
      <c r="S424" s="1358">
        <f t="shared" si="120"/>
        <v>0</v>
      </c>
      <c r="T424" s="1485">
        <f t="shared" si="121"/>
        <v>0</v>
      </c>
      <c r="U424" s="1483">
        <f t="shared" si="115"/>
        <v>0</v>
      </c>
      <c r="V424" s="1483">
        <f t="shared" si="116"/>
        <v>0</v>
      </c>
      <c r="W424" s="1486"/>
      <c r="X424" s="1483">
        <f t="shared" si="117"/>
        <v>0</v>
      </c>
      <c r="Y424" s="1483">
        <f t="shared" si="118"/>
        <v>0</v>
      </c>
      <c r="Z424" s="1486"/>
    </row>
    <row r="425" spans="1:26">
      <c r="A425" s="1414"/>
      <c r="B425" s="1415"/>
      <c r="C425" s="1405">
        <f t="shared" si="107"/>
        <v>1</v>
      </c>
      <c r="D425" s="1411"/>
      <c r="E425" s="1405">
        <f t="shared" si="108"/>
        <v>0</v>
      </c>
      <c r="F425" s="1411"/>
      <c r="G425" s="1405">
        <f t="shared" si="109"/>
        <v>1</v>
      </c>
      <c r="H425" s="1411"/>
      <c r="I425" s="1405">
        <f t="shared" si="110"/>
        <v>1</v>
      </c>
      <c r="J425" s="1411"/>
      <c r="K425" s="1405">
        <f t="shared" si="111"/>
        <v>1</v>
      </c>
      <c r="L425" s="1411"/>
      <c r="M425" s="1405">
        <f t="shared" si="112"/>
        <v>1</v>
      </c>
      <c r="N425" s="1411"/>
      <c r="O425" s="1405">
        <f t="shared" si="113"/>
        <v>1</v>
      </c>
      <c r="P425" s="1411"/>
      <c r="Q425" s="1405">
        <f t="shared" si="114"/>
        <v>0</v>
      </c>
      <c r="R425" s="1476">
        <f t="shared" si="119"/>
        <v>0</v>
      </c>
      <c r="S425" s="1358">
        <f t="shared" si="120"/>
        <v>0</v>
      </c>
      <c r="T425" s="1485">
        <f t="shared" si="121"/>
        <v>0</v>
      </c>
      <c r="U425" s="1483">
        <f t="shared" si="115"/>
        <v>0</v>
      </c>
      <c r="V425" s="1483">
        <f t="shared" si="116"/>
        <v>0</v>
      </c>
      <c r="W425" s="1486"/>
      <c r="X425" s="1483">
        <f t="shared" si="117"/>
        <v>0</v>
      </c>
      <c r="Y425" s="1483">
        <f t="shared" si="118"/>
        <v>0</v>
      </c>
      <c r="Z425" s="1486"/>
    </row>
    <row r="426" spans="1:26">
      <c r="A426" s="1414"/>
      <c r="B426" s="1415"/>
      <c r="C426" s="1405">
        <f t="shared" si="107"/>
        <v>1</v>
      </c>
      <c r="D426" s="1411"/>
      <c r="E426" s="1405">
        <f t="shared" si="108"/>
        <v>0</v>
      </c>
      <c r="F426" s="1411"/>
      <c r="G426" s="1405">
        <f t="shared" si="109"/>
        <v>1</v>
      </c>
      <c r="H426" s="1411"/>
      <c r="I426" s="1405">
        <f t="shared" si="110"/>
        <v>1</v>
      </c>
      <c r="J426" s="1411"/>
      <c r="K426" s="1405">
        <f t="shared" si="111"/>
        <v>1</v>
      </c>
      <c r="L426" s="1411"/>
      <c r="M426" s="1405">
        <f t="shared" si="112"/>
        <v>1</v>
      </c>
      <c r="N426" s="1411"/>
      <c r="O426" s="1405">
        <f t="shared" si="113"/>
        <v>1</v>
      </c>
      <c r="P426" s="1411"/>
      <c r="Q426" s="1405">
        <f t="shared" si="114"/>
        <v>0</v>
      </c>
      <c r="R426" s="1476">
        <f t="shared" si="119"/>
        <v>0</v>
      </c>
      <c r="S426" s="1358">
        <f t="shared" si="120"/>
        <v>0</v>
      </c>
      <c r="T426" s="1485">
        <f t="shared" si="121"/>
        <v>0</v>
      </c>
      <c r="U426" s="1483">
        <f t="shared" si="115"/>
        <v>0</v>
      </c>
      <c r="V426" s="1483">
        <f t="shared" si="116"/>
        <v>0</v>
      </c>
      <c r="W426" s="1486"/>
      <c r="X426" s="1483">
        <f t="shared" si="117"/>
        <v>0</v>
      </c>
      <c r="Y426" s="1483">
        <f t="shared" si="118"/>
        <v>0</v>
      </c>
      <c r="Z426" s="1486"/>
    </row>
    <row r="427" spans="1:26">
      <c r="A427" s="1414"/>
      <c r="B427" s="1415"/>
      <c r="C427" s="1405">
        <f t="shared" si="107"/>
        <v>1</v>
      </c>
      <c r="D427" s="1411"/>
      <c r="E427" s="1405">
        <f t="shared" si="108"/>
        <v>0</v>
      </c>
      <c r="F427" s="1411"/>
      <c r="G427" s="1405">
        <f t="shared" si="109"/>
        <v>1</v>
      </c>
      <c r="H427" s="1411"/>
      <c r="I427" s="1405">
        <f t="shared" si="110"/>
        <v>1</v>
      </c>
      <c r="J427" s="1411"/>
      <c r="K427" s="1405">
        <f t="shared" si="111"/>
        <v>1</v>
      </c>
      <c r="L427" s="1411"/>
      <c r="M427" s="1405">
        <f t="shared" si="112"/>
        <v>1</v>
      </c>
      <c r="N427" s="1411"/>
      <c r="O427" s="1405">
        <f t="shared" si="113"/>
        <v>1</v>
      </c>
      <c r="P427" s="1411"/>
      <c r="Q427" s="1405">
        <f t="shared" si="114"/>
        <v>0</v>
      </c>
      <c r="R427" s="1476">
        <f t="shared" si="119"/>
        <v>0</v>
      </c>
      <c r="S427" s="1358">
        <f t="shared" si="120"/>
        <v>0</v>
      </c>
      <c r="T427" s="1485">
        <f t="shared" si="121"/>
        <v>0</v>
      </c>
      <c r="U427" s="1483">
        <f t="shared" si="115"/>
        <v>0</v>
      </c>
      <c r="V427" s="1483">
        <f t="shared" si="116"/>
        <v>0</v>
      </c>
      <c r="W427" s="1486"/>
      <c r="X427" s="1483">
        <f t="shared" si="117"/>
        <v>0</v>
      </c>
      <c r="Y427" s="1483">
        <f t="shared" si="118"/>
        <v>0</v>
      </c>
      <c r="Z427" s="1486"/>
    </row>
    <row r="428" spans="1:26">
      <c r="A428" s="1414"/>
      <c r="B428" s="1415"/>
      <c r="C428" s="1405">
        <f t="shared" si="107"/>
        <v>1</v>
      </c>
      <c r="D428" s="1411"/>
      <c r="E428" s="1405">
        <f t="shared" si="108"/>
        <v>0</v>
      </c>
      <c r="F428" s="1411"/>
      <c r="G428" s="1405">
        <f t="shared" si="109"/>
        <v>1</v>
      </c>
      <c r="H428" s="1411"/>
      <c r="I428" s="1405">
        <f t="shared" si="110"/>
        <v>1</v>
      </c>
      <c r="J428" s="1411"/>
      <c r="K428" s="1405">
        <f t="shared" si="111"/>
        <v>1</v>
      </c>
      <c r="L428" s="1411"/>
      <c r="M428" s="1405">
        <f t="shared" si="112"/>
        <v>1</v>
      </c>
      <c r="N428" s="1411"/>
      <c r="O428" s="1405">
        <f t="shared" si="113"/>
        <v>1</v>
      </c>
      <c r="P428" s="1411"/>
      <c r="Q428" s="1405">
        <f t="shared" si="114"/>
        <v>0</v>
      </c>
      <c r="R428" s="1476">
        <f t="shared" si="119"/>
        <v>0</v>
      </c>
      <c r="S428" s="1358">
        <f t="shared" si="120"/>
        <v>0</v>
      </c>
      <c r="T428" s="1485">
        <f t="shared" si="121"/>
        <v>0</v>
      </c>
      <c r="U428" s="1483">
        <f t="shared" si="115"/>
        <v>0</v>
      </c>
      <c r="V428" s="1483">
        <f t="shared" si="116"/>
        <v>0</v>
      </c>
      <c r="W428" s="1486"/>
      <c r="X428" s="1483">
        <f t="shared" si="117"/>
        <v>0</v>
      </c>
      <c r="Y428" s="1483">
        <f t="shared" si="118"/>
        <v>0</v>
      </c>
      <c r="Z428" s="1486"/>
    </row>
    <row r="429" spans="1:26">
      <c r="A429" s="1414"/>
      <c r="B429" s="1415"/>
      <c r="C429" s="1405">
        <f t="shared" si="107"/>
        <v>1</v>
      </c>
      <c r="D429" s="1411"/>
      <c r="E429" s="1405">
        <f t="shared" si="108"/>
        <v>0</v>
      </c>
      <c r="F429" s="1411"/>
      <c r="G429" s="1405">
        <f t="shared" si="109"/>
        <v>1</v>
      </c>
      <c r="H429" s="1411"/>
      <c r="I429" s="1405">
        <f t="shared" si="110"/>
        <v>1</v>
      </c>
      <c r="J429" s="1411"/>
      <c r="K429" s="1405">
        <f t="shared" si="111"/>
        <v>1</v>
      </c>
      <c r="L429" s="1411"/>
      <c r="M429" s="1405">
        <f t="shared" si="112"/>
        <v>1</v>
      </c>
      <c r="N429" s="1411"/>
      <c r="O429" s="1405">
        <f t="shared" si="113"/>
        <v>1</v>
      </c>
      <c r="P429" s="1411"/>
      <c r="Q429" s="1405">
        <f t="shared" si="114"/>
        <v>0</v>
      </c>
      <c r="R429" s="1476">
        <f t="shared" si="119"/>
        <v>0</v>
      </c>
      <c r="S429" s="1358">
        <f t="shared" si="120"/>
        <v>0</v>
      </c>
      <c r="T429" s="1485">
        <f t="shared" si="121"/>
        <v>0</v>
      </c>
      <c r="U429" s="1483">
        <f t="shared" si="115"/>
        <v>0</v>
      </c>
      <c r="V429" s="1483">
        <f t="shared" si="116"/>
        <v>0</v>
      </c>
      <c r="W429" s="1486"/>
      <c r="X429" s="1483">
        <f t="shared" si="117"/>
        <v>0</v>
      </c>
      <c r="Y429" s="1483">
        <f t="shared" si="118"/>
        <v>0</v>
      </c>
      <c r="Z429" s="1486"/>
    </row>
    <row r="430" spans="1:26">
      <c r="A430" s="1414"/>
      <c r="B430" s="1415"/>
      <c r="C430" s="1405">
        <f t="shared" si="107"/>
        <v>1</v>
      </c>
      <c r="D430" s="1411"/>
      <c r="E430" s="1405">
        <f t="shared" si="108"/>
        <v>0</v>
      </c>
      <c r="F430" s="1411"/>
      <c r="G430" s="1405">
        <f t="shared" si="109"/>
        <v>1</v>
      </c>
      <c r="H430" s="1411"/>
      <c r="I430" s="1405">
        <f t="shared" si="110"/>
        <v>1</v>
      </c>
      <c r="J430" s="1411"/>
      <c r="K430" s="1405">
        <f t="shared" si="111"/>
        <v>1</v>
      </c>
      <c r="L430" s="1411"/>
      <c r="M430" s="1405">
        <f t="shared" si="112"/>
        <v>1</v>
      </c>
      <c r="N430" s="1411"/>
      <c r="O430" s="1405">
        <f t="shared" si="113"/>
        <v>1</v>
      </c>
      <c r="P430" s="1411"/>
      <c r="Q430" s="1405">
        <f t="shared" si="114"/>
        <v>0</v>
      </c>
      <c r="R430" s="1476">
        <f t="shared" si="119"/>
        <v>0</v>
      </c>
      <c r="S430" s="1358">
        <f t="shared" si="120"/>
        <v>0</v>
      </c>
      <c r="T430" s="1485">
        <f t="shared" si="121"/>
        <v>0</v>
      </c>
      <c r="U430" s="1483">
        <f t="shared" si="115"/>
        <v>0</v>
      </c>
      <c r="V430" s="1483">
        <f t="shared" si="116"/>
        <v>0</v>
      </c>
      <c r="W430" s="1486"/>
      <c r="X430" s="1483">
        <f t="shared" si="117"/>
        <v>0</v>
      </c>
      <c r="Y430" s="1483">
        <f t="shared" si="118"/>
        <v>0</v>
      </c>
      <c r="Z430" s="1486"/>
    </row>
    <row r="431" spans="1:26">
      <c r="A431" s="1414"/>
      <c r="B431" s="1415"/>
      <c r="C431" s="1405">
        <f t="shared" si="107"/>
        <v>1</v>
      </c>
      <c r="D431" s="1411"/>
      <c r="E431" s="1405">
        <f t="shared" si="108"/>
        <v>0</v>
      </c>
      <c r="F431" s="1411"/>
      <c r="G431" s="1405">
        <f t="shared" si="109"/>
        <v>1</v>
      </c>
      <c r="H431" s="1411"/>
      <c r="I431" s="1405">
        <f t="shared" si="110"/>
        <v>1</v>
      </c>
      <c r="J431" s="1411"/>
      <c r="K431" s="1405">
        <f t="shared" si="111"/>
        <v>1</v>
      </c>
      <c r="L431" s="1411"/>
      <c r="M431" s="1405">
        <f t="shared" si="112"/>
        <v>1</v>
      </c>
      <c r="N431" s="1411"/>
      <c r="O431" s="1405">
        <f t="shared" si="113"/>
        <v>1</v>
      </c>
      <c r="P431" s="1411"/>
      <c r="Q431" s="1405">
        <f t="shared" si="114"/>
        <v>0</v>
      </c>
      <c r="R431" s="1476">
        <f t="shared" si="119"/>
        <v>0</v>
      </c>
      <c r="S431" s="1358">
        <f t="shared" si="120"/>
        <v>0</v>
      </c>
      <c r="T431" s="1485">
        <f t="shared" si="121"/>
        <v>0</v>
      </c>
      <c r="U431" s="1483">
        <f t="shared" si="115"/>
        <v>0</v>
      </c>
      <c r="V431" s="1483">
        <f t="shared" si="116"/>
        <v>0</v>
      </c>
      <c r="W431" s="1486"/>
      <c r="X431" s="1483">
        <f t="shared" si="117"/>
        <v>0</v>
      </c>
      <c r="Y431" s="1483">
        <f t="shared" si="118"/>
        <v>0</v>
      </c>
      <c r="Z431" s="1486"/>
    </row>
    <row r="432" spans="1:26">
      <c r="A432" s="1414"/>
      <c r="B432" s="1415"/>
      <c r="C432" s="1405">
        <f t="shared" si="107"/>
        <v>1</v>
      </c>
      <c r="D432" s="1411"/>
      <c r="E432" s="1405">
        <f t="shared" si="108"/>
        <v>0</v>
      </c>
      <c r="F432" s="1411"/>
      <c r="G432" s="1405">
        <f t="shared" si="109"/>
        <v>1</v>
      </c>
      <c r="H432" s="1411"/>
      <c r="I432" s="1405">
        <f t="shared" si="110"/>
        <v>1</v>
      </c>
      <c r="J432" s="1411"/>
      <c r="K432" s="1405">
        <f t="shared" si="111"/>
        <v>1</v>
      </c>
      <c r="L432" s="1411"/>
      <c r="M432" s="1405">
        <f t="shared" si="112"/>
        <v>1</v>
      </c>
      <c r="N432" s="1411"/>
      <c r="O432" s="1405">
        <f t="shared" si="113"/>
        <v>1</v>
      </c>
      <c r="P432" s="1411"/>
      <c r="Q432" s="1405">
        <f t="shared" si="114"/>
        <v>0</v>
      </c>
      <c r="R432" s="1476">
        <f t="shared" si="119"/>
        <v>0</v>
      </c>
      <c r="S432" s="1358">
        <f t="shared" si="120"/>
        <v>0</v>
      </c>
      <c r="T432" s="1485">
        <f t="shared" si="121"/>
        <v>0</v>
      </c>
      <c r="U432" s="1483">
        <f t="shared" si="115"/>
        <v>0</v>
      </c>
      <c r="V432" s="1483">
        <f t="shared" si="116"/>
        <v>0</v>
      </c>
      <c r="W432" s="1486"/>
      <c r="X432" s="1483">
        <f t="shared" si="117"/>
        <v>0</v>
      </c>
      <c r="Y432" s="1483">
        <f t="shared" si="118"/>
        <v>0</v>
      </c>
      <c r="Z432" s="1486"/>
    </row>
    <row r="433" spans="1:26">
      <c r="A433" s="1414"/>
      <c r="B433" s="1415"/>
      <c r="C433" s="1405">
        <f t="shared" si="107"/>
        <v>1</v>
      </c>
      <c r="D433" s="1411"/>
      <c r="E433" s="1405">
        <f t="shared" si="108"/>
        <v>0</v>
      </c>
      <c r="F433" s="1411"/>
      <c r="G433" s="1405">
        <f t="shared" si="109"/>
        <v>1</v>
      </c>
      <c r="H433" s="1411"/>
      <c r="I433" s="1405">
        <f t="shared" si="110"/>
        <v>1</v>
      </c>
      <c r="J433" s="1411"/>
      <c r="K433" s="1405">
        <f t="shared" si="111"/>
        <v>1</v>
      </c>
      <c r="L433" s="1411"/>
      <c r="M433" s="1405">
        <f t="shared" si="112"/>
        <v>1</v>
      </c>
      <c r="N433" s="1411"/>
      <c r="O433" s="1405">
        <f t="shared" si="113"/>
        <v>1</v>
      </c>
      <c r="P433" s="1411"/>
      <c r="Q433" s="1405">
        <f t="shared" si="114"/>
        <v>0</v>
      </c>
      <c r="R433" s="1476">
        <f t="shared" si="119"/>
        <v>0</v>
      </c>
      <c r="S433" s="1358">
        <f t="shared" si="120"/>
        <v>0</v>
      </c>
      <c r="T433" s="1485">
        <f t="shared" si="121"/>
        <v>0</v>
      </c>
      <c r="U433" s="1483">
        <f t="shared" si="115"/>
        <v>0</v>
      </c>
      <c r="V433" s="1483">
        <f t="shared" si="116"/>
        <v>0</v>
      </c>
      <c r="W433" s="1486"/>
      <c r="X433" s="1483">
        <f t="shared" si="117"/>
        <v>0</v>
      </c>
      <c r="Y433" s="1483">
        <f t="shared" si="118"/>
        <v>0</v>
      </c>
      <c r="Z433" s="1486"/>
    </row>
    <row r="434" spans="1:26">
      <c r="A434" s="1414"/>
      <c r="B434" s="1415"/>
      <c r="C434" s="1405">
        <f t="shared" si="107"/>
        <v>1</v>
      </c>
      <c r="D434" s="1411"/>
      <c r="E434" s="1405">
        <f t="shared" si="108"/>
        <v>0</v>
      </c>
      <c r="F434" s="1411"/>
      <c r="G434" s="1405">
        <f t="shared" si="109"/>
        <v>1</v>
      </c>
      <c r="H434" s="1411"/>
      <c r="I434" s="1405">
        <f t="shared" si="110"/>
        <v>1</v>
      </c>
      <c r="J434" s="1411"/>
      <c r="K434" s="1405">
        <f t="shared" si="111"/>
        <v>1</v>
      </c>
      <c r="L434" s="1411"/>
      <c r="M434" s="1405">
        <f t="shared" si="112"/>
        <v>1</v>
      </c>
      <c r="N434" s="1411"/>
      <c r="O434" s="1405">
        <f t="shared" si="113"/>
        <v>1</v>
      </c>
      <c r="P434" s="1411"/>
      <c r="Q434" s="1405">
        <f t="shared" si="114"/>
        <v>0</v>
      </c>
      <c r="R434" s="1476">
        <f t="shared" si="119"/>
        <v>0</v>
      </c>
      <c r="S434" s="1358">
        <f t="shared" si="120"/>
        <v>0</v>
      </c>
      <c r="T434" s="1485">
        <f t="shared" si="121"/>
        <v>0</v>
      </c>
      <c r="U434" s="1483">
        <f t="shared" si="115"/>
        <v>0</v>
      </c>
      <c r="V434" s="1483">
        <f t="shared" si="116"/>
        <v>0</v>
      </c>
      <c r="W434" s="1486"/>
      <c r="X434" s="1483">
        <f t="shared" si="117"/>
        <v>0</v>
      </c>
      <c r="Y434" s="1483">
        <f t="shared" si="118"/>
        <v>0</v>
      </c>
      <c r="Z434" s="1486"/>
    </row>
    <row r="435" spans="1:26">
      <c r="A435" s="1414"/>
      <c r="B435" s="1415"/>
      <c r="C435" s="1405">
        <f t="shared" si="107"/>
        <v>1</v>
      </c>
      <c r="D435" s="1411"/>
      <c r="E435" s="1405">
        <f t="shared" si="108"/>
        <v>0</v>
      </c>
      <c r="F435" s="1411"/>
      <c r="G435" s="1405">
        <f t="shared" si="109"/>
        <v>1</v>
      </c>
      <c r="H435" s="1411"/>
      <c r="I435" s="1405">
        <f t="shared" si="110"/>
        <v>1</v>
      </c>
      <c r="J435" s="1411"/>
      <c r="K435" s="1405">
        <f t="shared" si="111"/>
        <v>1</v>
      </c>
      <c r="L435" s="1411"/>
      <c r="M435" s="1405">
        <f t="shared" si="112"/>
        <v>1</v>
      </c>
      <c r="N435" s="1411"/>
      <c r="O435" s="1405">
        <f t="shared" si="113"/>
        <v>1</v>
      </c>
      <c r="P435" s="1411"/>
      <c r="Q435" s="1405">
        <f t="shared" si="114"/>
        <v>0</v>
      </c>
      <c r="R435" s="1476">
        <f t="shared" si="119"/>
        <v>0</v>
      </c>
      <c r="S435" s="1358">
        <f t="shared" si="120"/>
        <v>0</v>
      </c>
      <c r="T435" s="1485">
        <f t="shared" si="121"/>
        <v>0</v>
      </c>
      <c r="U435" s="1483">
        <f t="shared" si="115"/>
        <v>0</v>
      </c>
      <c r="V435" s="1483">
        <f t="shared" si="116"/>
        <v>0</v>
      </c>
      <c r="W435" s="1486"/>
      <c r="X435" s="1483">
        <f t="shared" si="117"/>
        <v>0</v>
      </c>
      <c r="Y435" s="1483">
        <f t="shared" si="118"/>
        <v>0</v>
      </c>
      <c r="Z435" s="1486"/>
    </row>
    <row r="436" spans="1:26">
      <c r="A436" s="1414"/>
      <c r="B436" s="1415"/>
      <c r="C436" s="1405">
        <f t="shared" si="107"/>
        <v>1</v>
      </c>
      <c r="D436" s="1411"/>
      <c r="E436" s="1405">
        <f t="shared" si="108"/>
        <v>0</v>
      </c>
      <c r="F436" s="1411"/>
      <c r="G436" s="1405">
        <f t="shared" si="109"/>
        <v>1</v>
      </c>
      <c r="H436" s="1411"/>
      <c r="I436" s="1405">
        <f t="shared" si="110"/>
        <v>1</v>
      </c>
      <c r="J436" s="1411"/>
      <c r="K436" s="1405">
        <f t="shared" si="111"/>
        <v>1</v>
      </c>
      <c r="L436" s="1411"/>
      <c r="M436" s="1405">
        <f t="shared" si="112"/>
        <v>1</v>
      </c>
      <c r="N436" s="1411"/>
      <c r="O436" s="1405">
        <f t="shared" si="113"/>
        <v>1</v>
      </c>
      <c r="P436" s="1411"/>
      <c r="Q436" s="1405">
        <f t="shared" si="114"/>
        <v>0</v>
      </c>
      <c r="R436" s="1476">
        <f t="shared" si="119"/>
        <v>0</v>
      </c>
      <c r="S436" s="1358">
        <f t="shared" si="120"/>
        <v>0</v>
      </c>
      <c r="T436" s="1485">
        <f t="shared" si="121"/>
        <v>0</v>
      </c>
      <c r="U436" s="1483">
        <f t="shared" si="115"/>
        <v>0</v>
      </c>
      <c r="V436" s="1483">
        <f t="shared" si="116"/>
        <v>0</v>
      </c>
      <c r="W436" s="1486"/>
      <c r="X436" s="1483">
        <f t="shared" si="117"/>
        <v>0</v>
      </c>
      <c r="Y436" s="1483">
        <f t="shared" si="118"/>
        <v>0</v>
      </c>
      <c r="Z436" s="1486"/>
    </row>
    <row r="437" spans="1:26">
      <c r="A437" s="1414"/>
      <c r="B437" s="1415"/>
      <c r="C437" s="1405">
        <f t="shared" si="107"/>
        <v>1</v>
      </c>
      <c r="D437" s="1411"/>
      <c r="E437" s="1405">
        <f t="shared" si="108"/>
        <v>0</v>
      </c>
      <c r="F437" s="1411"/>
      <c r="G437" s="1405">
        <f t="shared" si="109"/>
        <v>1</v>
      </c>
      <c r="H437" s="1411"/>
      <c r="I437" s="1405">
        <f t="shared" si="110"/>
        <v>1</v>
      </c>
      <c r="J437" s="1411"/>
      <c r="K437" s="1405">
        <f t="shared" si="111"/>
        <v>1</v>
      </c>
      <c r="L437" s="1411"/>
      <c r="M437" s="1405">
        <f t="shared" si="112"/>
        <v>1</v>
      </c>
      <c r="N437" s="1411"/>
      <c r="O437" s="1405">
        <f t="shared" si="113"/>
        <v>1</v>
      </c>
      <c r="P437" s="1411"/>
      <c r="Q437" s="1405">
        <f t="shared" si="114"/>
        <v>0</v>
      </c>
      <c r="R437" s="1476">
        <f t="shared" si="119"/>
        <v>0</v>
      </c>
      <c r="S437" s="1358">
        <f t="shared" si="120"/>
        <v>0</v>
      </c>
      <c r="T437" s="1485">
        <f t="shared" si="121"/>
        <v>0</v>
      </c>
      <c r="U437" s="1483">
        <f t="shared" si="115"/>
        <v>0</v>
      </c>
      <c r="V437" s="1483">
        <f t="shared" si="116"/>
        <v>0</v>
      </c>
      <c r="W437" s="1486"/>
      <c r="X437" s="1483">
        <f t="shared" si="117"/>
        <v>0</v>
      </c>
      <c r="Y437" s="1483">
        <f t="shared" si="118"/>
        <v>0</v>
      </c>
      <c r="Z437" s="1486"/>
    </row>
    <row r="438" spans="1:26">
      <c r="A438" s="1414"/>
      <c r="B438" s="1415"/>
      <c r="C438" s="1405">
        <f t="shared" si="107"/>
        <v>1</v>
      </c>
      <c r="D438" s="1411"/>
      <c r="E438" s="1405">
        <f t="shared" si="108"/>
        <v>0</v>
      </c>
      <c r="F438" s="1411"/>
      <c r="G438" s="1405">
        <f t="shared" si="109"/>
        <v>1</v>
      </c>
      <c r="H438" s="1411"/>
      <c r="I438" s="1405">
        <f t="shared" si="110"/>
        <v>1</v>
      </c>
      <c r="J438" s="1411"/>
      <c r="K438" s="1405">
        <f t="shared" si="111"/>
        <v>1</v>
      </c>
      <c r="L438" s="1411"/>
      <c r="M438" s="1405">
        <f t="shared" si="112"/>
        <v>1</v>
      </c>
      <c r="N438" s="1411"/>
      <c r="O438" s="1405">
        <f t="shared" si="113"/>
        <v>1</v>
      </c>
      <c r="P438" s="1411"/>
      <c r="Q438" s="1405">
        <f t="shared" si="114"/>
        <v>0</v>
      </c>
      <c r="R438" s="1476">
        <f t="shared" si="119"/>
        <v>0</v>
      </c>
      <c r="S438" s="1358">
        <f t="shared" si="120"/>
        <v>0</v>
      </c>
      <c r="T438" s="1485">
        <f t="shared" si="121"/>
        <v>0</v>
      </c>
      <c r="U438" s="1483">
        <f t="shared" si="115"/>
        <v>0</v>
      </c>
      <c r="V438" s="1483">
        <f t="shared" si="116"/>
        <v>0</v>
      </c>
      <c r="W438" s="1486"/>
      <c r="X438" s="1483">
        <f t="shared" si="117"/>
        <v>0</v>
      </c>
      <c r="Y438" s="1483">
        <f t="shared" si="118"/>
        <v>0</v>
      </c>
      <c r="Z438" s="1486"/>
    </row>
    <row r="439" spans="1:26">
      <c r="A439" s="1414"/>
      <c r="B439" s="1415"/>
      <c r="C439" s="1405">
        <f t="shared" si="107"/>
        <v>1</v>
      </c>
      <c r="D439" s="1411"/>
      <c r="E439" s="1405">
        <f t="shared" si="108"/>
        <v>0</v>
      </c>
      <c r="F439" s="1411"/>
      <c r="G439" s="1405">
        <f t="shared" si="109"/>
        <v>1</v>
      </c>
      <c r="H439" s="1411"/>
      <c r="I439" s="1405">
        <f t="shared" si="110"/>
        <v>1</v>
      </c>
      <c r="J439" s="1411"/>
      <c r="K439" s="1405">
        <f t="shared" si="111"/>
        <v>1</v>
      </c>
      <c r="L439" s="1411"/>
      <c r="M439" s="1405">
        <f t="shared" si="112"/>
        <v>1</v>
      </c>
      <c r="N439" s="1411"/>
      <c r="O439" s="1405">
        <f t="shared" si="113"/>
        <v>1</v>
      </c>
      <c r="P439" s="1411"/>
      <c r="Q439" s="1405">
        <f t="shared" si="114"/>
        <v>0</v>
      </c>
      <c r="R439" s="1476">
        <f t="shared" si="119"/>
        <v>0</v>
      </c>
      <c r="S439" s="1358">
        <f t="shared" si="120"/>
        <v>0</v>
      </c>
      <c r="T439" s="1485">
        <f t="shared" si="121"/>
        <v>0</v>
      </c>
      <c r="U439" s="1483">
        <f t="shared" si="115"/>
        <v>0</v>
      </c>
      <c r="V439" s="1483">
        <f t="shared" si="116"/>
        <v>0</v>
      </c>
      <c r="W439" s="1486"/>
      <c r="X439" s="1483">
        <f t="shared" si="117"/>
        <v>0</v>
      </c>
      <c r="Y439" s="1483">
        <f t="shared" si="118"/>
        <v>0</v>
      </c>
      <c r="Z439" s="1486"/>
    </row>
    <row r="440" spans="1:26">
      <c r="A440" s="1414"/>
      <c r="B440" s="1415"/>
      <c r="C440" s="1405">
        <f t="shared" si="107"/>
        <v>1</v>
      </c>
      <c r="D440" s="1411"/>
      <c r="E440" s="1405">
        <f t="shared" si="108"/>
        <v>0</v>
      </c>
      <c r="F440" s="1411"/>
      <c r="G440" s="1405">
        <f t="shared" si="109"/>
        <v>1</v>
      </c>
      <c r="H440" s="1411"/>
      <c r="I440" s="1405">
        <f t="shared" si="110"/>
        <v>1</v>
      </c>
      <c r="J440" s="1411"/>
      <c r="K440" s="1405">
        <f t="shared" si="111"/>
        <v>1</v>
      </c>
      <c r="L440" s="1411"/>
      <c r="M440" s="1405">
        <f t="shared" si="112"/>
        <v>1</v>
      </c>
      <c r="N440" s="1411"/>
      <c r="O440" s="1405">
        <f t="shared" si="113"/>
        <v>1</v>
      </c>
      <c r="P440" s="1411"/>
      <c r="Q440" s="1405">
        <f t="shared" si="114"/>
        <v>0</v>
      </c>
      <c r="R440" s="1476">
        <f t="shared" si="119"/>
        <v>0</v>
      </c>
      <c r="S440" s="1358">
        <f t="shared" si="120"/>
        <v>0</v>
      </c>
      <c r="T440" s="1485">
        <f t="shared" si="121"/>
        <v>0</v>
      </c>
      <c r="U440" s="1483">
        <f t="shared" si="115"/>
        <v>0</v>
      </c>
      <c r="V440" s="1483">
        <f t="shared" si="116"/>
        <v>0</v>
      </c>
      <c r="W440" s="1486"/>
      <c r="X440" s="1483">
        <f t="shared" si="117"/>
        <v>0</v>
      </c>
      <c r="Y440" s="1483">
        <f t="shared" si="118"/>
        <v>0</v>
      </c>
      <c r="Z440" s="1486"/>
    </row>
    <row r="441" spans="1:26">
      <c r="A441" s="1414"/>
      <c r="B441" s="1415"/>
      <c r="C441" s="1405">
        <f t="shared" si="107"/>
        <v>1</v>
      </c>
      <c r="D441" s="1411"/>
      <c r="E441" s="1405">
        <f t="shared" si="108"/>
        <v>0</v>
      </c>
      <c r="F441" s="1411"/>
      <c r="G441" s="1405">
        <f t="shared" si="109"/>
        <v>1</v>
      </c>
      <c r="H441" s="1411"/>
      <c r="I441" s="1405">
        <f t="shared" si="110"/>
        <v>1</v>
      </c>
      <c r="J441" s="1411"/>
      <c r="K441" s="1405">
        <f t="shared" si="111"/>
        <v>1</v>
      </c>
      <c r="L441" s="1411"/>
      <c r="M441" s="1405">
        <f t="shared" si="112"/>
        <v>1</v>
      </c>
      <c r="N441" s="1411"/>
      <c r="O441" s="1405">
        <f t="shared" si="113"/>
        <v>1</v>
      </c>
      <c r="P441" s="1411"/>
      <c r="Q441" s="1405">
        <f t="shared" si="114"/>
        <v>0</v>
      </c>
      <c r="R441" s="1476">
        <f t="shared" si="119"/>
        <v>0</v>
      </c>
      <c r="S441" s="1358">
        <f t="shared" si="120"/>
        <v>0</v>
      </c>
      <c r="T441" s="1485">
        <f t="shared" si="121"/>
        <v>0</v>
      </c>
      <c r="U441" s="1483">
        <f t="shared" si="115"/>
        <v>0</v>
      </c>
      <c r="V441" s="1483">
        <f t="shared" si="116"/>
        <v>0</v>
      </c>
      <c r="W441" s="1486"/>
      <c r="X441" s="1483">
        <f t="shared" si="117"/>
        <v>0</v>
      </c>
      <c r="Y441" s="1483">
        <f t="shared" si="118"/>
        <v>0</v>
      </c>
      <c r="Z441" s="1486"/>
    </row>
    <row r="442" spans="1:26">
      <c r="A442" s="1414"/>
      <c r="B442" s="1415"/>
      <c r="C442" s="1405">
        <f t="shared" si="107"/>
        <v>1</v>
      </c>
      <c r="D442" s="1411"/>
      <c r="E442" s="1405">
        <f t="shared" si="108"/>
        <v>0</v>
      </c>
      <c r="F442" s="1411"/>
      <c r="G442" s="1405">
        <f t="shared" si="109"/>
        <v>1</v>
      </c>
      <c r="H442" s="1411"/>
      <c r="I442" s="1405">
        <f t="shared" si="110"/>
        <v>1</v>
      </c>
      <c r="J442" s="1411"/>
      <c r="K442" s="1405">
        <f t="shared" si="111"/>
        <v>1</v>
      </c>
      <c r="L442" s="1411"/>
      <c r="M442" s="1405">
        <f t="shared" si="112"/>
        <v>1</v>
      </c>
      <c r="N442" s="1411"/>
      <c r="O442" s="1405">
        <f t="shared" si="113"/>
        <v>1</v>
      </c>
      <c r="P442" s="1411"/>
      <c r="Q442" s="1405">
        <f t="shared" si="114"/>
        <v>0</v>
      </c>
      <c r="R442" s="1476">
        <f t="shared" si="119"/>
        <v>0</v>
      </c>
      <c r="S442" s="1358">
        <f t="shared" si="120"/>
        <v>0</v>
      </c>
      <c r="T442" s="1485">
        <f t="shared" si="121"/>
        <v>0</v>
      </c>
      <c r="U442" s="1483">
        <f t="shared" si="115"/>
        <v>0</v>
      </c>
      <c r="V442" s="1483">
        <f t="shared" si="116"/>
        <v>0</v>
      </c>
      <c r="W442" s="1486"/>
      <c r="X442" s="1483">
        <f t="shared" si="117"/>
        <v>0</v>
      </c>
      <c r="Y442" s="1483">
        <f t="shared" si="118"/>
        <v>0</v>
      </c>
      <c r="Z442" s="1486"/>
    </row>
    <row r="443" spans="1:26">
      <c r="A443" s="1414"/>
      <c r="B443" s="1415"/>
      <c r="C443" s="1405">
        <f t="shared" si="107"/>
        <v>1</v>
      </c>
      <c r="D443" s="1411"/>
      <c r="E443" s="1405">
        <f t="shared" si="108"/>
        <v>0</v>
      </c>
      <c r="F443" s="1411"/>
      <c r="G443" s="1405">
        <f t="shared" si="109"/>
        <v>1</v>
      </c>
      <c r="H443" s="1411"/>
      <c r="I443" s="1405">
        <f t="shared" si="110"/>
        <v>1</v>
      </c>
      <c r="J443" s="1411"/>
      <c r="K443" s="1405">
        <f t="shared" si="111"/>
        <v>1</v>
      </c>
      <c r="L443" s="1411"/>
      <c r="M443" s="1405">
        <f t="shared" si="112"/>
        <v>1</v>
      </c>
      <c r="N443" s="1411"/>
      <c r="O443" s="1405">
        <f t="shared" si="113"/>
        <v>1</v>
      </c>
      <c r="P443" s="1411"/>
      <c r="Q443" s="1405">
        <f t="shared" si="114"/>
        <v>0</v>
      </c>
      <c r="R443" s="1476">
        <f t="shared" si="119"/>
        <v>0</v>
      </c>
      <c r="S443" s="1358">
        <f t="shared" si="120"/>
        <v>0</v>
      </c>
      <c r="T443" s="1485">
        <f t="shared" si="121"/>
        <v>0</v>
      </c>
      <c r="U443" s="1483">
        <f t="shared" si="115"/>
        <v>0</v>
      </c>
      <c r="V443" s="1483">
        <f t="shared" si="116"/>
        <v>0</v>
      </c>
      <c r="W443" s="1486"/>
      <c r="X443" s="1483">
        <f t="shared" si="117"/>
        <v>0</v>
      </c>
      <c r="Y443" s="1483">
        <f t="shared" si="118"/>
        <v>0</v>
      </c>
      <c r="Z443" s="1486"/>
    </row>
    <row r="444" spans="1:26">
      <c r="A444" s="1414"/>
      <c r="B444" s="1415"/>
      <c r="C444" s="1405">
        <f t="shared" si="107"/>
        <v>1</v>
      </c>
      <c r="D444" s="1411"/>
      <c r="E444" s="1405">
        <f t="shared" si="108"/>
        <v>0</v>
      </c>
      <c r="F444" s="1411"/>
      <c r="G444" s="1405">
        <f t="shared" si="109"/>
        <v>1</v>
      </c>
      <c r="H444" s="1411"/>
      <c r="I444" s="1405">
        <f t="shared" si="110"/>
        <v>1</v>
      </c>
      <c r="J444" s="1411"/>
      <c r="K444" s="1405">
        <f t="shared" si="111"/>
        <v>1</v>
      </c>
      <c r="L444" s="1411"/>
      <c r="M444" s="1405">
        <f t="shared" si="112"/>
        <v>1</v>
      </c>
      <c r="N444" s="1411"/>
      <c r="O444" s="1405">
        <f t="shared" si="113"/>
        <v>1</v>
      </c>
      <c r="P444" s="1411"/>
      <c r="Q444" s="1405">
        <f t="shared" si="114"/>
        <v>0</v>
      </c>
      <c r="R444" s="1476">
        <f t="shared" si="119"/>
        <v>0</v>
      </c>
      <c r="S444" s="1358">
        <f t="shared" si="120"/>
        <v>0</v>
      </c>
      <c r="T444" s="1485">
        <f t="shared" si="121"/>
        <v>0</v>
      </c>
      <c r="U444" s="1483">
        <f t="shared" si="115"/>
        <v>0</v>
      </c>
      <c r="V444" s="1483">
        <f t="shared" si="116"/>
        <v>0</v>
      </c>
      <c r="W444" s="1486"/>
      <c r="X444" s="1483">
        <f t="shared" si="117"/>
        <v>0</v>
      </c>
      <c r="Y444" s="1483">
        <f t="shared" si="118"/>
        <v>0</v>
      </c>
      <c r="Z444" s="1486"/>
    </row>
    <row r="445" spans="1:26">
      <c r="A445" s="1414"/>
      <c r="B445" s="1415"/>
      <c r="C445" s="1405">
        <f t="shared" si="107"/>
        <v>1</v>
      </c>
      <c r="D445" s="1411"/>
      <c r="E445" s="1405">
        <f t="shared" si="108"/>
        <v>0</v>
      </c>
      <c r="F445" s="1411"/>
      <c r="G445" s="1405">
        <f t="shared" si="109"/>
        <v>1</v>
      </c>
      <c r="H445" s="1411"/>
      <c r="I445" s="1405">
        <f t="shared" si="110"/>
        <v>1</v>
      </c>
      <c r="J445" s="1411"/>
      <c r="K445" s="1405">
        <f t="shared" si="111"/>
        <v>1</v>
      </c>
      <c r="L445" s="1411"/>
      <c r="M445" s="1405">
        <f t="shared" si="112"/>
        <v>1</v>
      </c>
      <c r="N445" s="1411"/>
      <c r="O445" s="1405">
        <f t="shared" si="113"/>
        <v>1</v>
      </c>
      <c r="P445" s="1411"/>
      <c r="Q445" s="1405">
        <f t="shared" si="114"/>
        <v>0</v>
      </c>
      <c r="R445" s="1476">
        <f t="shared" si="119"/>
        <v>0</v>
      </c>
      <c r="S445" s="1358">
        <f t="shared" si="120"/>
        <v>0</v>
      </c>
      <c r="T445" s="1485">
        <f t="shared" si="121"/>
        <v>0</v>
      </c>
      <c r="U445" s="1483">
        <f t="shared" si="115"/>
        <v>0</v>
      </c>
      <c r="V445" s="1483">
        <f t="shared" si="116"/>
        <v>0</v>
      </c>
      <c r="W445" s="1486"/>
      <c r="X445" s="1483">
        <f t="shared" si="117"/>
        <v>0</v>
      </c>
      <c r="Y445" s="1483">
        <f t="shared" si="118"/>
        <v>0</v>
      </c>
      <c r="Z445" s="1486"/>
    </row>
    <row r="446" spans="1:26">
      <c r="A446" s="1414"/>
      <c r="B446" s="1415"/>
      <c r="C446" s="1405">
        <f t="shared" si="107"/>
        <v>1</v>
      </c>
      <c r="D446" s="1411"/>
      <c r="E446" s="1405">
        <f t="shared" si="108"/>
        <v>0</v>
      </c>
      <c r="F446" s="1411"/>
      <c r="G446" s="1405">
        <f t="shared" si="109"/>
        <v>1</v>
      </c>
      <c r="H446" s="1411"/>
      <c r="I446" s="1405">
        <f t="shared" si="110"/>
        <v>1</v>
      </c>
      <c r="J446" s="1411"/>
      <c r="K446" s="1405">
        <f t="shared" si="111"/>
        <v>1</v>
      </c>
      <c r="L446" s="1411"/>
      <c r="M446" s="1405">
        <f t="shared" si="112"/>
        <v>1</v>
      </c>
      <c r="N446" s="1411"/>
      <c r="O446" s="1405">
        <f t="shared" si="113"/>
        <v>1</v>
      </c>
      <c r="P446" s="1411"/>
      <c r="Q446" s="1405">
        <f t="shared" si="114"/>
        <v>0</v>
      </c>
      <c r="R446" s="1476">
        <f t="shared" si="119"/>
        <v>0</v>
      </c>
      <c r="S446" s="1358">
        <f t="shared" si="120"/>
        <v>0</v>
      </c>
      <c r="T446" s="1485">
        <f t="shared" si="121"/>
        <v>0</v>
      </c>
      <c r="U446" s="1483">
        <f t="shared" si="115"/>
        <v>0</v>
      </c>
      <c r="V446" s="1483">
        <f t="shared" si="116"/>
        <v>0</v>
      </c>
      <c r="W446" s="1486"/>
      <c r="X446" s="1483">
        <f t="shared" si="117"/>
        <v>0</v>
      </c>
      <c r="Y446" s="1483">
        <f t="shared" si="118"/>
        <v>0</v>
      </c>
      <c r="Z446" s="1486"/>
    </row>
    <row r="447" spans="1:26">
      <c r="A447" s="1414"/>
      <c r="B447" s="1415"/>
      <c r="C447" s="1405">
        <f t="shared" si="107"/>
        <v>1</v>
      </c>
      <c r="D447" s="1411"/>
      <c r="E447" s="1405">
        <f t="shared" si="108"/>
        <v>0</v>
      </c>
      <c r="F447" s="1411"/>
      <c r="G447" s="1405">
        <f t="shared" si="109"/>
        <v>1</v>
      </c>
      <c r="H447" s="1411"/>
      <c r="I447" s="1405">
        <f t="shared" si="110"/>
        <v>1</v>
      </c>
      <c r="J447" s="1411"/>
      <c r="K447" s="1405">
        <f t="shared" si="111"/>
        <v>1</v>
      </c>
      <c r="L447" s="1411"/>
      <c r="M447" s="1405">
        <f t="shared" si="112"/>
        <v>1</v>
      </c>
      <c r="N447" s="1411"/>
      <c r="O447" s="1405">
        <f t="shared" si="113"/>
        <v>1</v>
      </c>
      <c r="P447" s="1411"/>
      <c r="Q447" s="1405">
        <f t="shared" si="114"/>
        <v>0</v>
      </c>
      <c r="R447" s="1476">
        <f t="shared" si="119"/>
        <v>0</v>
      </c>
      <c r="S447" s="1358">
        <f t="shared" si="120"/>
        <v>0</v>
      </c>
      <c r="T447" s="1485">
        <f t="shared" si="121"/>
        <v>0</v>
      </c>
      <c r="U447" s="1483">
        <f t="shared" si="115"/>
        <v>0</v>
      </c>
      <c r="V447" s="1483">
        <f t="shared" si="116"/>
        <v>0</v>
      </c>
      <c r="W447" s="1486"/>
      <c r="X447" s="1483">
        <f t="shared" si="117"/>
        <v>0</v>
      </c>
      <c r="Y447" s="1483">
        <f t="shared" si="118"/>
        <v>0</v>
      </c>
      <c r="Z447" s="1486"/>
    </row>
    <row r="448" spans="1:26">
      <c r="A448" s="1414"/>
      <c r="B448" s="1415"/>
      <c r="C448" s="1405">
        <f t="shared" si="107"/>
        <v>1</v>
      </c>
      <c r="D448" s="1411"/>
      <c r="E448" s="1405">
        <f t="shared" si="108"/>
        <v>0</v>
      </c>
      <c r="F448" s="1411"/>
      <c r="G448" s="1405">
        <f t="shared" si="109"/>
        <v>1</v>
      </c>
      <c r="H448" s="1411"/>
      <c r="I448" s="1405">
        <f t="shared" si="110"/>
        <v>1</v>
      </c>
      <c r="J448" s="1411"/>
      <c r="K448" s="1405">
        <f t="shared" si="111"/>
        <v>1</v>
      </c>
      <c r="L448" s="1411"/>
      <c r="M448" s="1405">
        <f t="shared" si="112"/>
        <v>1</v>
      </c>
      <c r="N448" s="1411"/>
      <c r="O448" s="1405">
        <f t="shared" si="113"/>
        <v>1</v>
      </c>
      <c r="P448" s="1411"/>
      <c r="Q448" s="1405">
        <f t="shared" si="114"/>
        <v>0</v>
      </c>
      <c r="R448" s="1476">
        <f t="shared" si="119"/>
        <v>0</v>
      </c>
      <c r="S448" s="1358">
        <f t="shared" si="120"/>
        <v>0</v>
      </c>
      <c r="T448" s="1485">
        <f t="shared" si="121"/>
        <v>0</v>
      </c>
      <c r="U448" s="1483">
        <f t="shared" si="115"/>
        <v>0</v>
      </c>
      <c r="V448" s="1483">
        <f t="shared" si="116"/>
        <v>0</v>
      </c>
      <c r="W448" s="1486"/>
      <c r="X448" s="1483">
        <f t="shared" si="117"/>
        <v>0</v>
      </c>
      <c r="Y448" s="1483">
        <f t="shared" si="118"/>
        <v>0</v>
      </c>
      <c r="Z448" s="1486"/>
    </row>
    <row r="449" spans="1:26">
      <c r="A449" s="1414"/>
      <c r="B449" s="1415"/>
      <c r="C449" s="1405">
        <f t="shared" si="107"/>
        <v>1</v>
      </c>
      <c r="D449" s="1411"/>
      <c r="E449" s="1405">
        <f t="shared" si="108"/>
        <v>0</v>
      </c>
      <c r="F449" s="1411"/>
      <c r="G449" s="1405">
        <f t="shared" si="109"/>
        <v>1</v>
      </c>
      <c r="H449" s="1411"/>
      <c r="I449" s="1405">
        <f t="shared" si="110"/>
        <v>1</v>
      </c>
      <c r="J449" s="1411"/>
      <c r="K449" s="1405">
        <f t="shared" si="111"/>
        <v>1</v>
      </c>
      <c r="L449" s="1411"/>
      <c r="M449" s="1405">
        <f t="shared" si="112"/>
        <v>1</v>
      </c>
      <c r="N449" s="1411"/>
      <c r="O449" s="1405">
        <f t="shared" si="113"/>
        <v>1</v>
      </c>
      <c r="P449" s="1411"/>
      <c r="Q449" s="1405">
        <f t="shared" si="114"/>
        <v>0</v>
      </c>
      <c r="R449" s="1476">
        <f t="shared" si="119"/>
        <v>0</v>
      </c>
      <c r="S449" s="1358">
        <f t="shared" si="120"/>
        <v>0</v>
      </c>
      <c r="T449" s="1485">
        <f t="shared" si="121"/>
        <v>0</v>
      </c>
      <c r="U449" s="1483">
        <f t="shared" si="115"/>
        <v>0</v>
      </c>
      <c r="V449" s="1483">
        <f t="shared" si="116"/>
        <v>0</v>
      </c>
      <c r="W449" s="1486"/>
      <c r="X449" s="1483">
        <f t="shared" si="117"/>
        <v>0</v>
      </c>
      <c r="Y449" s="1483">
        <f t="shared" si="118"/>
        <v>0</v>
      </c>
      <c r="Z449" s="1486"/>
    </row>
    <row r="450" spans="1:26">
      <c r="A450" s="1414"/>
      <c r="B450" s="1415"/>
      <c r="C450" s="1405">
        <f t="shared" si="107"/>
        <v>1</v>
      </c>
      <c r="D450" s="1411"/>
      <c r="E450" s="1405">
        <f t="shared" si="108"/>
        <v>0</v>
      </c>
      <c r="F450" s="1411"/>
      <c r="G450" s="1405">
        <f t="shared" si="109"/>
        <v>1</v>
      </c>
      <c r="H450" s="1411"/>
      <c r="I450" s="1405">
        <f t="shared" si="110"/>
        <v>1</v>
      </c>
      <c r="J450" s="1411"/>
      <c r="K450" s="1405">
        <f t="shared" si="111"/>
        <v>1</v>
      </c>
      <c r="L450" s="1411"/>
      <c r="M450" s="1405">
        <f t="shared" si="112"/>
        <v>1</v>
      </c>
      <c r="N450" s="1411"/>
      <c r="O450" s="1405">
        <f t="shared" si="113"/>
        <v>1</v>
      </c>
      <c r="P450" s="1411"/>
      <c r="Q450" s="1405">
        <f t="shared" si="114"/>
        <v>0</v>
      </c>
      <c r="R450" s="1476">
        <f t="shared" si="119"/>
        <v>0</v>
      </c>
      <c r="S450" s="1358">
        <f t="shared" si="120"/>
        <v>0</v>
      </c>
      <c r="T450" s="1485">
        <f t="shared" si="121"/>
        <v>0</v>
      </c>
      <c r="U450" s="1483">
        <f t="shared" si="115"/>
        <v>0</v>
      </c>
      <c r="V450" s="1483">
        <f t="shared" si="116"/>
        <v>0</v>
      </c>
      <c r="W450" s="1486"/>
      <c r="X450" s="1483">
        <f t="shared" si="117"/>
        <v>0</v>
      </c>
      <c r="Y450" s="1483">
        <f t="shared" si="118"/>
        <v>0</v>
      </c>
      <c r="Z450" s="1486"/>
    </row>
    <row r="451" spans="1:26">
      <c r="A451" s="1414"/>
      <c r="B451" s="1415"/>
      <c r="C451" s="1405">
        <f t="shared" si="107"/>
        <v>1</v>
      </c>
      <c r="D451" s="1411"/>
      <c r="E451" s="1405">
        <f t="shared" si="108"/>
        <v>0</v>
      </c>
      <c r="F451" s="1411"/>
      <c r="G451" s="1405">
        <f t="shared" si="109"/>
        <v>1</v>
      </c>
      <c r="H451" s="1411"/>
      <c r="I451" s="1405">
        <f t="shared" si="110"/>
        <v>1</v>
      </c>
      <c r="J451" s="1411"/>
      <c r="K451" s="1405">
        <f t="shared" si="111"/>
        <v>1</v>
      </c>
      <c r="L451" s="1411"/>
      <c r="M451" s="1405">
        <f t="shared" si="112"/>
        <v>1</v>
      </c>
      <c r="N451" s="1411"/>
      <c r="O451" s="1405">
        <f t="shared" si="113"/>
        <v>1</v>
      </c>
      <c r="P451" s="1411"/>
      <c r="Q451" s="1405">
        <f t="shared" si="114"/>
        <v>0</v>
      </c>
      <c r="R451" s="1476">
        <f t="shared" si="119"/>
        <v>0</v>
      </c>
      <c r="S451" s="1358">
        <f t="shared" si="120"/>
        <v>0</v>
      </c>
      <c r="T451" s="1485">
        <f t="shared" si="121"/>
        <v>0</v>
      </c>
      <c r="U451" s="1483">
        <f t="shared" si="115"/>
        <v>0</v>
      </c>
      <c r="V451" s="1483">
        <f t="shared" si="116"/>
        <v>0</v>
      </c>
      <c r="W451" s="1486"/>
      <c r="X451" s="1483">
        <f t="shared" si="117"/>
        <v>0</v>
      </c>
      <c r="Y451" s="1483">
        <f t="shared" si="118"/>
        <v>0</v>
      </c>
      <c r="Z451" s="1486"/>
    </row>
    <row r="452" spans="1:26">
      <c r="A452" s="1414"/>
      <c r="B452" s="1415"/>
      <c r="C452" s="1405">
        <f t="shared" si="107"/>
        <v>1</v>
      </c>
      <c r="D452" s="1411"/>
      <c r="E452" s="1405">
        <f t="shared" si="108"/>
        <v>0</v>
      </c>
      <c r="F452" s="1411"/>
      <c r="G452" s="1405">
        <f t="shared" si="109"/>
        <v>1</v>
      </c>
      <c r="H452" s="1411"/>
      <c r="I452" s="1405">
        <f t="shared" si="110"/>
        <v>1</v>
      </c>
      <c r="J452" s="1411"/>
      <c r="K452" s="1405">
        <f t="shared" si="111"/>
        <v>1</v>
      </c>
      <c r="L452" s="1411"/>
      <c r="M452" s="1405">
        <f t="shared" si="112"/>
        <v>1</v>
      </c>
      <c r="N452" s="1411"/>
      <c r="O452" s="1405">
        <f t="shared" si="113"/>
        <v>1</v>
      </c>
      <c r="P452" s="1411"/>
      <c r="Q452" s="1405">
        <f t="shared" si="114"/>
        <v>0</v>
      </c>
      <c r="R452" s="1476">
        <f t="shared" si="119"/>
        <v>0</v>
      </c>
      <c r="S452" s="1358">
        <f t="shared" si="120"/>
        <v>0</v>
      </c>
      <c r="T452" s="1485">
        <f t="shared" si="121"/>
        <v>0</v>
      </c>
      <c r="U452" s="1483">
        <f t="shared" si="115"/>
        <v>0</v>
      </c>
      <c r="V452" s="1483">
        <f t="shared" si="116"/>
        <v>0</v>
      </c>
      <c r="W452" s="1486"/>
      <c r="X452" s="1483">
        <f t="shared" si="117"/>
        <v>0</v>
      </c>
      <c r="Y452" s="1483">
        <f t="shared" si="118"/>
        <v>0</v>
      </c>
      <c r="Z452" s="1486"/>
    </row>
    <row r="453" spans="1:26">
      <c r="A453" s="1414"/>
      <c r="B453" s="1415"/>
      <c r="C453" s="1405">
        <f t="shared" si="107"/>
        <v>1</v>
      </c>
      <c r="D453" s="1411"/>
      <c r="E453" s="1405">
        <f t="shared" si="108"/>
        <v>0</v>
      </c>
      <c r="F453" s="1411"/>
      <c r="G453" s="1405">
        <f t="shared" si="109"/>
        <v>1</v>
      </c>
      <c r="H453" s="1411"/>
      <c r="I453" s="1405">
        <f t="shared" si="110"/>
        <v>1</v>
      </c>
      <c r="J453" s="1411"/>
      <c r="K453" s="1405">
        <f t="shared" si="111"/>
        <v>1</v>
      </c>
      <c r="L453" s="1411"/>
      <c r="M453" s="1405">
        <f t="shared" si="112"/>
        <v>1</v>
      </c>
      <c r="N453" s="1411"/>
      <c r="O453" s="1405">
        <f t="shared" si="113"/>
        <v>1</v>
      </c>
      <c r="P453" s="1411"/>
      <c r="Q453" s="1405">
        <f t="shared" si="114"/>
        <v>0</v>
      </c>
      <c r="R453" s="1476">
        <f t="shared" si="119"/>
        <v>0</v>
      </c>
      <c r="S453" s="1358">
        <f t="shared" si="120"/>
        <v>0</v>
      </c>
      <c r="T453" s="1485">
        <f t="shared" si="121"/>
        <v>0</v>
      </c>
      <c r="U453" s="1483">
        <f t="shared" si="115"/>
        <v>0</v>
      </c>
      <c r="V453" s="1483">
        <f t="shared" si="116"/>
        <v>0</v>
      </c>
      <c r="W453" s="1486"/>
      <c r="X453" s="1483">
        <f t="shared" si="117"/>
        <v>0</v>
      </c>
      <c r="Y453" s="1483">
        <f t="shared" si="118"/>
        <v>0</v>
      </c>
      <c r="Z453" s="1486"/>
    </row>
    <row r="454" spans="1:26">
      <c r="A454" s="1414"/>
      <c r="B454" s="1415"/>
      <c r="C454" s="1405">
        <f t="shared" si="107"/>
        <v>1</v>
      </c>
      <c r="D454" s="1411"/>
      <c r="E454" s="1405">
        <f t="shared" si="108"/>
        <v>0</v>
      </c>
      <c r="F454" s="1411"/>
      <c r="G454" s="1405">
        <f t="shared" si="109"/>
        <v>1</v>
      </c>
      <c r="H454" s="1411"/>
      <c r="I454" s="1405">
        <f t="shared" si="110"/>
        <v>1</v>
      </c>
      <c r="J454" s="1411"/>
      <c r="K454" s="1405">
        <f t="shared" si="111"/>
        <v>1</v>
      </c>
      <c r="L454" s="1411"/>
      <c r="M454" s="1405">
        <f t="shared" si="112"/>
        <v>1</v>
      </c>
      <c r="N454" s="1411"/>
      <c r="O454" s="1405">
        <f t="shared" si="113"/>
        <v>1</v>
      </c>
      <c r="P454" s="1411"/>
      <c r="Q454" s="1405">
        <f t="shared" si="114"/>
        <v>0</v>
      </c>
      <c r="R454" s="1476">
        <f t="shared" si="119"/>
        <v>0</v>
      </c>
      <c r="S454" s="1358">
        <f t="shared" si="120"/>
        <v>0</v>
      </c>
      <c r="T454" s="1485">
        <f t="shared" si="121"/>
        <v>0</v>
      </c>
      <c r="U454" s="1483">
        <f t="shared" si="115"/>
        <v>0</v>
      </c>
      <c r="V454" s="1483">
        <f t="shared" si="116"/>
        <v>0</v>
      </c>
      <c r="W454" s="1486"/>
      <c r="X454" s="1483">
        <f t="shared" si="117"/>
        <v>0</v>
      </c>
      <c r="Y454" s="1483">
        <f t="shared" si="118"/>
        <v>0</v>
      </c>
      <c r="Z454" s="1486"/>
    </row>
    <row r="455" spans="1:26">
      <c r="A455" s="1414"/>
      <c r="B455" s="1415"/>
      <c r="C455" s="1405">
        <f t="shared" si="107"/>
        <v>1</v>
      </c>
      <c r="D455" s="1411"/>
      <c r="E455" s="1405">
        <f t="shared" si="108"/>
        <v>0</v>
      </c>
      <c r="F455" s="1411"/>
      <c r="G455" s="1405">
        <f t="shared" si="109"/>
        <v>1</v>
      </c>
      <c r="H455" s="1411"/>
      <c r="I455" s="1405">
        <f t="shared" si="110"/>
        <v>1</v>
      </c>
      <c r="J455" s="1411"/>
      <c r="K455" s="1405">
        <f t="shared" si="111"/>
        <v>1</v>
      </c>
      <c r="L455" s="1411"/>
      <c r="M455" s="1405">
        <f t="shared" si="112"/>
        <v>1</v>
      </c>
      <c r="N455" s="1411"/>
      <c r="O455" s="1405">
        <f t="shared" si="113"/>
        <v>1</v>
      </c>
      <c r="P455" s="1411"/>
      <c r="Q455" s="1405">
        <f t="shared" si="114"/>
        <v>0</v>
      </c>
      <c r="R455" s="1476">
        <f t="shared" si="119"/>
        <v>0</v>
      </c>
      <c r="S455" s="1358">
        <f t="shared" si="120"/>
        <v>0</v>
      </c>
      <c r="T455" s="1485">
        <f t="shared" si="121"/>
        <v>0</v>
      </c>
      <c r="U455" s="1483">
        <f t="shared" si="115"/>
        <v>0</v>
      </c>
      <c r="V455" s="1483">
        <f t="shared" si="116"/>
        <v>0</v>
      </c>
      <c r="W455" s="1486"/>
      <c r="X455" s="1483">
        <f t="shared" si="117"/>
        <v>0</v>
      </c>
      <c r="Y455" s="1483">
        <f t="shared" si="118"/>
        <v>0</v>
      </c>
      <c r="Z455" s="1486"/>
    </row>
    <row r="456" spans="1:26">
      <c r="A456" s="1414"/>
      <c r="B456" s="1415"/>
      <c r="C456" s="1405">
        <f t="shared" si="107"/>
        <v>1</v>
      </c>
      <c r="D456" s="1411"/>
      <c r="E456" s="1405">
        <f t="shared" si="108"/>
        <v>0</v>
      </c>
      <c r="F456" s="1411"/>
      <c r="G456" s="1405">
        <f t="shared" si="109"/>
        <v>1</v>
      </c>
      <c r="H456" s="1411"/>
      <c r="I456" s="1405">
        <f t="shared" si="110"/>
        <v>1</v>
      </c>
      <c r="J456" s="1411"/>
      <c r="K456" s="1405">
        <f t="shared" si="111"/>
        <v>1</v>
      </c>
      <c r="L456" s="1411"/>
      <c r="M456" s="1405">
        <f t="shared" si="112"/>
        <v>1</v>
      </c>
      <c r="N456" s="1411"/>
      <c r="O456" s="1405">
        <f t="shared" si="113"/>
        <v>1</v>
      </c>
      <c r="P456" s="1411"/>
      <c r="Q456" s="1405">
        <f t="shared" si="114"/>
        <v>0</v>
      </c>
      <c r="R456" s="1476">
        <f t="shared" si="119"/>
        <v>0</v>
      </c>
      <c r="S456" s="1358">
        <f t="shared" si="120"/>
        <v>0</v>
      </c>
      <c r="T456" s="1485">
        <f t="shared" si="121"/>
        <v>0</v>
      </c>
      <c r="U456" s="1483">
        <f t="shared" si="115"/>
        <v>0</v>
      </c>
      <c r="V456" s="1483">
        <f t="shared" si="116"/>
        <v>0</v>
      </c>
      <c r="W456" s="1486"/>
      <c r="X456" s="1483">
        <f t="shared" si="117"/>
        <v>0</v>
      </c>
      <c r="Y456" s="1483">
        <f t="shared" si="118"/>
        <v>0</v>
      </c>
      <c r="Z456" s="1486"/>
    </row>
    <row r="457" spans="1:26">
      <c r="A457" s="1414"/>
      <c r="B457" s="1415"/>
      <c r="C457" s="1405">
        <f t="shared" si="107"/>
        <v>1</v>
      </c>
      <c r="D457" s="1411"/>
      <c r="E457" s="1405">
        <f t="shared" si="108"/>
        <v>0</v>
      </c>
      <c r="F457" s="1411"/>
      <c r="G457" s="1405">
        <f t="shared" si="109"/>
        <v>1</v>
      </c>
      <c r="H457" s="1411"/>
      <c r="I457" s="1405">
        <f t="shared" si="110"/>
        <v>1</v>
      </c>
      <c r="J457" s="1411"/>
      <c r="K457" s="1405">
        <f t="shared" si="111"/>
        <v>1</v>
      </c>
      <c r="L457" s="1411"/>
      <c r="M457" s="1405">
        <f t="shared" si="112"/>
        <v>1</v>
      </c>
      <c r="N457" s="1411"/>
      <c r="O457" s="1405">
        <f t="shared" si="113"/>
        <v>1</v>
      </c>
      <c r="P457" s="1411"/>
      <c r="Q457" s="1405">
        <f t="shared" si="114"/>
        <v>0</v>
      </c>
      <c r="R457" s="1476">
        <f t="shared" si="119"/>
        <v>0</v>
      </c>
      <c r="S457" s="1358">
        <f t="shared" si="120"/>
        <v>0</v>
      </c>
      <c r="T457" s="1485">
        <f t="shared" si="121"/>
        <v>0</v>
      </c>
      <c r="U457" s="1483">
        <f t="shared" si="115"/>
        <v>0</v>
      </c>
      <c r="V457" s="1483">
        <f t="shared" si="116"/>
        <v>0</v>
      </c>
      <c r="W457" s="1486"/>
      <c r="X457" s="1483">
        <f t="shared" si="117"/>
        <v>0</v>
      </c>
      <c r="Y457" s="1483">
        <f t="shared" si="118"/>
        <v>0</v>
      </c>
      <c r="Z457" s="1486"/>
    </row>
    <row r="458" spans="1:26">
      <c r="A458" s="1414"/>
      <c r="B458" s="1415"/>
      <c r="C458" s="1405">
        <f t="shared" si="107"/>
        <v>1</v>
      </c>
      <c r="D458" s="1411"/>
      <c r="E458" s="1405">
        <f t="shared" si="108"/>
        <v>0</v>
      </c>
      <c r="F458" s="1411"/>
      <c r="G458" s="1405">
        <f t="shared" si="109"/>
        <v>1</v>
      </c>
      <c r="H458" s="1411"/>
      <c r="I458" s="1405">
        <f t="shared" si="110"/>
        <v>1</v>
      </c>
      <c r="J458" s="1411"/>
      <c r="K458" s="1405">
        <f t="shared" si="111"/>
        <v>1</v>
      </c>
      <c r="L458" s="1411"/>
      <c r="M458" s="1405">
        <f t="shared" si="112"/>
        <v>1</v>
      </c>
      <c r="N458" s="1411"/>
      <c r="O458" s="1405">
        <f t="shared" si="113"/>
        <v>1</v>
      </c>
      <c r="P458" s="1411"/>
      <c r="Q458" s="1405">
        <f t="shared" si="114"/>
        <v>0</v>
      </c>
      <c r="R458" s="1476">
        <f t="shared" si="119"/>
        <v>0</v>
      </c>
      <c r="S458" s="1358">
        <f t="shared" si="120"/>
        <v>0</v>
      </c>
      <c r="T458" s="1485">
        <f t="shared" si="121"/>
        <v>0</v>
      </c>
      <c r="U458" s="1483">
        <f t="shared" si="115"/>
        <v>0</v>
      </c>
      <c r="V458" s="1483">
        <f t="shared" si="116"/>
        <v>0</v>
      </c>
      <c r="W458" s="1486"/>
      <c r="X458" s="1483">
        <f t="shared" si="117"/>
        <v>0</v>
      </c>
      <c r="Y458" s="1483">
        <f t="shared" si="118"/>
        <v>0</v>
      </c>
      <c r="Z458" s="1486"/>
    </row>
    <row r="459" spans="1:26">
      <c r="A459" s="1414"/>
      <c r="B459" s="1415"/>
      <c r="C459" s="1405">
        <f t="shared" si="107"/>
        <v>1</v>
      </c>
      <c r="D459" s="1411"/>
      <c r="E459" s="1405">
        <f t="shared" si="108"/>
        <v>0</v>
      </c>
      <c r="F459" s="1411"/>
      <c r="G459" s="1405">
        <f t="shared" si="109"/>
        <v>1</v>
      </c>
      <c r="H459" s="1411"/>
      <c r="I459" s="1405">
        <f t="shared" si="110"/>
        <v>1</v>
      </c>
      <c r="J459" s="1411"/>
      <c r="K459" s="1405">
        <f t="shared" si="111"/>
        <v>1</v>
      </c>
      <c r="L459" s="1411"/>
      <c r="M459" s="1405">
        <f t="shared" si="112"/>
        <v>1</v>
      </c>
      <c r="N459" s="1411"/>
      <c r="O459" s="1405">
        <f t="shared" si="113"/>
        <v>1</v>
      </c>
      <c r="P459" s="1411"/>
      <c r="Q459" s="1405">
        <f t="shared" si="114"/>
        <v>0</v>
      </c>
      <c r="R459" s="1476">
        <f t="shared" si="119"/>
        <v>0</v>
      </c>
      <c r="S459" s="1358">
        <f t="shared" si="120"/>
        <v>0</v>
      </c>
      <c r="T459" s="1485">
        <f t="shared" si="121"/>
        <v>0</v>
      </c>
      <c r="U459" s="1483">
        <f t="shared" si="115"/>
        <v>0</v>
      </c>
      <c r="V459" s="1483">
        <f t="shared" si="116"/>
        <v>0</v>
      </c>
      <c r="W459" s="1486"/>
      <c r="X459" s="1483">
        <f t="shared" si="117"/>
        <v>0</v>
      </c>
      <c r="Y459" s="1483">
        <f t="shared" si="118"/>
        <v>0</v>
      </c>
      <c r="Z459" s="1486"/>
    </row>
    <row r="460" spans="1:26">
      <c r="A460" s="1414"/>
      <c r="B460" s="1415"/>
      <c r="C460" s="1405">
        <f t="shared" si="107"/>
        <v>1</v>
      </c>
      <c r="D460" s="1411"/>
      <c r="E460" s="1405">
        <f t="shared" si="108"/>
        <v>0</v>
      </c>
      <c r="F460" s="1411"/>
      <c r="G460" s="1405">
        <f t="shared" si="109"/>
        <v>1</v>
      </c>
      <c r="H460" s="1411"/>
      <c r="I460" s="1405">
        <f t="shared" si="110"/>
        <v>1</v>
      </c>
      <c r="J460" s="1411"/>
      <c r="K460" s="1405">
        <f t="shared" si="111"/>
        <v>1</v>
      </c>
      <c r="L460" s="1411"/>
      <c r="M460" s="1405">
        <f t="shared" si="112"/>
        <v>1</v>
      </c>
      <c r="N460" s="1411"/>
      <c r="O460" s="1405">
        <f t="shared" si="113"/>
        <v>1</v>
      </c>
      <c r="P460" s="1411"/>
      <c r="Q460" s="1405">
        <f t="shared" si="114"/>
        <v>0</v>
      </c>
      <c r="R460" s="1476">
        <f t="shared" si="119"/>
        <v>0</v>
      </c>
      <c r="S460" s="1358">
        <f t="shared" si="120"/>
        <v>0</v>
      </c>
      <c r="T460" s="1485">
        <f t="shared" si="121"/>
        <v>0</v>
      </c>
      <c r="U460" s="1483">
        <f t="shared" si="115"/>
        <v>0</v>
      </c>
      <c r="V460" s="1483">
        <f t="shared" si="116"/>
        <v>0</v>
      </c>
      <c r="W460" s="1486"/>
      <c r="X460" s="1483">
        <f t="shared" si="117"/>
        <v>0</v>
      </c>
      <c r="Y460" s="1483">
        <f t="shared" si="118"/>
        <v>0</v>
      </c>
      <c r="Z460" s="1486"/>
    </row>
    <row r="461" spans="1:26">
      <c r="A461" s="1414"/>
      <c r="B461" s="1415"/>
      <c r="C461" s="1405">
        <f t="shared" si="107"/>
        <v>1</v>
      </c>
      <c r="D461" s="1411"/>
      <c r="E461" s="1405">
        <f t="shared" si="108"/>
        <v>0</v>
      </c>
      <c r="F461" s="1411"/>
      <c r="G461" s="1405">
        <f t="shared" si="109"/>
        <v>1</v>
      </c>
      <c r="H461" s="1411"/>
      <c r="I461" s="1405">
        <f t="shared" si="110"/>
        <v>1</v>
      </c>
      <c r="J461" s="1411"/>
      <c r="K461" s="1405">
        <f t="shared" si="111"/>
        <v>1</v>
      </c>
      <c r="L461" s="1411"/>
      <c r="M461" s="1405">
        <f t="shared" si="112"/>
        <v>1</v>
      </c>
      <c r="N461" s="1411"/>
      <c r="O461" s="1405">
        <f t="shared" si="113"/>
        <v>1</v>
      </c>
      <c r="P461" s="1411"/>
      <c r="Q461" s="1405">
        <f t="shared" si="114"/>
        <v>0</v>
      </c>
      <c r="R461" s="1476">
        <f t="shared" si="119"/>
        <v>0</v>
      </c>
      <c r="S461" s="1358">
        <f t="shared" si="120"/>
        <v>0</v>
      </c>
      <c r="T461" s="1485">
        <f t="shared" si="121"/>
        <v>0</v>
      </c>
      <c r="U461" s="1483">
        <f t="shared" si="115"/>
        <v>0</v>
      </c>
      <c r="V461" s="1483">
        <f t="shared" si="116"/>
        <v>0</v>
      </c>
      <c r="W461" s="1486"/>
      <c r="X461" s="1483">
        <f t="shared" si="117"/>
        <v>0</v>
      </c>
      <c r="Y461" s="1483">
        <f t="shared" si="118"/>
        <v>0</v>
      </c>
      <c r="Z461" s="1486"/>
    </row>
    <row r="462" spans="1:26">
      <c r="A462" s="1414"/>
      <c r="B462" s="1415"/>
      <c r="C462" s="1405">
        <f t="shared" si="107"/>
        <v>1</v>
      </c>
      <c r="D462" s="1411"/>
      <c r="E462" s="1405">
        <f t="shared" si="108"/>
        <v>0</v>
      </c>
      <c r="F462" s="1411"/>
      <c r="G462" s="1405">
        <f t="shared" si="109"/>
        <v>1</v>
      </c>
      <c r="H462" s="1411"/>
      <c r="I462" s="1405">
        <f t="shared" si="110"/>
        <v>1</v>
      </c>
      <c r="J462" s="1411"/>
      <c r="K462" s="1405">
        <f t="shared" si="111"/>
        <v>1</v>
      </c>
      <c r="L462" s="1411"/>
      <c r="M462" s="1405">
        <f t="shared" si="112"/>
        <v>1</v>
      </c>
      <c r="N462" s="1411"/>
      <c r="O462" s="1405">
        <f t="shared" si="113"/>
        <v>1</v>
      </c>
      <c r="P462" s="1411"/>
      <c r="Q462" s="1405">
        <f t="shared" si="114"/>
        <v>0</v>
      </c>
      <c r="R462" s="1476">
        <f t="shared" si="119"/>
        <v>0</v>
      </c>
      <c r="S462" s="1358">
        <f t="shared" si="120"/>
        <v>0</v>
      </c>
      <c r="T462" s="1485">
        <f t="shared" si="121"/>
        <v>0</v>
      </c>
      <c r="U462" s="1483">
        <f t="shared" si="115"/>
        <v>0</v>
      </c>
      <c r="V462" s="1483">
        <f t="shared" si="116"/>
        <v>0</v>
      </c>
      <c r="W462" s="1486"/>
      <c r="X462" s="1483">
        <f t="shared" si="117"/>
        <v>0</v>
      </c>
      <c r="Y462" s="1483">
        <f t="shared" si="118"/>
        <v>0</v>
      </c>
      <c r="Z462" s="1486"/>
    </row>
    <row r="463" spans="1:26">
      <c r="A463" s="1414"/>
      <c r="B463" s="1415"/>
      <c r="C463" s="1405">
        <f t="shared" si="107"/>
        <v>1</v>
      </c>
      <c r="D463" s="1411"/>
      <c r="E463" s="1405">
        <f t="shared" si="108"/>
        <v>0</v>
      </c>
      <c r="F463" s="1411"/>
      <c r="G463" s="1405">
        <f t="shared" si="109"/>
        <v>1</v>
      </c>
      <c r="H463" s="1411"/>
      <c r="I463" s="1405">
        <f t="shared" si="110"/>
        <v>1</v>
      </c>
      <c r="J463" s="1411"/>
      <c r="K463" s="1405">
        <f t="shared" si="111"/>
        <v>1</v>
      </c>
      <c r="L463" s="1411"/>
      <c r="M463" s="1405">
        <f t="shared" si="112"/>
        <v>1</v>
      </c>
      <c r="N463" s="1411"/>
      <c r="O463" s="1405">
        <f t="shared" si="113"/>
        <v>1</v>
      </c>
      <c r="P463" s="1411"/>
      <c r="Q463" s="1405">
        <f t="shared" si="114"/>
        <v>0</v>
      </c>
      <c r="R463" s="1476">
        <f t="shared" si="119"/>
        <v>0</v>
      </c>
      <c r="S463" s="1358">
        <f t="shared" si="120"/>
        <v>0</v>
      </c>
      <c r="T463" s="1485">
        <f t="shared" si="121"/>
        <v>0</v>
      </c>
      <c r="U463" s="1483">
        <f t="shared" si="115"/>
        <v>0</v>
      </c>
      <c r="V463" s="1483">
        <f t="shared" si="116"/>
        <v>0</v>
      </c>
      <c r="W463" s="1486"/>
      <c r="X463" s="1483">
        <f t="shared" si="117"/>
        <v>0</v>
      </c>
      <c r="Y463" s="1483">
        <f t="shared" si="118"/>
        <v>0</v>
      </c>
      <c r="Z463" s="1486"/>
    </row>
    <row r="464" spans="1:26">
      <c r="A464" s="1414"/>
      <c r="B464" s="1415"/>
      <c r="C464" s="1405">
        <f t="shared" si="107"/>
        <v>1</v>
      </c>
      <c r="D464" s="1411"/>
      <c r="E464" s="1405">
        <f t="shared" si="108"/>
        <v>0</v>
      </c>
      <c r="F464" s="1411"/>
      <c r="G464" s="1405">
        <f t="shared" si="109"/>
        <v>1</v>
      </c>
      <c r="H464" s="1411"/>
      <c r="I464" s="1405">
        <f t="shared" si="110"/>
        <v>1</v>
      </c>
      <c r="J464" s="1411"/>
      <c r="K464" s="1405">
        <f t="shared" si="111"/>
        <v>1</v>
      </c>
      <c r="L464" s="1411"/>
      <c r="M464" s="1405">
        <f t="shared" si="112"/>
        <v>1</v>
      </c>
      <c r="N464" s="1411"/>
      <c r="O464" s="1405">
        <f t="shared" si="113"/>
        <v>1</v>
      </c>
      <c r="P464" s="1411"/>
      <c r="Q464" s="1405">
        <f t="shared" si="114"/>
        <v>0</v>
      </c>
      <c r="R464" s="1476">
        <f t="shared" si="119"/>
        <v>0</v>
      </c>
      <c r="S464" s="1358">
        <f t="shared" si="120"/>
        <v>0</v>
      </c>
      <c r="T464" s="1485">
        <f t="shared" si="121"/>
        <v>0</v>
      </c>
      <c r="U464" s="1483">
        <f t="shared" si="115"/>
        <v>0</v>
      </c>
      <c r="V464" s="1483">
        <f t="shared" si="116"/>
        <v>0</v>
      </c>
      <c r="W464" s="1486"/>
      <c r="X464" s="1483">
        <f t="shared" si="117"/>
        <v>0</v>
      </c>
      <c r="Y464" s="1483">
        <f t="shared" si="118"/>
        <v>0</v>
      </c>
      <c r="Z464" s="1486"/>
    </row>
    <row r="465" spans="1:26">
      <c r="A465" s="1414"/>
      <c r="B465" s="1415"/>
      <c r="C465" s="1405">
        <f t="shared" si="107"/>
        <v>1</v>
      </c>
      <c r="D465" s="1411"/>
      <c r="E465" s="1405">
        <f t="shared" si="108"/>
        <v>0</v>
      </c>
      <c r="F465" s="1411"/>
      <c r="G465" s="1405">
        <f t="shared" si="109"/>
        <v>1</v>
      </c>
      <c r="H465" s="1411"/>
      <c r="I465" s="1405">
        <f t="shared" si="110"/>
        <v>1</v>
      </c>
      <c r="J465" s="1411"/>
      <c r="K465" s="1405">
        <f t="shared" si="111"/>
        <v>1</v>
      </c>
      <c r="L465" s="1411"/>
      <c r="M465" s="1405">
        <f t="shared" si="112"/>
        <v>1</v>
      </c>
      <c r="N465" s="1411"/>
      <c r="O465" s="1405">
        <f t="shared" si="113"/>
        <v>1</v>
      </c>
      <c r="P465" s="1411"/>
      <c r="Q465" s="1405">
        <f t="shared" si="114"/>
        <v>0</v>
      </c>
      <c r="R465" s="1476">
        <f t="shared" si="119"/>
        <v>0</v>
      </c>
      <c r="S465" s="1358">
        <f t="shared" si="120"/>
        <v>0</v>
      </c>
      <c r="T465" s="1485">
        <f t="shared" si="121"/>
        <v>0</v>
      </c>
      <c r="U465" s="1483">
        <f t="shared" si="115"/>
        <v>0</v>
      </c>
      <c r="V465" s="1483">
        <f t="shared" si="116"/>
        <v>0</v>
      </c>
      <c r="W465" s="1486"/>
      <c r="X465" s="1483">
        <f t="shared" si="117"/>
        <v>0</v>
      </c>
      <c r="Y465" s="1483">
        <f t="shared" si="118"/>
        <v>0</v>
      </c>
      <c r="Z465" s="1486"/>
    </row>
    <row r="466" spans="1:26">
      <c r="A466" s="1414"/>
      <c r="B466" s="1415"/>
      <c r="C466" s="1405">
        <f t="shared" si="107"/>
        <v>1</v>
      </c>
      <c r="D466" s="1411"/>
      <c r="E466" s="1405">
        <f t="shared" si="108"/>
        <v>0</v>
      </c>
      <c r="F466" s="1411"/>
      <c r="G466" s="1405">
        <f t="shared" si="109"/>
        <v>1</v>
      </c>
      <c r="H466" s="1411"/>
      <c r="I466" s="1405">
        <f t="shared" si="110"/>
        <v>1</v>
      </c>
      <c r="J466" s="1411"/>
      <c r="K466" s="1405">
        <f t="shared" si="111"/>
        <v>1</v>
      </c>
      <c r="L466" s="1411"/>
      <c r="M466" s="1405">
        <f t="shared" si="112"/>
        <v>1</v>
      </c>
      <c r="N466" s="1411"/>
      <c r="O466" s="1405">
        <f t="shared" si="113"/>
        <v>1</v>
      </c>
      <c r="P466" s="1411"/>
      <c r="Q466" s="1405">
        <f t="shared" si="114"/>
        <v>0</v>
      </c>
      <c r="R466" s="1476">
        <f t="shared" si="119"/>
        <v>0</v>
      </c>
      <c r="S466" s="1358">
        <f t="shared" si="120"/>
        <v>0</v>
      </c>
      <c r="T466" s="1485">
        <f t="shared" si="121"/>
        <v>0</v>
      </c>
      <c r="U466" s="1483">
        <f t="shared" si="115"/>
        <v>0</v>
      </c>
      <c r="V466" s="1483">
        <f t="shared" si="116"/>
        <v>0</v>
      </c>
      <c r="W466" s="1486"/>
      <c r="X466" s="1483">
        <f t="shared" si="117"/>
        <v>0</v>
      </c>
      <c r="Y466" s="1483">
        <f t="shared" si="118"/>
        <v>0</v>
      </c>
      <c r="Z466" s="1486"/>
    </row>
    <row r="467" spans="1:26">
      <c r="A467" s="1414"/>
      <c r="B467" s="1415"/>
      <c r="C467" s="1405">
        <f t="shared" si="107"/>
        <v>1</v>
      </c>
      <c r="D467" s="1411"/>
      <c r="E467" s="1405">
        <f t="shared" si="108"/>
        <v>0</v>
      </c>
      <c r="F467" s="1411"/>
      <c r="G467" s="1405">
        <f t="shared" si="109"/>
        <v>1</v>
      </c>
      <c r="H467" s="1411"/>
      <c r="I467" s="1405">
        <f t="shared" si="110"/>
        <v>1</v>
      </c>
      <c r="J467" s="1411"/>
      <c r="K467" s="1405">
        <f t="shared" si="111"/>
        <v>1</v>
      </c>
      <c r="L467" s="1411"/>
      <c r="M467" s="1405">
        <f t="shared" si="112"/>
        <v>1</v>
      </c>
      <c r="N467" s="1411"/>
      <c r="O467" s="1405">
        <f t="shared" si="113"/>
        <v>1</v>
      </c>
      <c r="P467" s="1411"/>
      <c r="Q467" s="1405">
        <f t="shared" si="114"/>
        <v>0</v>
      </c>
      <c r="R467" s="1476">
        <f t="shared" si="119"/>
        <v>0</v>
      </c>
      <c r="S467" s="1358">
        <f t="shared" si="120"/>
        <v>0</v>
      </c>
      <c r="T467" s="1485">
        <f t="shared" si="121"/>
        <v>0</v>
      </c>
      <c r="U467" s="1483">
        <f t="shared" si="115"/>
        <v>0</v>
      </c>
      <c r="V467" s="1483">
        <f t="shared" si="116"/>
        <v>0</v>
      </c>
      <c r="W467" s="1486"/>
      <c r="X467" s="1483">
        <f t="shared" si="117"/>
        <v>0</v>
      </c>
      <c r="Y467" s="1483">
        <f t="shared" si="118"/>
        <v>0</v>
      </c>
      <c r="Z467" s="1486"/>
    </row>
    <row r="468" spans="1:26">
      <c r="A468" s="1414"/>
      <c r="B468" s="1415"/>
      <c r="C468" s="1405">
        <f t="shared" si="107"/>
        <v>1</v>
      </c>
      <c r="D468" s="1411"/>
      <c r="E468" s="1405">
        <f t="shared" si="108"/>
        <v>0</v>
      </c>
      <c r="F468" s="1411"/>
      <c r="G468" s="1405">
        <f t="shared" si="109"/>
        <v>1</v>
      </c>
      <c r="H468" s="1411"/>
      <c r="I468" s="1405">
        <f t="shared" si="110"/>
        <v>1</v>
      </c>
      <c r="J468" s="1411"/>
      <c r="K468" s="1405">
        <f t="shared" si="111"/>
        <v>1</v>
      </c>
      <c r="L468" s="1411"/>
      <c r="M468" s="1405">
        <f t="shared" si="112"/>
        <v>1</v>
      </c>
      <c r="N468" s="1411"/>
      <c r="O468" s="1405">
        <f t="shared" si="113"/>
        <v>1</v>
      </c>
      <c r="P468" s="1411"/>
      <c r="Q468" s="1405">
        <f t="shared" si="114"/>
        <v>0</v>
      </c>
      <c r="R468" s="1476">
        <f t="shared" si="119"/>
        <v>0</v>
      </c>
      <c r="S468" s="1358">
        <f t="shared" si="120"/>
        <v>0</v>
      </c>
      <c r="T468" s="1485">
        <f t="shared" si="121"/>
        <v>0</v>
      </c>
      <c r="U468" s="1483">
        <f t="shared" si="115"/>
        <v>0</v>
      </c>
      <c r="V468" s="1483">
        <f t="shared" si="116"/>
        <v>0</v>
      </c>
      <c r="W468" s="1486"/>
      <c r="X468" s="1483">
        <f t="shared" si="117"/>
        <v>0</v>
      </c>
      <c r="Y468" s="1483">
        <f t="shared" si="118"/>
        <v>0</v>
      </c>
      <c r="Z468" s="1486"/>
    </row>
    <row r="469" spans="1:26">
      <c r="A469" s="1414"/>
      <c r="B469" s="1415"/>
      <c r="C469" s="1405">
        <f t="shared" si="107"/>
        <v>1</v>
      </c>
      <c r="D469" s="1411"/>
      <c r="E469" s="1405">
        <f t="shared" si="108"/>
        <v>0</v>
      </c>
      <c r="F469" s="1411"/>
      <c r="G469" s="1405">
        <f t="shared" si="109"/>
        <v>1</v>
      </c>
      <c r="H469" s="1411"/>
      <c r="I469" s="1405">
        <f t="shared" si="110"/>
        <v>1</v>
      </c>
      <c r="J469" s="1411"/>
      <c r="K469" s="1405">
        <f t="shared" si="111"/>
        <v>1</v>
      </c>
      <c r="L469" s="1411"/>
      <c r="M469" s="1405">
        <f t="shared" si="112"/>
        <v>1</v>
      </c>
      <c r="N469" s="1411"/>
      <c r="O469" s="1405">
        <f t="shared" si="113"/>
        <v>1</v>
      </c>
      <c r="P469" s="1411"/>
      <c r="Q469" s="1405">
        <f t="shared" si="114"/>
        <v>0</v>
      </c>
      <c r="R469" s="1476">
        <f t="shared" si="119"/>
        <v>0</v>
      </c>
      <c r="S469" s="1358">
        <f t="shared" si="120"/>
        <v>0</v>
      </c>
      <c r="T469" s="1485">
        <f t="shared" si="121"/>
        <v>0</v>
      </c>
      <c r="U469" s="1483">
        <f t="shared" si="115"/>
        <v>0</v>
      </c>
      <c r="V469" s="1483">
        <f t="shared" si="116"/>
        <v>0</v>
      </c>
      <c r="W469" s="1486"/>
      <c r="X469" s="1483">
        <f t="shared" si="117"/>
        <v>0</v>
      </c>
      <c r="Y469" s="1483">
        <f t="shared" si="118"/>
        <v>0</v>
      </c>
      <c r="Z469" s="1486"/>
    </row>
    <row r="470" spans="1:26">
      <c r="A470" s="1414"/>
      <c r="B470" s="1415"/>
      <c r="C470" s="1405">
        <f t="shared" si="107"/>
        <v>1</v>
      </c>
      <c r="D470" s="1411"/>
      <c r="E470" s="1405">
        <f t="shared" si="108"/>
        <v>0</v>
      </c>
      <c r="F470" s="1411"/>
      <c r="G470" s="1405">
        <f t="shared" si="109"/>
        <v>1</v>
      </c>
      <c r="H470" s="1411"/>
      <c r="I470" s="1405">
        <f t="shared" si="110"/>
        <v>1</v>
      </c>
      <c r="J470" s="1411"/>
      <c r="K470" s="1405">
        <f t="shared" si="111"/>
        <v>1</v>
      </c>
      <c r="L470" s="1411"/>
      <c r="M470" s="1405">
        <f t="shared" si="112"/>
        <v>1</v>
      </c>
      <c r="N470" s="1411"/>
      <c r="O470" s="1405">
        <f t="shared" si="113"/>
        <v>1</v>
      </c>
      <c r="P470" s="1411"/>
      <c r="Q470" s="1405">
        <f t="shared" si="114"/>
        <v>0</v>
      </c>
      <c r="R470" s="1476">
        <f t="shared" si="119"/>
        <v>0</v>
      </c>
      <c r="S470" s="1358">
        <f t="shared" si="120"/>
        <v>0</v>
      </c>
      <c r="T470" s="1485">
        <f t="shared" si="121"/>
        <v>0</v>
      </c>
      <c r="U470" s="1483">
        <f t="shared" si="115"/>
        <v>0</v>
      </c>
      <c r="V470" s="1483">
        <f t="shared" si="116"/>
        <v>0</v>
      </c>
      <c r="W470" s="1486"/>
      <c r="X470" s="1483">
        <f t="shared" si="117"/>
        <v>0</v>
      </c>
      <c r="Y470" s="1483">
        <f t="shared" si="118"/>
        <v>0</v>
      </c>
      <c r="Z470" s="1486"/>
    </row>
    <row r="471" spans="1:26">
      <c r="A471" s="1414"/>
      <c r="B471" s="1415"/>
      <c r="C471" s="1405">
        <f t="shared" si="107"/>
        <v>1</v>
      </c>
      <c r="D471" s="1411"/>
      <c r="E471" s="1405">
        <f t="shared" si="108"/>
        <v>0</v>
      </c>
      <c r="F471" s="1411"/>
      <c r="G471" s="1405">
        <f t="shared" si="109"/>
        <v>1</v>
      </c>
      <c r="H471" s="1411"/>
      <c r="I471" s="1405">
        <f t="shared" si="110"/>
        <v>1</v>
      </c>
      <c r="J471" s="1411"/>
      <c r="K471" s="1405">
        <f t="shared" si="111"/>
        <v>1</v>
      </c>
      <c r="L471" s="1411"/>
      <c r="M471" s="1405">
        <f t="shared" si="112"/>
        <v>1</v>
      </c>
      <c r="N471" s="1411"/>
      <c r="O471" s="1405">
        <f t="shared" si="113"/>
        <v>1</v>
      </c>
      <c r="P471" s="1411"/>
      <c r="Q471" s="1405">
        <f t="shared" si="114"/>
        <v>0</v>
      </c>
      <c r="R471" s="1476">
        <f t="shared" si="119"/>
        <v>0</v>
      </c>
      <c r="S471" s="1358">
        <f t="shared" si="120"/>
        <v>0</v>
      </c>
      <c r="T471" s="1485">
        <f t="shared" si="121"/>
        <v>0</v>
      </c>
      <c r="U471" s="1483">
        <f t="shared" si="115"/>
        <v>0</v>
      </c>
      <c r="V471" s="1483">
        <f t="shared" si="116"/>
        <v>0</v>
      </c>
      <c r="W471" s="1486"/>
      <c r="X471" s="1483">
        <f t="shared" si="117"/>
        <v>0</v>
      </c>
      <c r="Y471" s="1483">
        <f t="shared" si="118"/>
        <v>0</v>
      </c>
      <c r="Z471" s="1486"/>
    </row>
    <row r="472" spans="1:26">
      <c r="A472" s="1414"/>
      <c r="B472" s="1415"/>
      <c r="C472" s="1405">
        <f t="shared" si="107"/>
        <v>1</v>
      </c>
      <c r="D472" s="1411"/>
      <c r="E472" s="1405">
        <f t="shared" si="108"/>
        <v>0</v>
      </c>
      <c r="F472" s="1411"/>
      <c r="G472" s="1405">
        <f t="shared" si="109"/>
        <v>1</v>
      </c>
      <c r="H472" s="1411"/>
      <c r="I472" s="1405">
        <f t="shared" si="110"/>
        <v>1</v>
      </c>
      <c r="J472" s="1411"/>
      <c r="K472" s="1405">
        <f t="shared" si="111"/>
        <v>1</v>
      </c>
      <c r="L472" s="1411"/>
      <c r="M472" s="1405">
        <f t="shared" si="112"/>
        <v>1</v>
      </c>
      <c r="N472" s="1411"/>
      <c r="O472" s="1405">
        <f t="shared" si="113"/>
        <v>1</v>
      </c>
      <c r="P472" s="1411"/>
      <c r="Q472" s="1405">
        <f t="shared" si="114"/>
        <v>0</v>
      </c>
      <c r="R472" s="1476">
        <f t="shared" si="119"/>
        <v>0</v>
      </c>
      <c r="S472" s="1358">
        <f t="shared" si="120"/>
        <v>0</v>
      </c>
      <c r="T472" s="1485">
        <f t="shared" si="121"/>
        <v>0</v>
      </c>
      <c r="U472" s="1483">
        <f t="shared" si="115"/>
        <v>0</v>
      </c>
      <c r="V472" s="1483">
        <f t="shared" si="116"/>
        <v>0</v>
      </c>
      <c r="W472" s="1486"/>
      <c r="X472" s="1483">
        <f t="shared" si="117"/>
        <v>0</v>
      </c>
      <c r="Y472" s="1483">
        <f t="shared" si="118"/>
        <v>0</v>
      </c>
      <c r="Z472" s="1486"/>
    </row>
    <row r="473" spans="1:26">
      <c r="A473" s="1414"/>
      <c r="B473" s="1415"/>
      <c r="C473" s="1405">
        <f t="shared" si="107"/>
        <v>1</v>
      </c>
      <c r="D473" s="1411"/>
      <c r="E473" s="1405">
        <f t="shared" si="108"/>
        <v>0</v>
      </c>
      <c r="F473" s="1411"/>
      <c r="G473" s="1405">
        <f t="shared" si="109"/>
        <v>1</v>
      </c>
      <c r="H473" s="1411"/>
      <c r="I473" s="1405">
        <f t="shared" si="110"/>
        <v>1</v>
      </c>
      <c r="J473" s="1411"/>
      <c r="K473" s="1405">
        <f t="shared" si="111"/>
        <v>1</v>
      </c>
      <c r="L473" s="1411"/>
      <c r="M473" s="1405">
        <f t="shared" si="112"/>
        <v>1</v>
      </c>
      <c r="N473" s="1411"/>
      <c r="O473" s="1405">
        <f t="shared" si="113"/>
        <v>1</v>
      </c>
      <c r="P473" s="1411"/>
      <c r="Q473" s="1405">
        <f t="shared" si="114"/>
        <v>0</v>
      </c>
      <c r="R473" s="1476">
        <f t="shared" si="119"/>
        <v>0</v>
      </c>
      <c r="S473" s="1358">
        <f t="shared" si="120"/>
        <v>0</v>
      </c>
      <c r="T473" s="1485">
        <f t="shared" si="121"/>
        <v>0</v>
      </c>
      <c r="U473" s="1483">
        <f t="shared" si="115"/>
        <v>0</v>
      </c>
      <c r="V473" s="1483">
        <f t="shared" si="116"/>
        <v>0</v>
      </c>
      <c r="W473" s="1486"/>
      <c r="X473" s="1483">
        <f t="shared" si="117"/>
        <v>0</v>
      </c>
      <c r="Y473" s="1483">
        <f t="shared" si="118"/>
        <v>0</v>
      </c>
      <c r="Z473" s="1486"/>
    </row>
    <row r="474" spans="1:26">
      <c r="A474" s="1414"/>
      <c r="B474" s="1415"/>
      <c r="C474" s="1405">
        <f t="shared" si="107"/>
        <v>1</v>
      </c>
      <c r="D474" s="1411"/>
      <c r="E474" s="1405">
        <f t="shared" si="108"/>
        <v>0</v>
      </c>
      <c r="F474" s="1411"/>
      <c r="G474" s="1405">
        <f t="shared" si="109"/>
        <v>1</v>
      </c>
      <c r="H474" s="1411"/>
      <c r="I474" s="1405">
        <f t="shared" si="110"/>
        <v>1</v>
      </c>
      <c r="J474" s="1411"/>
      <c r="K474" s="1405">
        <f t="shared" si="111"/>
        <v>1</v>
      </c>
      <c r="L474" s="1411"/>
      <c r="M474" s="1405">
        <f t="shared" si="112"/>
        <v>1</v>
      </c>
      <c r="N474" s="1411"/>
      <c r="O474" s="1405">
        <f t="shared" si="113"/>
        <v>1</v>
      </c>
      <c r="P474" s="1411"/>
      <c r="Q474" s="1405">
        <f t="shared" si="114"/>
        <v>0</v>
      </c>
      <c r="R474" s="1476">
        <f t="shared" si="119"/>
        <v>0</v>
      </c>
      <c r="S474" s="1358">
        <f t="shared" si="120"/>
        <v>0</v>
      </c>
      <c r="T474" s="1485">
        <f t="shared" si="121"/>
        <v>0</v>
      </c>
      <c r="U474" s="1483">
        <f t="shared" si="115"/>
        <v>0</v>
      </c>
      <c r="V474" s="1483">
        <f t="shared" si="116"/>
        <v>0</v>
      </c>
      <c r="W474" s="1486"/>
      <c r="X474" s="1483">
        <f t="shared" si="117"/>
        <v>0</v>
      </c>
      <c r="Y474" s="1483">
        <f t="shared" si="118"/>
        <v>0</v>
      </c>
      <c r="Z474" s="1486"/>
    </row>
    <row r="475" spans="1:26">
      <c r="A475" s="1414"/>
      <c r="B475" s="1415"/>
      <c r="C475" s="1405">
        <f t="shared" si="107"/>
        <v>1</v>
      </c>
      <c r="D475" s="1411"/>
      <c r="E475" s="1405">
        <f t="shared" si="108"/>
        <v>0</v>
      </c>
      <c r="F475" s="1411"/>
      <c r="G475" s="1405">
        <f t="shared" si="109"/>
        <v>1</v>
      </c>
      <c r="H475" s="1411"/>
      <c r="I475" s="1405">
        <f t="shared" si="110"/>
        <v>1</v>
      </c>
      <c r="J475" s="1411"/>
      <c r="K475" s="1405">
        <f t="shared" si="111"/>
        <v>1</v>
      </c>
      <c r="L475" s="1411"/>
      <c r="M475" s="1405">
        <f t="shared" si="112"/>
        <v>1</v>
      </c>
      <c r="N475" s="1411"/>
      <c r="O475" s="1405">
        <f t="shared" si="113"/>
        <v>1</v>
      </c>
      <c r="P475" s="1411"/>
      <c r="Q475" s="1405">
        <f t="shared" si="114"/>
        <v>0</v>
      </c>
      <c r="R475" s="1476">
        <f t="shared" si="119"/>
        <v>0</v>
      </c>
      <c r="S475" s="1358">
        <f t="shared" si="120"/>
        <v>0</v>
      </c>
      <c r="T475" s="1485">
        <f t="shared" si="121"/>
        <v>0</v>
      </c>
      <c r="U475" s="1483">
        <f t="shared" si="115"/>
        <v>0</v>
      </c>
      <c r="V475" s="1483">
        <f t="shared" si="116"/>
        <v>0</v>
      </c>
      <c r="W475" s="1486"/>
      <c r="X475" s="1483">
        <f t="shared" si="117"/>
        <v>0</v>
      </c>
      <c r="Y475" s="1483">
        <f t="shared" si="118"/>
        <v>0</v>
      </c>
      <c r="Z475" s="1486"/>
    </row>
    <row r="476" spans="1:26">
      <c r="A476" s="1414"/>
      <c r="B476" s="1415"/>
      <c r="C476" s="1405">
        <f t="shared" ref="C476:C527" si="122">IF(B476="",1,(LOOKUP(B476,$6:$6,$7:$7)-LOOKUP($B$27,$6:$6,$7:$7)+100)/100)</f>
        <v>1</v>
      </c>
      <c r="D476" s="1411"/>
      <c r="E476" s="1405">
        <f t="shared" ref="E476:E527" si="123">(SUMIF($8:$8,D476,$9:$9)-SUMIF($8:$8,$D$27,$9:$9)+100)/100</f>
        <v>0</v>
      </c>
      <c r="F476" s="1411"/>
      <c r="G476" s="1405">
        <f t="shared" ref="G476:G527" si="124">(SUMIF($10:$10,F476,$11:$11)-SUMIF($10:$10,$F$27,$11:$11)+100)/100</f>
        <v>1</v>
      </c>
      <c r="H476" s="1411"/>
      <c r="I476" s="1405">
        <f t="shared" ref="I476:I527" si="125">(SUMIF($12:$12,H476,$13:$13)-SUMIF($12:$12,$H$27,$13:$13)+100)/100</f>
        <v>1</v>
      </c>
      <c r="J476" s="1411"/>
      <c r="K476" s="1405">
        <f t="shared" ref="K476:K527" si="126">(SUMIF($14:$14,J476,$15:$15)-SUMIF($14:$14,$J$27,$15:$15)+100)/100</f>
        <v>1</v>
      </c>
      <c r="L476" s="1411"/>
      <c r="M476" s="1405">
        <f t="shared" ref="M476:M527" si="127">(SUMIF($16:$16,L476,$17:$17)-SUMIF($16:$16,$L$27,$17:$17)+100)/100</f>
        <v>1</v>
      </c>
      <c r="N476" s="1411"/>
      <c r="O476" s="1405">
        <f t="shared" ref="O476:O527" si="128">(SUMIF($18:$18,N476,$19:$19)-SUMIF($18:$18,$N$27,$19:$19)+100)/100</f>
        <v>1</v>
      </c>
      <c r="P476" s="1411"/>
      <c r="Q476" s="1405">
        <f t="shared" ref="Q476:Q527" si="129">(SUMIF($20:$20,P476,$21:$21)-SUMIF($20:$20,$P$27,$21:$21)+100)/100</f>
        <v>0</v>
      </c>
      <c r="R476" s="1476">
        <f t="shared" si="119"/>
        <v>0</v>
      </c>
      <c r="S476" s="1358">
        <f t="shared" si="120"/>
        <v>0</v>
      </c>
      <c r="T476" s="1485">
        <f t="shared" si="121"/>
        <v>0</v>
      </c>
      <c r="U476" s="1483">
        <f t="shared" ref="U476:U527" si="130">ROUND(W476*B476,0)</f>
        <v>0</v>
      </c>
      <c r="V476" s="1483">
        <f t="shared" ref="V476:V527" si="131">ROUND(W476*B476/10000,0)</f>
        <v>0</v>
      </c>
      <c r="W476" s="1486"/>
      <c r="X476" s="1483">
        <f t="shared" ref="X476:X527" si="132">ROUND(Z476*B476,0)</f>
        <v>0</v>
      </c>
      <c r="Y476" s="1483">
        <f t="shared" ref="Y476:Y527" si="133">ROUND(Z476*B476/10000,0)</f>
        <v>0</v>
      </c>
      <c r="Z476" s="1486"/>
    </row>
    <row r="477" spans="1:26">
      <c r="A477" s="1414"/>
      <c r="B477" s="1415"/>
      <c r="C477" s="1405">
        <f t="shared" si="122"/>
        <v>1</v>
      </c>
      <c r="D477" s="1411"/>
      <c r="E477" s="1405">
        <f t="shared" si="123"/>
        <v>0</v>
      </c>
      <c r="F477" s="1411"/>
      <c r="G477" s="1405">
        <f t="shared" si="124"/>
        <v>1</v>
      </c>
      <c r="H477" s="1411"/>
      <c r="I477" s="1405">
        <f t="shared" si="125"/>
        <v>1</v>
      </c>
      <c r="J477" s="1411"/>
      <c r="K477" s="1405">
        <f t="shared" si="126"/>
        <v>1</v>
      </c>
      <c r="L477" s="1411"/>
      <c r="M477" s="1405">
        <f t="shared" si="127"/>
        <v>1</v>
      </c>
      <c r="N477" s="1411"/>
      <c r="O477" s="1405">
        <f t="shared" si="128"/>
        <v>1</v>
      </c>
      <c r="P477" s="1411"/>
      <c r="Q477" s="1405">
        <f t="shared" si="129"/>
        <v>0</v>
      </c>
      <c r="R477" s="1476">
        <f t="shared" ref="R477:R527" si="134">IF(B477="",0,ROUND($R$27*C477*E477*G477*I477*K477*M477*O477*Q477,0))</f>
        <v>0</v>
      </c>
      <c r="S477" s="1358">
        <f t="shared" ref="S477:S527" si="135">ROUND(R477*B477,0)</f>
        <v>0</v>
      </c>
      <c r="T477" s="1485">
        <f t="shared" ref="T477:T527" si="136">ROUND(R477*B477/10000,0)</f>
        <v>0</v>
      </c>
      <c r="U477" s="1483">
        <f t="shared" si="130"/>
        <v>0</v>
      </c>
      <c r="V477" s="1483">
        <f t="shared" si="131"/>
        <v>0</v>
      </c>
      <c r="W477" s="1486"/>
      <c r="X477" s="1483">
        <f t="shared" si="132"/>
        <v>0</v>
      </c>
      <c r="Y477" s="1483">
        <f t="shared" si="133"/>
        <v>0</v>
      </c>
      <c r="Z477" s="1486"/>
    </row>
    <row r="478" spans="1:26">
      <c r="A478" s="1414"/>
      <c r="B478" s="1415"/>
      <c r="C478" s="1405">
        <f t="shared" si="122"/>
        <v>1</v>
      </c>
      <c r="D478" s="1411"/>
      <c r="E478" s="1405">
        <f t="shared" si="123"/>
        <v>0</v>
      </c>
      <c r="F478" s="1411"/>
      <c r="G478" s="1405">
        <f t="shared" si="124"/>
        <v>1</v>
      </c>
      <c r="H478" s="1411"/>
      <c r="I478" s="1405">
        <f t="shared" si="125"/>
        <v>1</v>
      </c>
      <c r="J478" s="1411"/>
      <c r="K478" s="1405">
        <f t="shared" si="126"/>
        <v>1</v>
      </c>
      <c r="L478" s="1411"/>
      <c r="M478" s="1405">
        <f t="shared" si="127"/>
        <v>1</v>
      </c>
      <c r="N478" s="1411"/>
      <c r="O478" s="1405">
        <f t="shared" si="128"/>
        <v>1</v>
      </c>
      <c r="P478" s="1411"/>
      <c r="Q478" s="1405">
        <f t="shared" si="129"/>
        <v>0</v>
      </c>
      <c r="R478" s="1476">
        <f t="shared" si="134"/>
        <v>0</v>
      </c>
      <c r="S478" s="1358">
        <f t="shared" si="135"/>
        <v>0</v>
      </c>
      <c r="T478" s="1485">
        <f t="shared" si="136"/>
        <v>0</v>
      </c>
      <c r="U478" s="1483">
        <f t="shared" si="130"/>
        <v>0</v>
      </c>
      <c r="V478" s="1483">
        <f t="shared" si="131"/>
        <v>0</v>
      </c>
      <c r="W478" s="1486"/>
      <c r="X478" s="1483">
        <f t="shared" si="132"/>
        <v>0</v>
      </c>
      <c r="Y478" s="1483">
        <f t="shared" si="133"/>
        <v>0</v>
      </c>
      <c r="Z478" s="1486"/>
    </row>
    <row r="479" spans="1:26">
      <c r="A479" s="1414"/>
      <c r="B479" s="1415"/>
      <c r="C479" s="1405">
        <f t="shared" si="122"/>
        <v>1</v>
      </c>
      <c r="D479" s="1411"/>
      <c r="E479" s="1405">
        <f t="shared" si="123"/>
        <v>0</v>
      </c>
      <c r="F479" s="1411"/>
      <c r="G479" s="1405">
        <f t="shared" si="124"/>
        <v>1</v>
      </c>
      <c r="H479" s="1411"/>
      <c r="I479" s="1405">
        <f t="shared" si="125"/>
        <v>1</v>
      </c>
      <c r="J479" s="1411"/>
      <c r="K479" s="1405">
        <f t="shared" si="126"/>
        <v>1</v>
      </c>
      <c r="L479" s="1411"/>
      <c r="M479" s="1405">
        <f t="shared" si="127"/>
        <v>1</v>
      </c>
      <c r="N479" s="1411"/>
      <c r="O479" s="1405">
        <f t="shared" si="128"/>
        <v>1</v>
      </c>
      <c r="P479" s="1411"/>
      <c r="Q479" s="1405">
        <f t="shared" si="129"/>
        <v>0</v>
      </c>
      <c r="R479" s="1476">
        <f t="shared" si="134"/>
        <v>0</v>
      </c>
      <c r="S479" s="1358">
        <f t="shared" si="135"/>
        <v>0</v>
      </c>
      <c r="T479" s="1485">
        <f t="shared" si="136"/>
        <v>0</v>
      </c>
      <c r="U479" s="1483">
        <f t="shared" si="130"/>
        <v>0</v>
      </c>
      <c r="V479" s="1483">
        <f t="shared" si="131"/>
        <v>0</v>
      </c>
      <c r="W479" s="1486"/>
      <c r="X479" s="1483">
        <f t="shared" si="132"/>
        <v>0</v>
      </c>
      <c r="Y479" s="1483">
        <f t="shared" si="133"/>
        <v>0</v>
      </c>
      <c r="Z479" s="1486"/>
    </row>
    <row r="480" spans="1:26">
      <c r="A480" s="1414"/>
      <c r="B480" s="1415"/>
      <c r="C480" s="1405">
        <f t="shared" si="122"/>
        <v>1</v>
      </c>
      <c r="D480" s="1411"/>
      <c r="E480" s="1405">
        <f t="shared" si="123"/>
        <v>0</v>
      </c>
      <c r="F480" s="1411"/>
      <c r="G480" s="1405">
        <f t="shared" si="124"/>
        <v>1</v>
      </c>
      <c r="H480" s="1411"/>
      <c r="I480" s="1405">
        <f t="shared" si="125"/>
        <v>1</v>
      </c>
      <c r="J480" s="1411"/>
      <c r="K480" s="1405">
        <f t="shared" si="126"/>
        <v>1</v>
      </c>
      <c r="L480" s="1411"/>
      <c r="M480" s="1405">
        <f t="shared" si="127"/>
        <v>1</v>
      </c>
      <c r="N480" s="1411"/>
      <c r="O480" s="1405">
        <f t="shared" si="128"/>
        <v>1</v>
      </c>
      <c r="P480" s="1411"/>
      <c r="Q480" s="1405">
        <f t="shared" si="129"/>
        <v>0</v>
      </c>
      <c r="R480" s="1476">
        <f t="shared" si="134"/>
        <v>0</v>
      </c>
      <c r="S480" s="1358">
        <f t="shared" si="135"/>
        <v>0</v>
      </c>
      <c r="T480" s="1485">
        <f t="shared" si="136"/>
        <v>0</v>
      </c>
      <c r="U480" s="1483">
        <f t="shared" si="130"/>
        <v>0</v>
      </c>
      <c r="V480" s="1483">
        <f t="shared" si="131"/>
        <v>0</v>
      </c>
      <c r="W480" s="1486"/>
      <c r="X480" s="1483">
        <f t="shared" si="132"/>
        <v>0</v>
      </c>
      <c r="Y480" s="1483">
        <f t="shared" si="133"/>
        <v>0</v>
      </c>
      <c r="Z480" s="1486"/>
    </row>
    <row r="481" spans="1:26">
      <c r="A481" s="1414"/>
      <c r="B481" s="1415"/>
      <c r="C481" s="1405">
        <f t="shared" si="122"/>
        <v>1</v>
      </c>
      <c r="D481" s="1411"/>
      <c r="E481" s="1405">
        <f t="shared" si="123"/>
        <v>0</v>
      </c>
      <c r="F481" s="1411"/>
      <c r="G481" s="1405">
        <f t="shared" si="124"/>
        <v>1</v>
      </c>
      <c r="H481" s="1411"/>
      <c r="I481" s="1405">
        <f t="shared" si="125"/>
        <v>1</v>
      </c>
      <c r="J481" s="1411"/>
      <c r="K481" s="1405">
        <f t="shared" si="126"/>
        <v>1</v>
      </c>
      <c r="L481" s="1411"/>
      <c r="M481" s="1405">
        <f t="shared" si="127"/>
        <v>1</v>
      </c>
      <c r="N481" s="1411"/>
      <c r="O481" s="1405">
        <f t="shared" si="128"/>
        <v>1</v>
      </c>
      <c r="P481" s="1411"/>
      <c r="Q481" s="1405">
        <f t="shared" si="129"/>
        <v>0</v>
      </c>
      <c r="R481" s="1476">
        <f t="shared" si="134"/>
        <v>0</v>
      </c>
      <c r="S481" s="1358">
        <f t="shared" si="135"/>
        <v>0</v>
      </c>
      <c r="T481" s="1485">
        <f t="shared" si="136"/>
        <v>0</v>
      </c>
      <c r="U481" s="1483">
        <f t="shared" si="130"/>
        <v>0</v>
      </c>
      <c r="V481" s="1483">
        <f t="shared" si="131"/>
        <v>0</v>
      </c>
      <c r="W481" s="1486"/>
      <c r="X481" s="1483">
        <f t="shared" si="132"/>
        <v>0</v>
      </c>
      <c r="Y481" s="1483">
        <f t="shared" si="133"/>
        <v>0</v>
      </c>
      <c r="Z481" s="1486"/>
    </row>
    <row r="482" spans="1:26">
      <c r="A482" s="1414"/>
      <c r="B482" s="1415"/>
      <c r="C482" s="1405">
        <f t="shared" si="122"/>
        <v>1</v>
      </c>
      <c r="D482" s="1411"/>
      <c r="E482" s="1405">
        <f t="shared" si="123"/>
        <v>0</v>
      </c>
      <c r="F482" s="1411"/>
      <c r="G482" s="1405">
        <f t="shared" si="124"/>
        <v>1</v>
      </c>
      <c r="H482" s="1411"/>
      <c r="I482" s="1405">
        <f t="shared" si="125"/>
        <v>1</v>
      </c>
      <c r="J482" s="1411"/>
      <c r="K482" s="1405">
        <f t="shared" si="126"/>
        <v>1</v>
      </c>
      <c r="L482" s="1411"/>
      <c r="M482" s="1405">
        <f t="shared" si="127"/>
        <v>1</v>
      </c>
      <c r="N482" s="1411"/>
      <c r="O482" s="1405">
        <f t="shared" si="128"/>
        <v>1</v>
      </c>
      <c r="P482" s="1411"/>
      <c r="Q482" s="1405">
        <f t="shared" si="129"/>
        <v>0</v>
      </c>
      <c r="R482" s="1476">
        <f t="shared" si="134"/>
        <v>0</v>
      </c>
      <c r="S482" s="1358">
        <f t="shared" si="135"/>
        <v>0</v>
      </c>
      <c r="T482" s="1485">
        <f t="shared" si="136"/>
        <v>0</v>
      </c>
      <c r="U482" s="1483">
        <f t="shared" si="130"/>
        <v>0</v>
      </c>
      <c r="V482" s="1483">
        <f t="shared" si="131"/>
        <v>0</v>
      </c>
      <c r="W482" s="1486"/>
      <c r="X482" s="1483">
        <f t="shared" si="132"/>
        <v>0</v>
      </c>
      <c r="Y482" s="1483">
        <f t="shared" si="133"/>
        <v>0</v>
      </c>
      <c r="Z482" s="1486"/>
    </row>
    <row r="483" spans="1:26">
      <c r="A483" s="1414"/>
      <c r="B483" s="1415"/>
      <c r="C483" s="1405">
        <f t="shared" si="122"/>
        <v>1</v>
      </c>
      <c r="D483" s="1411"/>
      <c r="E483" s="1405">
        <f t="shared" si="123"/>
        <v>0</v>
      </c>
      <c r="F483" s="1411"/>
      <c r="G483" s="1405">
        <f t="shared" si="124"/>
        <v>1</v>
      </c>
      <c r="H483" s="1411"/>
      <c r="I483" s="1405">
        <f t="shared" si="125"/>
        <v>1</v>
      </c>
      <c r="J483" s="1411"/>
      <c r="K483" s="1405">
        <f t="shared" si="126"/>
        <v>1</v>
      </c>
      <c r="L483" s="1411"/>
      <c r="M483" s="1405">
        <f t="shared" si="127"/>
        <v>1</v>
      </c>
      <c r="N483" s="1411"/>
      <c r="O483" s="1405">
        <f t="shared" si="128"/>
        <v>1</v>
      </c>
      <c r="P483" s="1411"/>
      <c r="Q483" s="1405">
        <f t="shared" si="129"/>
        <v>0</v>
      </c>
      <c r="R483" s="1476">
        <f t="shared" si="134"/>
        <v>0</v>
      </c>
      <c r="S483" s="1358">
        <f t="shared" si="135"/>
        <v>0</v>
      </c>
      <c r="T483" s="1485">
        <f t="shared" si="136"/>
        <v>0</v>
      </c>
      <c r="U483" s="1483">
        <f t="shared" si="130"/>
        <v>0</v>
      </c>
      <c r="V483" s="1483">
        <f t="shared" si="131"/>
        <v>0</v>
      </c>
      <c r="W483" s="1486"/>
      <c r="X483" s="1483">
        <f t="shared" si="132"/>
        <v>0</v>
      </c>
      <c r="Y483" s="1483">
        <f t="shared" si="133"/>
        <v>0</v>
      </c>
      <c r="Z483" s="1486"/>
    </row>
    <row r="484" spans="1:26">
      <c r="A484" s="1414"/>
      <c r="B484" s="1415"/>
      <c r="C484" s="1405">
        <f t="shared" si="122"/>
        <v>1</v>
      </c>
      <c r="D484" s="1411"/>
      <c r="E484" s="1405">
        <f t="shared" si="123"/>
        <v>0</v>
      </c>
      <c r="F484" s="1411"/>
      <c r="G484" s="1405">
        <f t="shared" si="124"/>
        <v>1</v>
      </c>
      <c r="H484" s="1411"/>
      <c r="I484" s="1405">
        <f t="shared" si="125"/>
        <v>1</v>
      </c>
      <c r="J484" s="1411"/>
      <c r="K484" s="1405">
        <f t="shared" si="126"/>
        <v>1</v>
      </c>
      <c r="L484" s="1411"/>
      <c r="M484" s="1405">
        <f t="shared" si="127"/>
        <v>1</v>
      </c>
      <c r="N484" s="1411"/>
      <c r="O484" s="1405">
        <f t="shared" si="128"/>
        <v>1</v>
      </c>
      <c r="P484" s="1411"/>
      <c r="Q484" s="1405">
        <f t="shared" si="129"/>
        <v>0</v>
      </c>
      <c r="R484" s="1476">
        <f t="shared" si="134"/>
        <v>0</v>
      </c>
      <c r="S484" s="1358">
        <f t="shared" si="135"/>
        <v>0</v>
      </c>
      <c r="T484" s="1485">
        <f t="shared" si="136"/>
        <v>0</v>
      </c>
      <c r="U484" s="1483">
        <f t="shared" si="130"/>
        <v>0</v>
      </c>
      <c r="V484" s="1483">
        <f t="shared" si="131"/>
        <v>0</v>
      </c>
      <c r="W484" s="1486"/>
      <c r="X484" s="1483">
        <f t="shared" si="132"/>
        <v>0</v>
      </c>
      <c r="Y484" s="1483">
        <f t="shared" si="133"/>
        <v>0</v>
      </c>
      <c r="Z484" s="1486"/>
    </row>
    <row r="485" spans="1:26">
      <c r="A485" s="1414"/>
      <c r="B485" s="1415"/>
      <c r="C485" s="1405">
        <f t="shared" si="122"/>
        <v>1</v>
      </c>
      <c r="D485" s="1411"/>
      <c r="E485" s="1405">
        <f t="shared" si="123"/>
        <v>0</v>
      </c>
      <c r="F485" s="1411"/>
      <c r="G485" s="1405">
        <f t="shared" si="124"/>
        <v>1</v>
      </c>
      <c r="H485" s="1411"/>
      <c r="I485" s="1405">
        <f t="shared" si="125"/>
        <v>1</v>
      </c>
      <c r="J485" s="1411"/>
      <c r="K485" s="1405">
        <f t="shared" si="126"/>
        <v>1</v>
      </c>
      <c r="L485" s="1411"/>
      <c r="M485" s="1405">
        <f t="shared" si="127"/>
        <v>1</v>
      </c>
      <c r="N485" s="1411"/>
      <c r="O485" s="1405">
        <f t="shared" si="128"/>
        <v>1</v>
      </c>
      <c r="P485" s="1411"/>
      <c r="Q485" s="1405">
        <f t="shared" si="129"/>
        <v>0</v>
      </c>
      <c r="R485" s="1476">
        <f t="shared" si="134"/>
        <v>0</v>
      </c>
      <c r="S485" s="1358">
        <f t="shared" si="135"/>
        <v>0</v>
      </c>
      <c r="T485" s="1485">
        <f t="shared" si="136"/>
        <v>0</v>
      </c>
      <c r="U485" s="1483">
        <f t="shared" si="130"/>
        <v>0</v>
      </c>
      <c r="V485" s="1483">
        <f t="shared" si="131"/>
        <v>0</v>
      </c>
      <c r="W485" s="1486"/>
      <c r="X485" s="1483">
        <f t="shared" si="132"/>
        <v>0</v>
      </c>
      <c r="Y485" s="1483">
        <f t="shared" si="133"/>
        <v>0</v>
      </c>
      <c r="Z485" s="1486"/>
    </row>
    <row r="486" spans="1:26">
      <c r="A486" s="1414"/>
      <c r="B486" s="1415"/>
      <c r="C486" s="1405">
        <f t="shared" si="122"/>
        <v>1</v>
      </c>
      <c r="D486" s="1411"/>
      <c r="E486" s="1405">
        <f t="shared" si="123"/>
        <v>0</v>
      </c>
      <c r="F486" s="1411"/>
      <c r="G486" s="1405">
        <f t="shared" si="124"/>
        <v>1</v>
      </c>
      <c r="H486" s="1411"/>
      <c r="I486" s="1405">
        <f t="shared" si="125"/>
        <v>1</v>
      </c>
      <c r="J486" s="1411"/>
      <c r="K486" s="1405">
        <f t="shared" si="126"/>
        <v>1</v>
      </c>
      <c r="L486" s="1411"/>
      <c r="M486" s="1405">
        <f t="shared" si="127"/>
        <v>1</v>
      </c>
      <c r="N486" s="1411"/>
      <c r="O486" s="1405">
        <f t="shared" si="128"/>
        <v>1</v>
      </c>
      <c r="P486" s="1411"/>
      <c r="Q486" s="1405">
        <f t="shared" si="129"/>
        <v>0</v>
      </c>
      <c r="R486" s="1476">
        <f t="shared" si="134"/>
        <v>0</v>
      </c>
      <c r="S486" s="1358">
        <f t="shared" si="135"/>
        <v>0</v>
      </c>
      <c r="T486" s="1485">
        <f t="shared" si="136"/>
        <v>0</v>
      </c>
      <c r="U486" s="1483">
        <f t="shared" si="130"/>
        <v>0</v>
      </c>
      <c r="V486" s="1483">
        <f t="shared" si="131"/>
        <v>0</v>
      </c>
      <c r="W486" s="1486"/>
      <c r="X486" s="1483">
        <f t="shared" si="132"/>
        <v>0</v>
      </c>
      <c r="Y486" s="1483">
        <f t="shared" si="133"/>
        <v>0</v>
      </c>
      <c r="Z486" s="1486"/>
    </row>
    <row r="487" spans="1:26">
      <c r="A487" s="1414"/>
      <c r="B487" s="1415"/>
      <c r="C487" s="1405">
        <f t="shared" si="122"/>
        <v>1</v>
      </c>
      <c r="D487" s="1411"/>
      <c r="E487" s="1405">
        <f t="shared" si="123"/>
        <v>0</v>
      </c>
      <c r="F487" s="1411"/>
      <c r="G487" s="1405">
        <f t="shared" si="124"/>
        <v>1</v>
      </c>
      <c r="H487" s="1411"/>
      <c r="I487" s="1405">
        <f t="shared" si="125"/>
        <v>1</v>
      </c>
      <c r="J487" s="1411"/>
      <c r="K487" s="1405">
        <f t="shared" si="126"/>
        <v>1</v>
      </c>
      <c r="L487" s="1411"/>
      <c r="M487" s="1405">
        <f t="shared" si="127"/>
        <v>1</v>
      </c>
      <c r="N487" s="1411"/>
      <c r="O487" s="1405">
        <f t="shared" si="128"/>
        <v>1</v>
      </c>
      <c r="P487" s="1411"/>
      <c r="Q487" s="1405">
        <f t="shared" si="129"/>
        <v>0</v>
      </c>
      <c r="R487" s="1476">
        <f t="shared" si="134"/>
        <v>0</v>
      </c>
      <c r="S487" s="1358">
        <f t="shared" si="135"/>
        <v>0</v>
      </c>
      <c r="T487" s="1485">
        <f t="shared" si="136"/>
        <v>0</v>
      </c>
      <c r="U487" s="1483">
        <f t="shared" si="130"/>
        <v>0</v>
      </c>
      <c r="V487" s="1483">
        <f t="shared" si="131"/>
        <v>0</v>
      </c>
      <c r="W487" s="1486"/>
      <c r="X487" s="1483">
        <f t="shared" si="132"/>
        <v>0</v>
      </c>
      <c r="Y487" s="1483">
        <f t="shared" si="133"/>
        <v>0</v>
      </c>
      <c r="Z487" s="1486"/>
    </row>
    <row r="488" spans="1:26">
      <c r="A488" s="1414"/>
      <c r="B488" s="1415"/>
      <c r="C488" s="1405">
        <f t="shared" si="122"/>
        <v>1</v>
      </c>
      <c r="D488" s="1411"/>
      <c r="E488" s="1405">
        <f t="shared" si="123"/>
        <v>0</v>
      </c>
      <c r="F488" s="1411"/>
      <c r="G488" s="1405">
        <f t="shared" si="124"/>
        <v>1</v>
      </c>
      <c r="H488" s="1411"/>
      <c r="I488" s="1405">
        <f t="shared" si="125"/>
        <v>1</v>
      </c>
      <c r="J488" s="1411"/>
      <c r="K488" s="1405">
        <f t="shared" si="126"/>
        <v>1</v>
      </c>
      <c r="L488" s="1411"/>
      <c r="M488" s="1405">
        <f t="shared" si="127"/>
        <v>1</v>
      </c>
      <c r="N488" s="1411"/>
      <c r="O488" s="1405">
        <f t="shared" si="128"/>
        <v>1</v>
      </c>
      <c r="P488" s="1411"/>
      <c r="Q488" s="1405">
        <f t="shared" si="129"/>
        <v>0</v>
      </c>
      <c r="R488" s="1476">
        <f t="shared" si="134"/>
        <v>0</v>
      </c>
      <c r="S488" s="1358">
        <f t="shared" si="135"/>
        <v>0</v>
      </c>
      <c r="T488" s="1485">
        <f t="shared" si="136"/>
        <v>0</v>
      </c>
      <c r="U488" s="1483">
        <f t="shared" si="130"/>
        <v>0</v>
      </c>
      <c r="V488" s="1483">
        <f t="shared" si="131"/>
        <v>0</v>
      </c>
      <c r="W488" s="1486"/>
      <c r="X488" s="1483">
        <f t="shared" si="132"/>
        <v>0</v>
      </c>
      <c r="Y488" s="1483">
        <f t="shared" si="133"/>
        <v>0</v>
      </c>
      <c r="Z488" s="1486"/>
    </row>
    <row r="489" spans="1:26">
      <c r="A489" s="1414"/>
      <c r="B489" s="1415"/>
      <c r="C489" s="1405">
        <f t="shared" si="122"/>
        <v>1</v>
      </c>
      <c r="D489" s="1411"/>
      <c r="E489" s="1405">
        <f t="shared" si="123"/>
        <v>0</v>
      </c>
      <c r="F489" s="1411"/>
      <c r="G489" s="1405">
        <f t="shared" si="124"/>
        <v>1</v>
      </c>
      <c r="H489" s="1411"/>
      <c r="I489" s="1405">
        <f t="shared" si="125"/>
        <v>1</v>
      </c>
      <c r="J489" s="1411"/>
      <c r="K489" s="1405">
        <f t="shared" si="126"/>
        <v>1</v>
      </c>
      <c r="L489" s="1411"/>
      <c r="M489" s="1405">
        <f t="shared" si="127"/>
        <v>1</v>
      </c>
      <c r="N489" s="1411"/>
      <c r="O489" s="1405">
        <f t="shared" si="128"/>
        <v>1</v>
      </c>
      <c r="P489" s="1411"/>
      <c r="Q489" s="1405">
        <f t="shared" si="129"/>
        <v>0</v>
      </c>
      <c r="R489" s="1476">
        <f t="shared" si="134"/>
        <v>0</v>
      </c>
      <c r="S489" s="1358">
        <f t="shared" si="135"/>
        <v>0</v>
      </c>
      <c r="T489" s="1485">
        <f t="shared" si="136"/>
        <v>0</v>
      </c>
      <c r="U489" s="1483">
        <f t="shared" si="130"/>
        <v>0</v>
      </c>
      <c r="V489" s="1483">
        <f t="shared" si="131"/>
        <v>0</v>
      </c>
      <c r="W489" s="1486"/>
      <c r="X489" s="1483">
        <f t="shared" si="132"/>
        <v>0</v>
      </c>
      <c r="Y489" s="1483">
        <f t="shared" si="133"/>
        <v>0</v>
      </c>
      <c r="Z489" s="1486"/>
    </row>
    <row r="490" spans="1:26">
      <c r="A490" s="1414"/>
      <c r="B490" s="1415"/>
      <c r="C490" s="1405">
        <f t="shared" si="122"/>
        <v>1</v>
      </c>
      <c r="D490" s="1411"/>
      <c r="E490" s="1405">
        <f t="shared" si="123"/>
        <v>0</v>
      </c>
      <c r="F490" s="1411"/>
      <c r="G490" s="1405">
        <f t="shared" si="124"/>
        <v>1</v>
      </c>
      <c r="H490" s="1411"/>
      <c r="I490" s="1405">
        <f t="shared" si="125"/>
        <v>1</v>
      </c>
      <c r="J490" s="1411"/>
      <c r="K490" s="1405">
        <f t="shared" si="126"/>
        <v>1</v>
      </c>
      <c r="L490" s="1411"/>
      <c r="M490" s="1405">
        <f t="shared" si="127"/>
        <v>1</v>
      </c>
      <c r="N490" s="1411"/>
      <c r="O490" s="1405">
        <f t="shared" si="128"/>
        <v>1</v>
      </c>
      <c r="P490" s="1411"/>
      <c r="Q490" s="1405">
        <f t="shared" si="129"/>
        <v>0</v>
      </c>
      <c r="R490" s="1476">
        <f t="shared" si="134"/>
        <v>0</v>
      </c>
      <c r="S490" s="1358">
        <f t="shared" si="135"/>
        <v>0</v>
      </c>
      <c r="T490" s="1485">
        <f t="shared" si="136"/>
        <v>0</v>
      </c>
      <c r="U490" s="1483">
        <f t="shared" si="130"/>
        <v>0</v>
      </c>
      <c r="V490" s="1483">
        <f t="shared" si="131"/>
        <v>0</v>
      </c>
      <c r="W490" s="1486"/>
      <c r="X490" s="1483">
        <f t="shared" si="132"/>
        <v>0</v>
      </c>
      <c r="Y490" s="1483">
        <f t="shared" si="133"/>
        <v>0</v>
      </c>
      <c r="Z490" s="1486"/>
    </row>
    <row r="491" spans="1:26">
      <c r="A491" s="1414"/>
      <c r="B491" s="1415"/>
      <c r="C491" s="1405">
        <f t="shared" si="122"/>
        <v>1</v>
      </c>
      <c r="D491" s="1411"/>
      <c r="E491" s="1405">
        <f t="shared" si="123"/>
        <v>0</v>
      </c>
      <c r="F491" s="1411"/>
      <c r="G491" s="1405">
        <f t="shared" si="124"/>
        <v>1</v>
      </c>
      <c r="H491" s="1411"/>
      <c r="I491" s="1405">
        <f t="shared" si="125"/>
        <v>1</v>
      </c>
      <c r="J491" s="1411"/>
      <c r="K491" s="1405">
        <f t="shared" si="126"/>
        <v>1</v>
      </c>
      <c r="L491" s="1411"/>
      <c r="M491" s="1405">
        <f t="shared" si="127"/>
        <v>1</v>
      </c>
      <c r="N491" s="1411"/>
      <c r="O491" s="1405">
        <f t="shared" si="128"/>
        <v>1</v>
      </c>
      <c r="P491" s="1411"/>
      <c r="Q491" s="1405">
        <f t="shared" si="129"/>
        <v>0</v>
      </c>
      <c r="R491" s="1476">
        <f t="shared" si="134"/>
        <v>0</v>
      </c>
      <c r="S491" s="1358">
        <f t="shared" si="135"/>
        <v>0</v>
      </c>
      <c r="T491" s="1485">
        <f t="shared" si="136"/>
        <v>0</v>
      </c>
      <c r="U491" s="1483">
        <f t="shared" si="130"/>
        <v>0</v>
      </c>
      <c r="V491" s="1483">
        <f t="shared" si="131"/>
        <v>0</v>
      </c>
      <c r="W491" s="1486"/>
      <c r="X491" s="1483">
        <f t="shared" si="132"/>
        <v>0</v>
      </c>
      <c r="Y491" s="1483">
        <f t="shared" si="133"/>
        <v>0</v>
      </c>
      <c r="Z491" s="1486"/>
    </row>
    <row r="492" spans="1:26">
      <c r="A492" s="1414"/>
      <c r="B492" s="1415"/>
      <c r="C492" s="1405">
        <f t="shared" si="122"/>
        <v>1</v>
      </c>
      <c r="D492" s="1411"/>
      <c r="E492" s="1405">
        <f t="shared" si="123"/>
        <v>0</v>
      </c>
      <c r="F492" s="1411"/>
      <c r="G492" s="1405">
        <f t="shared" si="124"/>
        <v>1</v>
      </c>
      <c r="H492" s="1411"/>
      <c r="I492" s="1405">
        <f t="shared" si="125"/>
        <v>1</v>
      </c>
      <c r="J492" s="1411"/>
      <c r="K492" s="1405">
        <f t="shared" si="126"/>
        <v>1</v>
      </c>
      <c r="L492" s="1411"/>
      <c r="M492" s="1405">
        <f t="shared" si="127"/>
        <v>1</v>
      </c>
      <c r="N492" s="1411"/>
      <c r="O492" s="1405">
        <f t="shared" si="128"/>
        <v>1</v>
      </c>
      <c r="P492" s="1411"/>
      <c r="Q492" s="1405">
        <f t="shared" si="129"/>
        <v>0</v>
      </c>
      <c r="R492" s="1476">
        <f t="shared" si="134"/>
        <v>0</v>
      </c>
      <c r="S492" s="1358">
        <f t="shared" si="135"/>
        <v>0</v>
      </c>
      <c r="T492" s="1485">
        <f t="shared" si="136"/>
        <v>0</v>
      </c>
      <c r="U492" s="1483">
        <f t="shared" si="130"/>
        <v>0</v>
      </c>
      <c r="V492" s="1483">
        <f t="shared" si="131"/>
        <v>0</v>
      </c>
      <c r="W492" s="1486"/>
      <c r="X492" s="1483">
        <f t="shared" si="132"/>
        <v>0</v>
      </c>
      <c r="Y492" s="1483">
        <f t="shared" si="133"/>
        <v>0</v>
      </c>
      <c r="Z492" s="1486"/>
    </row>
    <row r="493" spans="1:26">
      <c r="A493" s="1414"/>
      <c r="B493" s="1415"/>
      <c r="C493" s="1405">
        <f t="shared" si="122"/>
        <v>1</v>
      </c>
      <c r="D493" s="1411"/>
      <c r="E493" s="1405">
        <f t="shared" si="123"/>
        <v>0</v>
      </c>
      <c r="F493" s="1411"/>
      <c r="G493" s="1405">
        <f t="shared" si="124"/>
        <v>1</v>
      </c>
      <c r="H493" s="1411"/>
      <c r="I493" s="1405">
        <f t="shared" si="125"/>
        <v>1</v>
      </c>
      <c r="J493" s="1411"/>
      <c r="K493" s="1405">
        <f t="shared" si="126"/>
        <v>1</v>
      </c>
      <c r="L493" s="1411"/>
      <c r="M493" s="1405">
        <f t="shared" si="127"/>
        <v>1</v>
      </c>
      <c r="N493" s="1411"/>
      <c r="O493" s="1405">
        <f t="shared" si="128"/>
        <v>1</v>
      </c>
      <c r="P493" s="1411"/>
      <c r="Q493" s="1405">
        <f t="shared" si="129"/>
        <v>0</v>
      </c>
      <c r="R493" s="1476">
        <f t="shared" si="134"/>
        <v>0</v>
      </c>
      <c r="S493" s="1358">
        <f t="shared" si="135"/>
        <v>0</v>
      </c>
      <c r="T493" s="1485">
        <f t="shared" si="136"/>
        <v>0</v>
      </c>
      <c r="U493" s="1483">
        <f t="shared" si="130"/>
        <v>0</v>
      </c>
      <c r="V493" s="1483">
        <f t="shared" si="131"/>
        <v>0</v>
      </c>
      <c r="W493" s="1486"/>
      <c r="X493" s="1483">
        <f t="shared" si="132"/>
        <v>0</v>
      </c>
      <c r="Y493" s="1483">
        <f t="shared" si="133"/>
        <v>0</v>
      </c>
      <c r="Z493" s="1486"/>
    </row>
    <row r="494" spans="1:26">
      <c r="A494" s="1414"/>
      <c r="B494" s="1415"/>
      <c r="C494" s="1405">
        <f t="shared" si="122"/>
        <v>1</v>
      </c>
      <c r="D494" s="1411"/>
      <c r="E494" s="1405">
        <f t="shared" si="123"/>
        <v>0</v>
      </c>
      <c r="F494" s="1411"/>
      <c r="G494" s="1405">
        <f t="shared" si="124"/>
        <v>1</v>
      </c>
      <c r="H494" s="1411"/>
      <c r="I494" s="1405">
        <f t="shared" si="125"/>
        <v>1</v>
      </c>
      <c r="J494" s="1411"/>
      <c r="K494" s="1405">
        <f t="shared" si="126"/>
        <v>1</v>
      </c>
      <c r="L494" s="1411"/>
      <c r="M494" s="1405">
        <f t="shared" si="127"/>
        <v>1</v>
      </c>
      <c r="N494" s="1411"/>
      <c r="O494" s="1405">
        <f t="shared" si="128"/>
        <v>1</v>
      </c>
      <c r="P494" s="1411"/>
      <c r="Q494" s="1405">
        <f t="shared" si="129"/>
        <v>0</v>
      </c>
      <c r="R494" s="1476">
        <f t="shared" si="134"/>
        <v>0</v>
      </c>
      <c r="S494" s="1358">
        <f t="shared" si="135"/>
        <v>0</v>
      </c>
      <c r="T494" s="1485">
        <f t="shared" si="136"/>
        <v>0</v>
      </c>
      <c r="U494" s="1483">
        <f t="shared" si="130"/>
        <v>0</v>
      </c>
      <c r="V494" s="1483">
        <f t="shared" si="131"/>
        <v>0</v>
      </c>
      <c r="W494" s="1486"/>
      <c r="X494" s="1483">
        <f t="shared" si="132"/>
        <v>0</v>
      </c>
      <c r="Y494" s="1483">
        <f t="shared" si="133"/>
        <v>0</v>
      </c>
      <c r="Z494" s="1486"/>
    </row>
    <row r="495" spans="1:26">
      <c r="A495" s="1414"/>
      <c r="B495" s="1415"/>
      <c r="C495" s="1405">
        <f t="shared" si="122"/>
        <v>1</v>
      </c>
      <c r="D495" s="1411"/>
      <c r="E495" s="1405">
        <f t="shared" si="123"/>
        <v>0</v>
      </c>
      <c r="F495" s="1411"/>
      <c r="G495" s="1405">
        <f t="shared" si="124"/>
        <v>1</v>
      </c>
      <c r="H495" s="1411"/>
      <c r="I495" s="1405">
        <f t="shared" si="125"/>
        <v>1</v>
      </c>
      <c r="J495" s="1411"/>
      <c r="K495" s="1405">
        <f t="shared" si="126"/>
        <v>1</v>
      </c>
      <c r="L495" s="1411"/>
      <c r="M495" s="1405">
        <f t="shared" si="127"/>
        <v>1</v>
      </c>
      <c r="N495" s="1411"/>
      <c r="O495" s="1405">
        <f t="shared" si="128"/>
        <v>1</v>
      </c>
      <c r="P495" s="1411"/>
      <c r="Q495" s="1405">
        <f t="shared" si="129"/>
        <v>0</v>
      </c>
      <c r="R495" s="1476">
        <f t="shared" si="134"/>
        <v>0</v>
      </c>
      <c r="S495" s="1358">
        <f t="shared" si="135"/>
        <v>0</v>
      </c>
      <c r="T495" s="1485">
        <f t="shared" si="136"/>
        <v>0</v>
      </c>
      <c r="U495" s="1483">
        <f t="shared" si="130"/>
        <v>0</v>
      </c>
      <c r="V495" s="1483">
        <f t="shared" si="131"/>
        <v>0</v>
      </c>
      <c r="W495" s="1486"/>
      <c r="X495" s="1483">
        <f t="shared" si="132"/>
        <v>0</v>
      </c>
      <c r="Y495" s="1483">
        <f t="shared" si="133"/>
        <v>0</v>
      </c>
      <c r="Z495" s="1486"/>
    </row>
    <row r="496" spans="1:26">
      <c r="A496" s="1414"/>
      <c r="B496" s="1415"/>
      <c r="C496" s="1405">
        <f t="shared" si="122"/>
        <v>1</v>
      </c>
      <c r="D496" s="1411"/>
      <c r="E496" s="1405">
        <f t="shared" si="123"/>
        <v>0</v>
      </c>
      <c r="F496" s="1411"/>
      <c r="G496" s="1405">
        <f t="shared" si="124"/>
        <v>1</v>
      </c>
      <c r="H496" s="1411"/>
      <c r="I496" s="1405">
        <f t="shared" si="125"/>
        <v>1</v>
      </c>
      <c r="J496" s="1411"/>
      <c r="K496" s="1405">
        <f t="shared" si="126"/>
        <v>1</v>
      </c>
      <c r="L496" s="1411"/>
      <c r="M496" s="1405">
        <f t="shared" si="127"/>
        <v>1</v>
      </c>
      <c r="N496" s="1411"/>
      <c r="O496" s="1405">
        <f t="shared" si="128"/>
        <v>1</v>
      </c>
      <c r="P496" s="1411"/>
      <c r="Q496" s="1405">
        <f t="shared" si="129"/>
        <v>0</v>
      </c>
      <c r="R496" s="1476">
        <f t="shared" si="134"/>
        <v>0</v>
      </c>
      <c r="S496" s="1358">
        <f t="shared" si="135"/>
        <v>0</v>
      </c>
      <c r="T496" s="1485">
        <f t="shared" si="136"/>
        <v>0</v>
      </c>
      <c r="U496" s="1483">
        <f t="shared" si="130"/>
        <v>0</v>
      </c>
      <c r="V496" s="1483">
        <f t="shared" si="131"/>
        <v>0</v>
      </c>
      <c r="W496" s="1486"/>
      <c r="X496" s="1483">
        <f t="shared" si="132"/>
        <v>0</v>
      </c>
      <c r="Y496" s="1483">
        <f t="shared" si="133"/>
        <v>0</v>
      </c>
      <c r="Z496" s="1486"/>
    </row>
    <row r="497" spans="1:26">
      <c r="A497" s="1414"/>
      <c r="B497" s="1415"/>
      <c r="C497" s="1405">
        <f t="shared" si="122"/>
        <v>1</v>
      </c>
      <c r="D497" s="1411"/>
      <c r="E497" s="1405">
        <f t="shared" si="123"/>
        <v>0</v>
      </c>
      <c r="F497" s="1411"/>
      <c r="G497" s="1405">
        <f t="shared" si="124"/>
        <v>1</v>
      </c>
      <c r="H497" s="1411"/>
      <c r="I497" s="1405">
        <f t="shared" si="125"/>
        <v>1</v>
      </c>
      <c r="J497" s="1411"/>
      <c r="K497" s="1405">
        <f t="shared" si="126"/>
        <v>1</v>
      </c>
      <c r="L497" s="1411"/>
      <c r="M497" s="1405">
        <f t="shared" si="127"/>
        <v>1</v>
      </c>
      <c r="N497" s="1411"/>
      <c r="O497" s="1405">
        <f t="shared" si="128"/>
        <v>1</v>
      </c>
      <c r="P497" s="1411"/>
      <c r="Q497" s="1405">
        <f t="shared" si="129"/>
        <v>0</v>
      </c>
      <c r="R497" s="1476">
        <f t="shared" si="134"/>
        <v>0</v>
      </c>
      <c r="S497" s="1358">
        <f t="shared" si="135"/>
        <v>0</v>
      </c>
      <c r="T497" s="1485">
        <f t="shared" si="136"/>
        <v>0</v>
      </c>
      <c r="U497" s="1483">
        <f t="shared" si="130"/>
        <v>0</v>
      </c>
      <c r="V497" s="1483">
        <f t="shared" si="131"/>
        <v>0</v>
      </c>
      <c r="W497" s="1486"/>
      <c r="X497" s="1483">
        <f t="shared" si="132"/>
        <v>0</v>
      </c>
      <c r="Y497" s="1483">
        <f t="shared" si="133"/>
        <v>0</v>
      </c>
      <c r="Z497" s="1486"/>
    </row>
    <row r="498" spans="1:26">
      <c r="A498" s="1414"/>
      <c r="B498" s="1415"/>
      <c r="C498" s="1405">
        <f t="shared" si="122"/>
        <v>1</v>
      </c>
      <c r="D498" s="1411"/>
      <c r="E498" s="1405">
        <f t="shared" si="123"/>
        <v>0</v>
      </c>
      <c r="F498" s="1411"/>
      <c r="G498" s="1405">
        <f t="shared" si="124"/>
        <v>1</v>
      </c>
      <c r="H498" s="1411"/>
      <c r="I498" s="1405">
        <f t="shared" si="125"/>
        <v>1</v>
      </c>
      <c r="J498" s="1411"/>
      <c r="K498" s="1405">
        <f t="shared" si="126"/>
        <v>1</v>
      </c>
      <c r="L498" s="1411"/>
      <c r="M498" s="1405">
        <f t="shared" si="127"/>
        <v>1</v>
      </c>
      <c r="N498" s="1411"/>
      <c r="O498" s="1405">
        <f t="shared" si="128"/>
        <v>1</v>
      </c>
      <c r="P498" s="1411"/>
      <c r="Q498" s="1405">
        <f t="shared" si="129"/>
        <v>0</v>
      </c>
      <c r="R498" s="1476">
        <f t="shared" si="134"/>
        <v>0</v>
      </c>
      <c r="S498" s="1358">
        <f t="shared" si="135"/>
        <v>0</v>
      </c>
      <c r="T498" s="1485">
        <f t="shared" si="136"/>
        <v>0</v>
      </c>
      <c r="U498" s="1483">
        <f t="shared" si="130"/>
        <v>0</v>
      </c>
      <c r="V498" s="1483">
        <f t="shared" si="131"/>
        <v>0</v>
      </c>
      <c r="W498" s="1486"/>
      <c r="X498" s="1483">
        <f t="shared" si="132"/>
        <v>0</v>
      </c>
      <c r="Y498" s="1483">
        <f t="shared" si="133"/>
        <v>0</v>
      </c>
      <c r="Z498" s="1486"/>
    </row>
    <row r="499" spans="1:26">
      <c r="A499" s="1414"/>
      <c r="B499" s="1415"/>
      <c r="C499" s="1405">
        <f t="shared" si="122"/>
        <v>1</v>
      </c>
      <c r="D499" s="1411"/>
      <c r="E499" s="1405">
        <f t="shared" si="123"/>
        <v>0</v>
      </c>
      <c r="F499" s="1411"/>
      <c r="G499" s="1405">
        <f t="shared" si="124"/>
        <v>1</v>
      </c>
      <c r="H499" s="1411"/>
      <c r="I499" s="1405">
        <f t="shared" si="125"/>
        <v>1</v>
      </c>
      <c r="J499" s="1411"/>
      <c r="K499" s="1405">
        <f t="shared" si="126"/>
        <v>1</v>
      </c>
      <c r="L499" s="1411"/>
      <c r="M499" s="1405">
        <f t="shared" si="127"/>
        <v>1</v>
      </c>
      <c r="N499" s="1411"/>
      <c r="O499" s="1405">
        <f t="shared" si="128"/>
        <v>1</v>
      </c>
      <c r="P499" s="1411"/>
      <c r="Q499" s="1405">
        <f t="shared" si="129"/>
        <v>0</v>
      </c>
      <c r="R499" s="1476">
        <f t="shared" si="134"/>
        <v>0</v>
      </c>
      <c r="S499" s="1358">
        <f t="shared" si="135"/>
        <v>0</v>
      </c>
      <c r="T499" s="1485">
        <f t="shared" si="136"/>
        <v>0</v>
      </c>
      <c r="U499" s="1483">
        <f t="shared" si="130"/>
        <v>0</v>
      </c>
      <c r="V499" s="1483">
        <f t="shared" si="131"/>
        <v>0</v>
      </c>
      <c r="W499" s="1486"/>
      <c r="X499" s="1483">
        <f t="shared" si="132"/>
        <v>0</v>
      </c>
      <c r="Y499" s="1483">
        <f t="shared" si="133"/>
        <v>0</v>
      </c>
      <c r="Z499" s="1486"/>
    </row>
    <row r="500" spans="1:26">
      <c r="A500" s="1414"/>
      <c r="B500" s="1415"/>
      <c r="C500" s="1405">
        <f t="shared" si="122"/>
        <v>1</v>
      </c>
      <c r="D500" s="1411"/>
      <c r="E500" s="1405">
        <f t="shared" si="123"/>
        <v>0</v>
      </c>
      <c r="F500" s="1411"/>
      <c r="G500" s="1405">
        <f t="shared" si="124"/>
        <v>1</v>
      </c>
      <c r="H500" s="1411"/>
      <c r="I500" s="1405">
        <f t="shared" si="125"/>
        <v>1</v>
      </c>
      <c r="J500" s="1411"/>
      <c r="K500" s="1405">
        <f t="shared" si="126"/>
        <v>1</v>
      </c>
      <c r="L500" s="1411"/>
      <c r="M500" s="1405">
        <f t="shared" si="127"/>
        <v>1</v>
      </c>
      <c r="N500" s="1411"/>
      <c r="O500" s="1405">
        <f t="shared" si="128"/>
        <v>1</v>
      </c>
      <c r="P500" s="1411"/>
      <c r="Q500" s="1405">
        <f t="shared" si="129"/>
        <v>0</v>
      </c>
      <c r="R500" s="1476">
        <f t="shared" si="134"/>
        <v>0</v>
      </c>
      <c r="S500" s="1358">
        <f t="shared" si="135"/>
        <v>0</v>
      </c>
      <c r="T500" s="1485">
        <f t="shared" si="136"/>
        <v>0</v>
      </c>
      <c r="U500" s="1483">
        <f t="shared" si="130"/>
        <v>0</v>
      </c>
      <c r="V500" s="1483">
        <f t="shared" si="131"/>
        <v>0</v>
      </c>
      <c r="W500" s="1486"/>
      <c r="X500" s="1483">
        <f t="shared" si="132"/>
        <v>0</v>
      </c>
      <c r="Y500" s="1483">
        <f t="shared" si="133"/>
        <v>0</v>
      </c>
      <c r="Z500" s="1486"/>
    </row>
    <row r="501" spans="1:26">
      <c r="A501" s="1414"/>
      <c r="B501" s="1415"/>
      <c r="C501" s="1405">
        <f t="shared" si="122"/>
        <v>1</v>
      </c>
      <c r="D501" s="1411"/>
      <c r="E501" s="1405">
        <f t="shared" si="123"/>
        <v>0</v>
      </c>
      <c r="F501" s="1411"/>
      <c r="G501" s="1405">
        <f t="shared" si="124"/>
        <v>1</v>
      </c>
      <c r="H501" s="1411"/>
      <c r="I501" s="1405">
        <f t="shared" si="125"/>
        <v>1</v>
      </c>
      <c r="J501" s="1411"/>
      <c r="K501" s="1405">
        <f t="shared" si="126"/>
        <v>1</v>
      </c>
      <c r="L501" s="1411"/>
      <c r="M501" s="1405">
        <f t="shared" si="127"/>
        <v>1</v>
      </c>
      <c r="N501" s="1411"/>
      <c r="O501" s="1405">
        <f t="shared" si="128"/>
        <v>1</v>
      </c>
      <c r="P501" s="1411"/>
      <c r="Q501" s="1405">
        <f t="shared" si="129"/>
        <v>0</v>
      </c>
      <c r="R501" s="1476">
        <f t="shared" si="134"/>
        <v>0</v>
      </c>
      <c r="S501" s="1358">
        <f t="shared" si="135"/>
        <v>0</v>
      </c>
      <c r="T501" s="1485">
        <f t="shared" si="136"/>
        <v>0</v>
      </c>
      <c r="U501" s="1483">
        <f t="shared" si="130"/>
        <v>0</v>
      </c>
      <c r="V501" s="1483">
        <f t="shared" si="131"/>
        <v>0</v>
      </c>
      <c r="W501" s="1486"/>
      <c r="X501" s="1483">
        <f t="shared" si="132"/>
        <v>0</v>
      </c>
      <c r="Y501" s="1483">
        <f t="shared" si="133"/>
        <v>0</v>
      </c>
      <c r="Z501" s="1486"/>
    </row>
    <row r="502" spans="1:26">
      <c r="A502" s="1414"/>
      <c r="B502" s="1415"/>
      <c r="C502" s="1405">
        <f t="shared" si="122"/>
        <v>1</v>
      </c>
      <c r="D502" s="1411"/>
      <c r="E502" s="1405">
        <f t="shared" si="123"/>
        <v>0</v>
      </c>
      <c r="F502" s="1411"/>
      <c r="G502" s="1405">
        <f t="shared" si="124"/>
        <v>1</v>
      </c>
      <c r="H502" s="1411"/>
      <c r="I502" s="1405">
        <f t="shared" si="125"/>
        <v>1</v>
      </c>
      <c r="J502" s="1411"/>
      <c r="K502" s="1405">
        <f t="shared" si="126"/>
        <v>1</v>
      </c>
      <c r="L502" s="1411"/>
      <c r="M502" s="1405">
        <f t="shared" si="127"/>
        <v>1</v>
      </c>
      <c r="N502" s="1411"/>
      <c r="O502" s="1405">
        <f t="shared" si="128"/>
        <v>1</v>
      </c>
      <c r="P502" s="1411"/>
      <c r="Q502" s="1405">
        <f t="shared" si="129"/>
        <v>0</v>
      </c>
      <c r="R502" s="1476">
        <f t="shared" si="134"/>
        <v>0</v>
      </c>
      <c r="S502" s="1358">
        <f t="shared" si="135"/>
        <v>0</v>
      </c>
      <c r="T502" s="1485">
        <f t="shared" si="136"/>
        <v>0</v>
      </c>
      <c r="U502" s="1483">
        <f t="shared" si="130"/>
        <v>0</v>
      </c>
      <c r="V502" s="1483">
        <f t="shared" si="131"/>
        <v>0</v>
      </c>
      <c r="W502" s="1486"/>
      <c r="X502" s="1483">
        <f t="shared" si="132"/>
        <v>0</v>
      </c>
      <c r="Y502" s="1483">
        <f t="shared" si="133"/>
        <v>0</v>
      </c>
      <c r="Z502" s="1486"/>
    </row>
    <row r="503" spans="1:26">
      <c r="A503" s="1414"/>
      <c r="B503" s="1415"/>
      <c r="C503" s="1405">
        <f t="shared" si="122"/>
        <v>1</v>
      </c>
      <c r="D503" s="1411"/>
      <c r="E503" s="1405">
        <f t="shared" si="123"/>
        <v>0</v>
      </c>
      <c r="F503" s="1411"/>
      <c r="G503" s="1405">
        <f t="shared" si="124"/>
        <v>1</v>
      </c>
      <c r="H503" s="1411"/>
      <c r="I503" s="1405">
        <f t="shared" si="125"/>
        <v>1</v>
      </c>
      <c r="J503" s="1411"/>
      <c r="K503" s="1405">
        <f t="shared" si="126"/>
        <v>1</v>
      </c>
      <c r="L503" s="1411"/>
      <c r="M503" s="1405">
        <f t="shared" si="127"/>
        <v>1</v>
      </c>
      <c r="N503" s="1411"/>
      <c r="O503" s="1405">
        <f t="shared" si="128"/>
        <v>1</v>
      </c>
      <c r="P503" s="1411"/>
      <c r="Q503" s="1405">
        <f t="shared" si="129"/>
        <v>0</v>
      </c>
      <c r="R503" s="1476">
        <f t="shared" si="134"/>
        <v>0</v>
      </c>
      <c r="S503" s="1358">
        <f t="shared" si="135"/>
        <v>0</v>
      </c>
      <c r="T503" s="1485">
        <f t="shared" si="136"/>
        <v>0</v>
      </c>
      <c r="U503" s="1483">
        <f t="shared" si="130"/>
        <v>0</v>
      </c>
      <c r="V503" s="1483">
        <f t="shared" si="131"/>
        <v>0</v>
      </c>
      <c r="W503" s="1486"/>
      <c r="X503" s="1483">
        <f t="shared" si="132"/>
        <v>0</v>
      </c>
      <c r="Y503" s="1483">
        <f t="shared" si="133"/>
        <v>0</v>
      </c>
      <c r="Z503" s="1486"/>
    </row>
    <row r="504" spans="1:26">
      <c r="A504" s="1414"/>
      <c r="B504" s="1415"/>
      <c r="C504" s="1405">
        <f t="shared" si="122"/>
        <v>1</v>
      </c>
      <c r="D504" s="1411"/>
      <c r="E504" s="1405">
        <f t="shared" si="123"/>
        <v>0</v>
      </c>
      <c r="F504" s="1411"/>
      <c r="G504" s="1405">
        <f t="shared" si="124"/>
        <v>1</v>
      </c>
      <c r="H504" s="1411"/>
      <c r="I504" s="1405">
        <f t="shared" si="125"/>
        <v>1</v>
      </c>
      <c r="J504" s="1411"/>
      <c r="K504" s="1405">
        <f t="shared" si="126"/>
        <v>1</v>
      </c>
      <c r="L504" s="1411"/>
      <c r="M504" s="1405">
        <f t="shared" si="127"/>
        <v>1</v>
      </c>
      <c r="N504" s="1411"/>
      <c r="O504" s="1405">
        <f t="shared" si="128"/>
        <v>1</v>
      </c>
      <c r="P504" s="1411"/>
      <c r="Q504" s="1405">
        <f t="shared" si="129"/>
        <v>0</v>
      </c>
      <c r="R504" s="1476">
        <f t="shared" si="134"/>
        <v>0</v>
      </c>
      <c r="S504" s="1358">
        <f t="shared" si="135"/>
        <v>0</v>
      </c>
      <c r="T504" s="1485">
        <f t="shared" si="136"/>
        <v>0</v>
      </c>
      <c r="U504" s="1483">
        <f t="shared" si="130"/>
        <v>0</v>
      </c>
      <c r="V504" s="1483">
        <f t="shared" si="131"/>
        <v>0</v>
      </c>
      <c r="W504" s="1486"/>
      <c r="X504" s="1483">
        <f t="shared" si="132"/>
        <v>0</v>
      </c>
      <c r="Y504" s="1483">
        <f t="shared" si="133"/>
        <v>0</v>
      </c>
      <c r="Z504" s="1486"/>
    </row>
    <row r="505" spans="1:26">
      <c r="A505" s="1414"/>
      <c r="B505" s="1415"/>
      <c r="C505" s="1405">
        <f t="shared" si="122"/>
        <v>1</v>
      </c>
      <c r="D505" s="1411"/>
      <c r="E505" s="1405">
        <f t="shared" si="123"/>
        <v>0</v>
      </c>
      <c r="F505" s="1411"/>
      <c r="G505" s="1405">
        <f t="shared" si="124"/>
        <v>1</v>
      </c>
      <c r="H505" s="1411"/>
      <c r="I505" s="1405">
        <f t="shared" si="125"/>
        <v>1</v>
      </c>
      <c r="J505" s="1411"/>
      <c r="K505" s="1405">
        <f t="shared" si="126"/>
        <v>1</v>
      </c>
      <c r="L505" s="1411"/>
      <c r="M505" s="1405">
        <f t="shared" si="127"/>
        <v>1</v>
      </c>
      <c r="N505" s="1411"/>
      <c r="O505" s="1405">
        <f t="shared" si="128"/>
        <v>1</v>
      </c>
      <c r="P505" s="1411"/>
      <c r="Q505" s="1405">
        <f t="shared" si="129"/>
        <v>0</v>
      </c>
      <c r="R505" s="1476">
        <f t="shared" si="134"/>
        <v>0</v>
      </c>
      <c r="S505" s="1358">
        <f t="shared" si="135"/>
        <v>0</v>
      </c>
      <c r="T505" s="1485">
        <f t="shared" si="136"/>
        <v>0</v>
      </c>
      <c r="U505" s="1483">
        <f t="shared" si="130"/>
        <v>0</v>
      </c>
      <c r="V505" s="1483">
        <f t="shared" si="131"/>
        <v>0</v>
      </c>
      <c r="W505" s="1486"/>
      <c r="X505" s="1483">
        <f t="shared" si="132"/>
        <v>0</v>
      </c>
      <c r="Y505" s="1483">
        <f t="shared" si="133"/>
        <v>0</v>
      </c>
      <c r="Z505" s="1486"/>
    </row>
    <row r="506" spans="1:26">
      <c r="A506" s="1414"/>
      <c r="B506" s="1415"/>
      <c r="C506" s="1405">
        <f t="shared" si="122"/>
        <v>1</v>
      </c>
      <c r="D506" s="1411"/>
      <c r="E506" s="1405">
        <f t="shared" si="123"/>
        <v>0</v>
      </c>
      <c r="F506" s="1411"/>
      <c r="G506" s="1405">
        <f t="shared" si="124"/>
        <v>1</v>
      </c>
      <c r="H506" s="1411"/>
      <c r="I506" s="1405">
        <f t="shared" si="125"/>
        <v>1</v>
      </c>
      <c r="J506" s="1411"/>
      <c r="K506" s="1405">
        <f t="shared" si="126"/>
        <v>1</v>
      </c>
      <c r="L506" s="1411"/>
      <c r="M506" s="1405">
        <f t="shared" si="127"/>
        <v>1</v>
      </c>
      <c r="N506" s="1411"/>
      <c r="O506" s="1405">
        <f t="shared" si="128"/>
        <v>1</v>
      </c>
      <c r="P506" s="1411"/>
      <c r="Q506" s="1405">
        <f t="shared" si="129"/>
        <v>0</v>
      </c>
      <c r="R506" s="1476">
        <f t="shared" si="134"/>
        <v>0</v>
      </c>
      <c r="S506" s="1358">
        <f t="shared" si="135"/>
        <v>0</v>
      </c>
      <c r="T506" s="1485">
        <f t="shared" si="136"/>
        <v>0</v>
      </c>
      <c r="U506" s="1483">
        <f t="shared" si="130"/>
        <v>0</v>
      </c>
      <c r="V506" s="1483">
        <f t="shared" si="131"/>
        <v>0</v>
      </c>
      <c r="W506" s="1486"/>
      <c r="X506" s="1483">
        <f t="shared" si="132"/>
        <v>0</v>
      </c>
      <c r="Y506" s="1483">
        <f t="shared" si="133"/>
        <v>0</v>
      </c>
      <c r="Z506" s="1486"/>
    </row>
    <row r="507" spans="1:26">
      <c r="A507" s="1414"/>
      <c r="B507" s="1415"/>
      <c r="C507" s="1405">
        <f t="shared" si="122"/>
        <v>1</v>
      </c>
      <c r="D507" s="1411"/>
      <c r="E507" s="1405">
        <f t="shared" si="123"/>
        <v>0</v>
      </c>
      <c r="F507" s="1411"/>
      <c r="G507" s="1405">
        <f t="shared" si="124"/>
        <v>1</v>
      </c>
      <c r="H507" s="1411"/>
      <c r="I507" s="1405">
        <f t="shared" si="125"/>
        <v>1</v>
      </c>
      <c r="J507" s="1411"/>
      <c r="K507" s="1405">
        <f t="shared" si="126"/>
        <v>1</v>
      </c>
      <c r="L507" s="1411"/>
      <c r="M507" s="1405">
        <f t="shared" si="127"/>
        <v>1</v>
      </c>
      <c r="N507" s="1411"/>
      <c r="O507" s="1405">
        <f t="shared" si="128"/>
        <v>1</v>
      </c>
      <c r="P507" s="1411"/>
      <c r="Q507" s="1405">
        <f t="shared" si="129"/>
        <v>0</v>
      </c>
      <c r="R507" s="1476">
        <f t="shared" si="134"/>
        <v>0</v>
      </c>
      <c r="S507" s="1358">
        <f t="shared" si="135"/>
        <v>0</v>
      </c>
      <c r="T507" s="1485">
        <f t="shared" si="136"/>
        <v>0</v>
      </c>
      <c r="U507" s="1483">
        <f t="shared" si="130"/>
        <v>0</v>
      </c>
      <c r="V507" s="1483">
        <f t="shared" si="131"/>
        <v>0</v>
      </c>
      <c r="W507" s="1486"/>
      <c r="X507" s="1483">
        <f t="shared" si="132"/>
        <v>0</v>
      </c>
      <c r="Y507" s="1483">
        <f t="shared" si="133"/>
        <v>0</v>
      </c>
      <c r="Z507" s="1486"/>
    </row>
    <row r="508" spans="1:26">
      <c r="A508" s="1414"/>
      <c r="B508" s="1415"/>
      <c r="C508" s="1405">
        <f t="shared" si="122"/>
        <v>1</v>
      </c>
      <c r="D508" s="1411"/>
      <c r="E508" s="1405">
        <f t="shared" si="123"/>
        <v>0</v>
      </c>
      <c r="F508" s="1411"/>
      <c r="G508" s="1405">
        <f t="shared" si="124"/>
        <v>1</v>
      </c>
      <c r="H508" s="1411"/>
      <c r="I508" s="1405">
        <f t="shared" si="125"/>
        <v>1</v>
      </c>
      <c r="J508" s="1411"/>
      <c r="K508" s="1405">
        <f t="shared" si="126"/>
        <v>1</v>
      </c>
      <c r="L508" s="1411"/>
      <c r="M508" s="1405">
        <f t="shared" si="127"/>
        <v>1</v>
      </c>
      <c r="N508" s="1411"/>
      <c r="O508" s="1405">
        <f t="shared" si="128"/>
        <v>1</v>
      </c>
      <c r="P508" s="1411"/>
      <c r="Q508" s="1405">
        <f t="shared" si="129"/>
        <v>0</v>
      </c>
      <c r="R508" s="1476">
        <f t="shared" si="134"/>
        <v>0</v>
      </c>
      <c r="S508" s="1358">
        <f t="shared" si="135"/>
        <v>0</v>
      </c>
      <c r="T508" s="1485">
        <f t="shared" si="136"/>
        <v>0</v>
      </c>
      <c r="U508" s="1483">
        <f t="shared" si="130"/>
        <v>0</v>
      </c>
      <c r="V508" s="1483">
        <f t="shared" si="131"/>
        <v>0</v>
      </c>
      <c r="W508" s="1486"/>
      <c r="X508" s="1483">
        <f t="shared" si="132"/>
        <v>0</v>
      </c>
      <c r="Y508" s="1483">
        <f t="shared" si="133"/>
        <v>0</v>
      </c>
      <c r="Z508" s="1486"/>
    </row>
    <row r="509" spans="1:26">
      <c r="A509" s="1414"/>
      <c r="B509" s="1415"/>
      <c r="C509" s="1405">
        <f t="shared" si="122"/>
        <v>1</v>
      </c>
      <c r="D509" s="1411"/>
      <c r="E509" s="1405">
        <f t="shared" si="123"/>
        <v>0</v>
      </c>
      <c r="F509" s="1411"/>
      <c r="G509" s="1405">
        <f t="shared" si="124"/>
        <v>1</v>
      </c>
      <c r="H509" s="1411"/>
      <c r="I509" s="1405">
        <f t="shared" si="125"/>
        <v>1</v>
      </c>
      <c r="J509" s="1411"/>
      <c r="K509" s="1405">
        <f t="shared" si="126"/>
        <v>1</v>
      </c>
      <c r="L509" s="1411"/>
      <c r="M509" s="1405">
        <f t="shared" si="127"/>
        <v>1</v>
      </c>
      <c r="N509" s="1411"/>
      <c r="O509" s="1405">
        <f t="shared" si="128"/>
        <v>1</v>
      </c>
      <c r="P509" s="1411"/>
      <c r="Q509" s="1405">
        <f t="shared" si="129"/>
        <v>0</v>
      </c>
      <c r="R509" s="1476">
        <f t="shared" si="134"/>
        <v>0</v>
      </c>
      <c r="S509" s="1358">
        <f t="shared" si="135"/>
        <v>0</v>
      </c>
      <c r="T509" s="1485">
        <f t="shared" si="136"/>
        <v>0</v>
      </c>
      <c r="U509" s="1483">
        <f t="shared" si="130"/>
        <v>0</v>
      </c>
      <c r="V509" s="1483">
        <f t="shared" si="131"/>
        <v>0</v>
      </c>
      <c r="W509" s="1486"/>
      <c r="X509" s="1483">
        <f t="shared" si="132"/>
        <v>0</v>
      </c>
      <c r="Y509" s="1483">
        <f t="shared" si="133"/>
        <v>0</v>
      </c>
      <c r="Z509" s="1486"/>
    </row>
    <row r="510" spans="1:26">
      <c r="A510" s="1414"/>
      <c r="B510" s="1415"/>
      <c r="C510" s="1405">
        <f t="shared" si="122"/>
        <v>1</v>
      </c>
      <c r="D510" s="1411"/>
      <c r="E510" s="1405">
        <f t="shared" si="123"/>
        <v>0</v>
      </c>
      <c r="F510" s="1411"/>
      <c r="G510" s="1405">
        <f t="shared" si="124"/>
        <v>1</v>
      </c>
      <c r="H510" s="1411"/>
      <c r="I510" s="1405">
        <f t="shared" si="125"/>
        <v>1</v>
      </c>
      <c r="J510" s="1411"/>
      <c r="K510" s="1405">
        <f t="shared" si="126"/>
        <v>1</v>
      </c>
      <c r="L510" s="1411"/>
      <c r="M510" s="1405">
        <f t="shared" si="127"/>
        <v>1</v>
      </c>
      <c r="N510" s="1411"/>
      <c r="O510" s="1405">
        <f t="shared" si="128"/>
        <v>1</v>
      </c>
      <c r="P510" s="1411"/>
      <c r="Q510" s="1405">
        <f t="shared" si="129"/>
        <v>0</v>
      </c>
      <c r="R510" s="1476">
        <f t="shared" si="134"/>
        <v>0</v>
      </c>
      <c r="S510" s="1358">
        <f t="shared" si="135"/>
        <v>0</v>
      </c>
      <c r="T510" s="1485">
        <f t="shared" si="136"/>
        <v>0</v>
      </c>
      <c r="U510" s="1483">
        <f t="shared" si="130"/>
        <v>0</v>
      </c>
      <c r="V510" s="1483">
        <f t="shared" si="131"/>
        <v>0</v>
      </c>
      <c r="W510" s="1486"/>
      <c r="X510" s="1483">
        <f t="shared" si="132"/>
        <v>0</v>
      </c>
      <c r="Y510" s="1483">
        <f t="shared" si="133"/>
        <v>0</v>
      </c>
      <c r="Z510" s="1486"/>
    </row>
    <row r="511" spans="1:26">
      <c r="A511" s="1414"/>
      <c r="B511" s="1415"/>
      <c r="C511" s="1405">
        <f t="shared" si="122"/>
        <v>1</v>
      </c>
      <c r="D511" s="1411"/>
      <c r="E511" s="1405">
        <f t="shared" si="123"/>
        <v>0</v>
      </c>
      <c r="F511" s="1411"/>
      <c r="G511" s="1405">
        <f t="shared" si="124"/>
        <v>1</v>
      </c>
      <c r="H511" s="1411"/>
      <c r="I511" s="1405">
        <f t="shared" si="125"/>
        <v>1</v>
      </c>
      <c r="J511" s="1411"/>
      <c r="K511" s="1405">
        <f t="shared" si="126"/>
        <v>1</v>
      </c>
      <c r="L511" s="1411"/>
      <c r="M511" s="1405">
        <f t="shared" si="127"/>
        <v>1</v>
      </c>
      <c r="N511" s="1411"/>
      <c r="O511" s="1405">
        <f t="shared" si="128"/>
        <v>1</v>
      </c>
      <c r="P511" s="1411"/>
      <c r="Q511" s="1405">
        <f t="shared" si="129"/>
        <v>0</v>
      </c>
      <c r="R511" s="1476">
        <f t="shared" si="134"/>
        <v>0</v>
      </c>
      <c r="S511" s="1358">
        <f t="shared" si="135"/>
        <v>0</v>
      </c>
      <c r="T511" s="1485">
        <f t="shared" si="136"/>
        <v>0</v>
      </c>
      <c r="U511" s="1483">
        <f t="shared" si="130"/>
        <v>0</v>
      </c>
      <c r="V511" s="1483">
        <f t="shared" si="131"/>
        <v>0</v>
      </c>
      <c r="W511" s="1486"/>
      <c r="X511" s="1483">
        <f t="shared" si="132"/>
        <v>0</v>
      </c>
      <c r="Y511" s="1483">
        <f t="shared" si="133"/>
        <v>0</v>
      </c>
      <c r="Z511" s="1486"/>
    </row>
    <row r="512" spans="1:26">
      <c r="A512" s="1414"/>
      <c r="B512" s="1415"/>
      <c r="C512" s="1405">
        <f t="shared" si="122"/>
        <v>1</v>
      </c>
      <c r="D512" s="1411"/>
      <c r="E512" s="1405">
        <f t="shared" si="123"/>
        <v>0</v>
      </c>
      <c r="F512" s="1411"/>
      <c r="G512" s="1405">
        <f t="shared" si="124"/>
        <v>1</v>
      </c>
      <c r="H512" s="1411"/>
      <c r="I512" s="1405">
        <f t="shared" si="125"/>
        <v>1</v>
      </c>
      <c r="J512" s="1411"/>
      <c r="K512" s="1405">
        <f t="shared" si="126"/>
        <v>1</v>
      </c>
      <c r="L512" s="1411"/>
      <c r="M512" s="1405">
        <f t="shared" si="127"/>
        <v>1</v>
      </c>
      <c r="N512" s="1411"/>
      <c r="O512" s="1405">
        <f t="shared" si="128"/>
        <v>1</v>
      </c>
      <c r="P512" s="1411"/>
      <c r="Q512" s="1405">
        <f t="shared" si="129"/>
        <v>0</v>
      </c>
      <c r="R512" s="1476">
        <f t="shared" si="134"/>
        <v>0</v>
      </c>
      <c r="S512" s="1358">
        <f t="shared" si="135"/>
        <v>0</v>
      </c>
      <c r="T512" s="1485">
        <f t="shared" si="136"/>
        <v>0</v>
      </c>
      <c r="U512" s="1483">
        <f t="shared" si="130"/>
        <v>0</v>
      </c>
      <c r="V512" s="1483">
        <f t="shared" si="131"/>
        <v>0</v>
      </c>
      <c r="W512" s="1486"/>
      <c r="X512" s="1483">
        <f t="shared" si="132"/>
        <v>0</v>
      </c>
      <c r="Y512" s="1483">
        <f t="shared" si="133"/>
        <v>0</v>
      </c>
      <c r="Z512" s="1486"/>
    </row>
    <row r="513" spans="1:26">
      <c r="A513" s="1414"/>
      <c r="B513" s="1415"/>
      <c r="C513" s="1405">
        <f t="shared" si="122"/>
        <v>1</v>
      </c>
      <c r="D513" s="1411"/>
      <c r="E513" s="1405">
        <f t="shared" si="123"/>
        <v>0</v>
      </c>
      <c r="F513" s="1411"/>
      <c r="G513" s="1405">
        <f t="shared" si="124"/>
        <v>1</v>
      </c>
      <c r="H513" s="1411"/>
      <c r="I513" s="1405">
        <f t="shared" si="125"/>
        <v>1</v>
      </c>
      <c r="J513" s="1411"/>
      <c r="K513" s="1405">
        <f t="shared" si="126"/>
        <v>1</v>
      </c>
      <c r="L513" s="1411"/>
      <c r="M513" s="1405">
        <f t="shared" si="127"/>
        <v>1</v>
      </c>
      <c r="N513" s="1411"/>
      <c r="O513" s="1405">
        <f t="shared" si="128"/>
        <v>1</v>
      </c>
      <c r="P513" s="1411"/>
      <c r="Q513" s="1405">
        <f t="shared" si="129"/>
        <v>0</v>
      </c>
      <c r="R513" s="1476">
        <f t="shared" si="134"/>
        <v>0</v>
      </c>
      <c r="S513" s="1358">
        <f t="shared" si="135"/>
        <v>0</v>
      </c>
      <c r="T513" s="1485">
        <f t="shared" si="136"/>
        <v>0</v>
      </c>
      <c r="U513" s="1483">
        <f t="shared" si="130"/>
        <v>0</v>
      </c>
      <c r="V513" s="1483">
        <f t="shared" si="131"/>
        <v>0</v>
      </c>
      <c r="W513" s="1486"/>
      <c r="X513" s="1483">
        <f t="shared" si="132"/>
        <v>0</v>
      </c>
      <c r="Y513" s="1483">
        <f t="shared" si="133"/>
        <v>0</v>
      </c>
      <c r="Z513" s="1486"/>
    </row>
    <row r="514" spans="1:26">
      <c r="A514" s="1414"/>
      <c r="B514" s="1415"/>
      <c r="C514" s="1405">
        <f t="shared" si="122"/>
        <v>1</v>
      </c>
      <c r="D514" s="1411"/>
      <c r="E514" s="1405">
        <f t="shared" si="123"/>
        <v>0</v>
      </c>
      <c r="F514" s="1411"/>
      <c r="G514" s="1405">
        <f t="shared" si="124"/>
        <v>1</v>
      </c>
      <c r="H514" s="1411"/>
      <c r="I514" s="1405">
        <f t="shared" si="125"/>
        <v>1</v>
      </c>
      <c r="J514" s="1411"/>
      <c r="K514" s="1405">
        <f t="shared" si="126"/>
        <v>1</v>
      </c>
      <c r="L514" s="1411"/>
      <c r="M514" s="1405">
        <f t="shared" si="127"/>
        <v>1</v>
      </c>
      <c r="N514" s="1411"/>
      <c r="O514" s="1405">
        <f t="shared" si="128"/>
        <v>1</v>
      </c>
      <c r="P514" s="1411"/>
      <c r="Q514" s="1405">
        <f t="shared" si="129"/>
        <v>0</v>
      </c>
      <c r="R514" s="1476">
        <f t="shared" si="134"/>
        <v>0</v>
      </c>
      <c r="S514" s="1358">
        <f t="shared" si="135"/>
        <v>0</v>
      </c>
      <c r="T514" s="1485">
        <f t="shared" si="136"/>
        <v>0</v>
      </c>
      <c r="U514" s="1483">
        <f t="shared" si="130"/>
        <v>0</v>
      </c>
      <c r="V514" s="1483">
        <f t="shared" si="131"/>
        <v>0</v>
      </c>
      <c r="W514" s="1486"/>
      <c r="X514" s="1483">
        <f t="shared" si="132"/>
        <v>0</v>
      </c>
      <c r="Y514" s="1483">
        <f t="shared" si="133"/>
        <v>0</v>
      </c>
      <c r="Z514" s="1486"/>
    </row>
    <row r="515" spans="1:26">
      <c r="A515" s="1414"/>
      <c r="B515" s="1415"/>
      <c r="C515" s="1405">
        <f t="shared" si="122"/>
        <v>1</v>
      </c>
      <c r="D515" s="1411"/>
      <c r="E515" s="1405">
        <f t="shared" si="123"/>
        <v>0</v>
      </c>
      <c r="F515" s="1411"/>
      <c r="G515" s="1405">
        <f t="shared" si="124"/>
        <v>1</v>
      </c>
      <c r="H515" s="1411"/>
      <c r="I515" s="1405">
        <f t="shared" si="125"/>
        <v>1</v>
      </c>
      <c r="J515" s="1411"/>
      <c r="K515" s="1405">
        <f t="shared" si="126"/>
        <v>1</v>
      </c>
      <c r="L515" s="1411"/>
      <c r="M515" s="1405">
        <f t="shared" si="127"/>
        <v>1</v>
      </c>
      <c r="N515" s="1411"/>
      <c r="O515" s="1405">
        <f t="shared" si="128"/>
        <v>1</v>
      </c>
      <c r="P515" s="1411"/>
      <c r="Q515" s="1405">
        <f t="shared" si="129"/>
        <v>0</v>
      </c>
      <c r="R515" s="1476">
        <f t="shared" si="134"/>
        <v>0</v>
      </c>
      <c r="S515" s="1358">
        <f t="shared" si="135"/>
        <v>0</v>
      </c>
      <c r="T515" s="1485">
        <f t="shared" si="136"/>
        <v>0</v>
      </c>
      <c r="U515" s="1483">
        <f t="shared" si="130"/>
        <v>0</v>
      </c>
      <c r="V515" s="1483">
        <f t="shared" si="131"/>
        <v>0</v>
      </c>
      <c r="W515" s="1486"/>
      <c r="X515" s="1483">
        <f t="shared" si="132"/>
        <v>0</v>
      </c>
      <c r="Y515" s="1483">
        <f t="shared" si="133"/>
        <v>0</v>
      </c>
      <c r="Z515" s="1486"/>
    </row>
    <row r="516" spans="1:26">
      <c r="A516" s="1414"/>
      <c r="B516" s="1415"/>
      <c r="C516" s="1405">
        <f t="shared" si="122"/>
        <v>1</v>
      </c>
      <c r="D516" s="1411"/>
      <c r="E516" s="1405">
        <f t="shared" si="123"/>
        <v>0</v>
      </c>
      <c r="F516" s="1411"/>
      <c r="G516" s="1405">
        <f t="shared" si="124"/>
        <v>1</v>
      </c>
      <c r="H516" s="1411"/>
      <c r="I516" s="1405">
        <f t="shared" si="125"/>
        <v>1</v>
      </c>
      <c r="J516" s="1411"/>
      <c r="K516" s="1405">
        <f t="shared" si="126"/>
        <v>1</v>
      </c>
      <c r="L516" s="1411"/>
      <c r="M516" s="1405">
        <f t="shared" si="127"/>
        <v>1</v>
      </c>
      <c r="N516" s="1411"/>
      <c r="O516" s="1405">
        <f t="shared" si="128"/>
        <v>1</v>
      </c>
      <c r="P516" s="1411"/>
      <c r="Q516" s="1405">
        <f t="shared" si="129"/>
        <v>0</v>
      </c>
      <c r="R516" s="1476">
        <f t="shared" si="134"/>
        <v>0</v>
      </c>
      <c r="S516" s="1358">
        <f t="shared" si="135"/>
        <v>0</v>
      </c>
      <c r="T516" s="1485">
        <f t="shared" si="136"/>
        <v>0</v>
      </c>
      <c r="U516" s="1483">
        <f t="shared" si="130"/>
        <v>0</v>
      </c>
      <c r="V516" s="1483">
        <f t="shared" si="131"/>
        <v>0</v>
      </c>
      <c r="W516" s="1486"/>
      <c r="X516" s="1483">
        <f t="shared" si="132"/>
        <v>0</v>
      </c>
      <c r="Y516" s="1483">
        <f t="shared" si="133"/>
        <v>0</v>
      </c>
      <c r="Z516" s="1486"/>
    </row>
    <row r="517" spans="1:26">
      <c r="A517" s="1414"/>
      <c r="B517" s="1415"/>
      <c r="C517" s="1405">
        <f t="shared" si="122"/>
        <v>1</v>
      </c>
      <c r="D517" s="1411"/>
      <c r="E517" s="1405">
        <f t="shared" si="123"/>
        <v>0</v>
      </c>
      <c r="F517" s="1411"/>
      <c r="G517" s="1405">
        <f t="shared" si="124"/>
        <v>1</v>
      </c>
      <c r="H517" s="1411"/>
      <c r="I517" s="1405">
        <f t="shared" si="125"/>
        <v>1</v>
      </c>
      <c r="J517" s="1411"/>
      <c r="K517" s="1405">
        <f t="shared" si="126"/>
        <v>1</v>
      </c>
      <c r="L517" s="1411"/>
      <c r="M517" s="1405">
        <f t="shared" si="127"/>
        <v>1</v>
      </c>
      <c r="N517" s="1411"/>
      <c r="O517" s="1405">
        <f t="shared" si="128"/>
        <v>1</v>
      </c>
      <c r="P517" s="1411"/>
      <c r="Q517" s="1405">
        <f t="shared" si="129"/>
        <v>0</v>
      </c>
      <c r="R517" s="1476">
        <f t="shared" si="134"/>
        <v>0</v>
      </c>
      <c r="S517" s="1358">
        <f t="shared" si="135"/>
        <v>0</v>
      </c>
      <c r="T517" s="1485">
        <f t="shared" si="136"/>
        <v>0</v>
      </c>
      <c r="U517" s="1483">
        <f t="shared" si="130"/>
        <v>0</v>
      </c>
      <c r="V517" s="1483">
        <f t="shared" si="131"/>
        <v>0</v>
      </c>
      <c r="W517" s="1486"/>
      <c r="X517" s="1483">
        <f t="shared" si="132"/>
        <v>0</v>
      </c>
      <c r="Y517" s="1483">
        <f t="shared" si="133"/>
        <v>0</v>
      </c>
      <c r="Z517" s="1486"/>
    </row>
    <row r="518" spans="1:26">
      <c r="A518" s="1414"/>
      <c r="B518" s="1415"/>
      <c r="C518" s="1405">
        <f t="shared" si="122"/>
        <v>1</v>
      </c>
      <c r="D518" s="1411"/>
      <c r="E518" s="1405">
        <f t="shared" si="123"/>
        <v>0</v>
      </c>
      <c r="F518" s="1411"/>
      <c r="G518" s="1405">
        <f t="shared" si="124"/>
        <v>1</v>
      </c>
      <c r="H518" s="1411"/>
      <c r="I518" s="1405">
        <f t="shared" si="125"/>
        <v>1</v>
      </c>
      <c r="J518" s="1411"/>
      <c r="K518" s="1405">
        <f t="shared" si="126"/>
        <v>1</v>
      </c>
      <c r="L518" s="1411"/>
      <c r="M518" s="1405">
        <f t="shared" si="127"/>
        <v>1</v>
      </c>
      <c r="N518" s="1411"/>
      <c r="O518" s="1405">
        <f t="shared" si="128"/>
        <v>1</v>
      </c>
      <c r="P518" s="1411"/>
      <c r="Q518" s="1405">
        <f t="shared" si="129"/>
        <v>0</v>
      </c>
      <c r="R518" s="1476">
        <f t="shared" si="134"/>
        <v>0</v>
      </c>
      <c r="S518" s="1358">
        <f t="shared" si="135"/>
        <v>0</v>
      </c>
      <c r="T518" s="1485">
        <f t="shared" si="136"/>
        <v>0</v>
      </c>
      <c r="U518" s="1483">
        <f t="shared" si="130"/>
        <v>0</v>
      </c>
      <c r="V518" s="1483">
        <f t="shared" si="131"/>
        <v>0</v>
      </c>
      <c r="W518" s="1486"/>
      <c r="X518" s="1483">
        <f t="shared" si="132"/>
        <v>0</v>
      </c>
      <c r="Y518" s="1483">
        <f t="shared" si="133"/>
        <v>0</v>
      </c>
      <c r="Z518" s="1486"/>
    </row>
    <row r="519" spans="1:26">
      <c r="A519" s="1414"/>
      <c r="B519" s="1415"/>
      <c r="C519" s="1405">
        <f t="shared" si="122"/>
        <v>1</v>
      </c>
      <c r="D519" s="1411"/>
      <c r="E519" s="1405">
        <f t="shared" si="123"/>
        <v>0</v>
      </c>
      <c r="F519" s="1411"/>
      <c r="G519" s="1405">
        <f t="shared" si="124"/>
        <v>1</v>
      </c>
      <c r="H519" s="1411"/>
      <c r="I519" s="1405">
        <f t="shared" si="125"/>
        <v>1</v>
      </c>
      <c r="J519" s="1411"/>
      <c r="K519" s="1405">
        <f t="shared" si="126"/>
        <v>1</v>
      </c>
      <c r="L519" s="1411"/>
      <c r="M519" s="1405">
        <f t="shared" si="127"/>
        <v>1</v>
      </c>
      <c r="N519" s="1411"/>
      <c r="O519" s="1405">
        <f t="shared" si="128"/>
        <v>1</v>
      </c>
      <c r="P519" s="1411"/>
      <c r="Q519" s="1405">
        <f t="shared" si="129"/>
        <v>0</v>
      </c>
      <c r="R519" s="1476">
        <f t="shared" si="134"/>
        <v>0</v>
      </c>
      <c r="S519" s="1358">
        <f t="shared" si="135"/>
        <v>0</v>
      </c>
      <c r="T519" s="1485">
        <f t="shared" si="136"/>
        <v>0</v>
      </c>
      <c r="U519" s="1483">
        <f t="shared" si="130"/>
        <v>0</v>
      </c>
      <c r="V519" s="1483">
        <f t="shared" si="131"/>
        <v>0</v>
      </c>
      <c r="W519" s="1486"/>
      <c r="X519" s="1483">
        <f t="shared" si="132"/>
        <v>0</v>
      </c>
      <c r="Y519" s="1483">
        <f t="shared" si="133"/>
        <v>0</v>
      </c>
      <c r="Z519" s="1486"/>
    </row>
    <row r="520" spans="1:26">
      <c r="A520" s="1414"/>
      <c r="B520" s="1415"/>
      <c r="C520" s="1405">
        <f t="shared" si="122"/>
        <v>1</v>
      </c>
      <c r="D520" s="1411"/>
      <c r="E520" s="1405">
        <f t="shared" si="123"/>
        <v>0</v>
      </c>
      <c r="F520" s="1411"/>
      <c r="G520" s="1405">
        <f t="shared" si="124"/>
        <v>1</v>
      </c>
      <c r="H520" s="1411"/>
      <c r="I520" s="1405">
        <f t="shared" si="125"/>
        <v>1</v>
      </c>
      <c r="J520" s="1411"/>
      <c r="K520" s="1405">
        <f t="shared" si="126"/>
        <v>1</v>
      </c>
      <c r="L520" s="1411"/>
      <c r="M520" s="1405">
        <f t="shared" si="127"/>
        <v>1</v>
      </c>
      <c r="N520" s="1411"/>
      <c r="O520" s="1405">
        <f t="shared" si="128"/>
        <v>1</v>
      </c>
      <c r="P520" s="1411"/>
      <c r="Q520" s="1405">
        <f t="shared" si="129"/>
        <v>0</v>
      </c>
      <c r="R520" s="1476">
        <f t="shared" si="134"/>
        <v>0</v>
      </c>
      <c r="S520" s="1358">
        <f t="shared" si="135"/>
        <v>0</v>
      </c>
      <c r="T520" s="1485">
        <f t="shared" si="136"/>
        <v>0</v>
      </c>
      <c r="U520" s="1483">
        <f t="shared" si="130"/>
        <v>0</v>
      </c>
      <c r="V520" s="1483">
        <f t="shared" si="131"/>
        <v>0</v>
      </c>
      <c r="W520" s="1486"/>
      <c r="X520" s="1483">
        <f t="shared" si="132"/>
        <v>0</v>
      </c>
      <c r="Y520" s="1483">
        <f t="shared" si="133"/>
        <v>0</v>
      </c>
      <c r="Z520" s="1486"/>
    </row>
    <row r="521" spans="1:26">
      <c r="A521" s="1414"/>
      <c r="B521" s="1415"/>
      <c r="C521" s="1405">
        <f t="shared" si="122"/>
        <v>1</v>
      </c>
      <c r="D521" s="1411"/>
      <c r="E521" s="1405">
        <f t="shared" si="123"/>
        <v>0</v>
      </c>
      <c r="F521" s="1411"/>
      <c r="G521" s="1405">
        <f t="shared" si="124"/>
        <v>1</v>
      </c>
      <c r="H521" s="1411"/>
      <c r="I521" s="1405">
        <f t="shared" si="125"/>
        <v>1</v>
      </c>
      <c r="J521" s="1411"/>
      <c r="K521" s="1405">
        <f t="shared" si="126"/>
        <v>1</v>
      </c>
      <c r="L521" s="1411"/>
      <c r="M521" s="1405">
        <f t="shared" si="127"/>
        <v>1</v>
      </c>
      <c r="N521" s="1411"/>
      <c r="O521" s="1405">
        <f t="shared" si="128"/>
        <v>1</v>
      </c>
      <c r="P521" s="1411"/>
      <c r="Q521" s="1405">
        <f t="shared" si="129"/>
        <v>0</v>
      </c>
      <c r="R521" s="1476">
        <f t="shared" si="134"/>
        <v>0</v>
      </c>
      <c r="S521" s="1358">
        <f t="shared" si="135"/>
        <v>0</v>
      </c>
      <c r="T521" s="1485">
        <f t="shared" si="136"/>
        <v>0</v>
      </c>
      <c r="U521" s="1483">
        <f t="shared" si="130"/>
        <v>0</v>
      </c>
      <c r="V521" s="1483">
        <f t="shared" si="131"/>
        <v>0</v>
      </c>
      <c r="W521" s="1486"/>
      <c r="X521" s="1483">
        <f t="shared" si="132"/>
        <v>0</v>
      </c>
      <c r="Y521" s="1483">
        <f t="shared" si="133"/>
        <v>0</v>
      </c>
      <c r="Z521" s="1486"/>
    </row>
    <row r="522" spans="1:26">
      <c r="A522" s="1414"/>
      <c r="B522" s="1415"/>
      <c r="C522" s="1405">
        <f t="shared" si="122"/>
        <v>1</v>
      </c>
      <c r="D522" s="1411"/>
      <c r="E522" s="1405">
        <f t="shared" si="123"/>
        <v>0</v>
      </c>
      <c r="F522" s="1411"/>
      <c r="G522" s="1405">
        <f t="shared" si="124"/>
        <v>1</v>
      </c>
      <c r="H522" s="1411"/>
      <c r="I522" s="1405">
        <f t="shared" si="125"/>
        <v>1</v>
      </c>
      <c r="J522" s="1411"/>
      <c r="K522" s="1405">
        <f t="shared" si="126"/>
        <v>1</v>
      </c>
      <c r="L522" s="1411"/>
      <c r="M522" s="1405">
        <f t="shared" si="127"/>
        <v>1</v>
      </c>
      <c r="N522" s="1411"/>
      <c r="O522" s="1405">
        <f t="shared" si="128"/>
        <v>1</v>
      </c>
      <c r="P522" s="1411"/>
      <c r="Q522" s="1405">
        <f t="shared" si="129"/>
        <v>0</v>
      </c>
      <c r="R522" s="1476">
        <f t="shared" si="134"/>
        <v>0</v>
      </c>
      <c r="S522" s="1358">
        <f t="shared" si="135"/>
        <v>0</v>
      </c>
      <c r="T522" s="1485">
        <f t="shared" si="136"/>
        <v>0</v>
      </c>
      <c r="U522" s="1483">
        <f t="shared" si="130"/>
        <v>0</v>
      </c>
      <c r="V522" s="1483">
        <f t="shared" si="131"/>
        <v>0</v>
      </c>
      <c r="W522" s="1486"/>
      <c r="X522" s="1483">
        <f t="shared" si="132"/>
        <v>0</v>
      </c>
      <c r="Y522" s="1483">
        <f t="shared" si="133"/>
        <v>0</v>
      </c>
      <c r="Z522" s="1486"/>
    </row>
    <row r="523" spans="1:26">
      <c r="A523" s="1414"/>
      <c r="B523" s="1415"/>
      <c r="C523" s="1405">
        <f t="shared" si="122"/>
        <v>1</v>
      </c>
      <c r="D523" s="1411"/>
      <c r="E523" s="1405">
        <f t="shared" si="123"/>
        <v>0</v>
      </c>
      <c r="F523" s="1411"/>
      <c r="G523" s="1405">
        <f t="shared" si="124"/>
        <v>1</v>
      </c>
      <c r="H523" s="1411"/>
      <c r="I523" s="1405">
        <f t="shared" si="125"/>
        <v>1</v>
      </c>
      <c r="J523" s="1411"/>
      <c r="K523" s="1405">
        <f t="shared" si="126"/>
        <v>1</v>
      </c>
      <c r="L523" s="1411"/>
      <c r="M523" s="1405">
        <f t="shared" si="127"/>
        <v>1</v>
      </c>
      <c r="N523" s="1411"/>
      <c r="O523" s="1405">
        <f t="shared" si="128"/>
        <v>1</v>
      </c>
      <c r="P523" s="1411"/>
      <c r="Q523" s="1405">
        <f t="shared" si="129"/>
        <v>0</v>
      </c>
      <c r="R523" s="1476">
        <f t="shared" si="134"/>
        <v>0</v>
      </c>
      <c r="S523" s="1358">
        <f t="shared" si="135"/>
        <v>0</v>
      </c>
      <c r="T523" s="1485">
        <f t="shared" si="136"/>
        <v>0</v>
      </c>
      <c r="U523" s="1483">
        <f t="shared" si="130"/>
        <v>0</v>
      </c>
      <c r="V523" s="1483">
        <f t="shared" si="131"/>
        <v>0</v>
      </c>
      <c r="W523" s="1486"/>
      <c r="X523" s="1483">
        <f t="shared" si="132"/>
        <v>0</v>
      </c>
      <c r="Y523" s="1483">
        <f t="shared" si="133"/>
        <v>0</v>
      </c>
      <c r="Z523" s="1486"/>
    </row>
    <row r="524" spans="1:26">
      <c r="A524" s="1414"/>
      <c r="B524" s="1415"/>
      <c r="C524" s="1405">
        <f t="shared" si="122"/>
        <v>1</v>
      </c>
      <c r="D524" s="1411"/>
      <c r="E524" s="1405">
        <f t="shared" si="123"/>
        <v>0</v>
      </c>
      <c r="F524" s="1411"/>
      <c r="G524" s="1405">
        <f t="shared" si="124"/>
        <v>1</v>
      </c>
      <c r="H524" s="1411"/>
      <c r="I524" s="1405">
        <f t="shared" si="125"/>
        <v>1</v>
      </c>
      <c r="J524" s="1411"/>
      <c r="K524" s="1405">
        <f t="shared" si="126"/>
        <v>1</v>
      </c>
      <c r="L524" s="1411"/>
      <c r="M524" s="1405">
        <f t="shared" si="127"/>
        <v>1</v>
      </c>
      <c r="N524" s="1411"/>
      <c r="O524" s="1405">
        <f t="shared" si="128"/>
        <v>1</v>
      </c>
      <c r="P524" s="1411"/>
      <c r="Q524" s="1405">
        <f t="shared" si="129"/>
        <v>0</v>
      </c>
      <c r="R524" s="1476">
        <f t="shared" si="134"/>
        <v>0</v>
      </c>
      <c r="S524" s="1358">
        <f t="shared" si="135"/>
        <v>0</v>
      </c>
      <c r="T524" s="1485">
        <f t="shared" si="136"/>
        <v>0</v>
      </c>
      <c r="U524" s="1483">
        <f t="shared" si="130"/>
        <v>0</v>
      </c>
      <c r="V524" s="1483">
        <f t="shared" si="131"/>
        <v>0</v>
      </c>
      <c r="W524" s="1486"/>
      <c r="X524" s="1483">
        <f t="shared" si="132"/>
        <v>0</v>
      </c>
      <c r="Y524" s="1483">
        <f t="shared" si="133"/>
        <v>0</v>
      </c>
      <c r="Z524" s="1486"/>
    </row>
    <row r="525" spans="1:26">
      <c r="A525" s="1414"/>
      <c r="B525" s="1415"/>
      <c r="C525" s="1405">
        <f t="shared" si="122"/>
        <v>1</v>
      </c>
      <c r="D525" s="1411"/>
      <c r="E525" s="1405">
        <f t="shared" si="123"/>
        <v>0</v>
      </c>
      <c r="F525" s="1411"/>
      <c r="G525" s="1405">
        <f t="shared" si="124"/>
        <v>1</v>
      </c>
      <c r="H525" s="1411"/>
      <c r="I525" s="1405">
        <f t="shared" si="125"/>
        <v>1</v>
      </c>
      <c r="J525" s="1411"/>
      <c r="K525" s="1405">
        <f t="shared" si="126"/>
        <v>1</v>
      </c>
      <c r="L525" s="1411"/>
      <c r="M525" s="1405">
        <f t="shared" si="127"/>
        <v>1</v>
      </c>
      <c r="N525" s="1411"/>
      <c r="O525" s="1405">
        <f t="shared" si="128"/>
        <v>1</v>
      </c>
      <c r="P525" s="1411"/>
      <c r="Q525" s="1405">
        <f t="shared" si="129"/>
        <v>0</v>
      </c>
      <c r="R525" s="1476">
        <f t="shared" si="134"/>
        <v>0</v>
      </c>
      <c r="S525" s="1358">
        <f t="shared" si="135"/>
        <v>0</v>
      </c>
      <c r="T525" s="1485">
        <f t="shared" si="136"/>
        <v>0</v>
      </c>
      <c r="U525" s="1483">
        <f t="shared" si="130"/>
        <v>0</v>
      </c>
      <c r="V525" s="1483">
        <f t="shared" si="131"/>
        <v>0</v>
      </c>
      <c r="W525" s="1486"/>
      <c r="X525" s="1483">
        <f t="shared" si="132"/>
        <v>0</v>
      </c>
      <c r="Y525" s="1483">
        <f t="shared" si="133"/>
        <v>0</v>
      </c>
      <c r="Z525" s="1486"/>
    </row>
    <row r="526" spans="1:26">
      <c r="A526" s="1414"/>
      <c r="B526" s="1415"/>
      <c r="C526" s="1405">
        <f t="shared" si="122"/>
        <v>1</v>
      </c>
      <c r="D526" s="1411"/>
      <c r="E526" s="1405">
        <f t="shared" si="123"/>
        <v>0</v>
      </c>
      <c r="F526" s="1411"/>
      <c r="G526" s="1405">
        <f t="shared" si="124"/>
        <v>1</v>
      </c>
      <c r="H526" s="1411"/>
      <c r="I526" s="1405">
        <f t="shared" si="125"/>
        <v>1</v>
      </c>
      <c r="J526" s="1411"/>
      <c r="K526" s="1405">
        <f t="shared" si="126"/>
        <v>1</v>
      </c>
      <c r="L526" s="1411"/>
      <c r="M526" s="1405">
        <f t="shared" si="127"/>
        <v>1</v>
      </c>
      <c r="N526" s="1411"/>
      <c r="O526" s="1405">
        <f t="shared" si="128"/>
        <v>1</v>
      </c>
      <c r="P526" s="1411"/>
      <c r="Q526" s="1405">
        <f t="shared" si="129"/>
        <v>0</v>
      </c>
      <c r="R526" s="1476">
        <f t="shared" si="134"/>
        <v>0</v>
      </c>
      <c r="S526" s="1358">
        <f t="shared" si="135"/>
        <v>0</v>
      </c>
      <c r="T526" s="1485">
        <f t="shared" si="136"/>
        <v>0</v>
      </c>
      <c r="U526" s="1483">
        <f t="shared" si="130"/>
        <v>0</v>
      </c>
      <c r="V526" s="1483">
        <f t="shared" si="131"/>
        <v>0</v>
      </c>
      <c r="W526" s="1486"/>
      <c r="X526" s="1483">
        <f t="shared" si="132"/>
        <v>0</v>
      </c>
      <c r="Y526" s="1483">
        <f t="shared" si="133"/>
        <v>0</v>
      </c>
      <c r="Z526" s="1486"/>
    </row>
    <row r="527" spans="1:26">
      <c r="A527" s="1414"/>
      <c r="B527" s="1415"/>
      <c r="C527" s="1405">
        <f t="shared" si="122"/>
        <v>1</v>
      </c>
      <c r="D527" s="1411"/>
      <c r="E527" s="1405">
        <f t="shared" si="123"/>
        <v>0</v>
      </c>
      <c r="F527" s="1411"/>
      <c r="G527" s="1405">
        <f t="shared" si="124"/>
        <v>1</v>
      </c>
      <c r="H527" s="1411"/>
      <c r="I527" s="1405">
        <f t="shared" si="125"/>
        <v>1</v>
      </c>
      <c r="J527" s="1411"/>
      <c r="K527" s="1405">
        <f t="shared" si="126"/>
        <v>1</v>
      </c>
      <c r="L527" s="1411"/>
      <c r="M527" s="1405">
        <f t="shared" si="127"/>
        <v>1</v>
      </c>
      <c r="N527" s="1411"/>
      <c r="O527" s="1405">
        <f t="shared" si="128"/>
        <v>1</v>
      </c>
      <c r="P527" s="1411"/>
      <c r="Q527" s="1405">
        <f t="shared" si="129"/>
        <v>0</v>
      </c>
      <c r="R527" s="1476">
        <f t="shared" si="134"/>
        <v>0</v>
      </c>
      <c r="S527" s="1358">
        <f t="shared" si="135"/>
        <v>0</v>
      </c>
      <c r="T527" s="1485">
        <f t="shared" si="136"/>
        <v>0</v>
      </c>
      <c r="U527" s="1483">
        <f t="shared" si="130"/>
        <v>0</v>
      </c>
      <c r="V527" s="1483">
        <f t="shared" si="131"/>
        <v>0</v>
      </c>
      <c r="W527" s="1486"/>
      <c r="X527" s="1483">
        <f t="shared" si="132"/>
        <v>0</v>
      </c>
      <c r="Y527" s="1483">
        <f t="shared" si="133"/>
        <v>0</v>
      </c>
      <c r="Z527" s="1486"/>
    </row>
  </sheetData>
  <sheetProtection formatCells="0" formatColumns="0" formatRows="0"/>
  <mergeCells count="2">
    <mergeCell ref="C4:S4"/>
    <mergeCell ref="C25:Q25"/>
  </mergeCells>
  <phoneticPr fontId="205" type="noConversion"/>
  <dataValidations count="9">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L27:L527">
      <formula1>一修多修正项6</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s>
  <pageMargins left="0.70866141732283505" right="0.70866141732283505" top="0.74803149606299202" bottom="0.74803149606299202" header="0.31496062992126" footer="0.31496062992126"/>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sqref="A1:XFD1048576"/>
    </sheetView>
  </sheetViews>
  <sheetFormatPr defaultColWidth="9" defaultRowHeight="14.25"/>
  <cols>
    <col min="1" max="1" width="10.5" style="709" customWidth="1"/>
    <col min="2" max="2" width="15.75" style="709" customWidth="1"/>
    <col min="3" max="3" width="15.12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43"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1235</v>
      </c>
      <c r="B1" s="1138" t="s">
        <v>1370</v>
      </c>
      <c r="C1" s="1233"/>
      <c r="D1" s="1274"/>
      <c r="E1" s="1079"/>
      <c r="F1" s="1080" t="s">
        <v>1238</v>
      </c>
      <c r="G1" s="1078"/>
      <c r="H1" s="1078"/>
      <c r="I1" s="1078"/>
      <c r="J1" s="1078"/>
      <c r="K1" s="1136"/>
      <c r="L1" s="1137"/>
      <c r="M1" s="1138"/>
      <c r="N1" s="1138"/>
      <c r="O1" s="1138"/>
      <c r="P1" s="1257"/>
      <c r="Q1" s="1139"/>
      <c r="R1" s="1139"/>
      <c r="S1" s="1139"/>
      <c r="T1" s="1139"/>
      <c r="U1" s="1139"/>
      <c r="V1" s="1139"/>
      <c r="W1" s="1139"/>
      <c r="X1" s="1139"/>
      <c r="Y1" s="1139"/>
      <c r="Z1" s="1139"/>
      <c r="AA1" s="1139"/>
      <c r="AB1" s="1139"/>
      <c r="AC1" s="1148"/>
    </row>
    <row r="2" spans="1:29" s="1273" customFormat="1" ht="28.5" customHeight="1">
      <c r="A2" s="1081" t="s">
        <v>832</v>
      </c>
      <c r="B2" s="1082" t="e">
        <f ca="1">IF(D2="——",IF(C2="元",ROUND(C49*D3,0),ROUND(C49*D3/10000,0)),IF(C2="元",ROUND(C49*D3,0),ROUND(C49*D3/10000,0))-E2)</f>
        <v>#DIV/0!</v>
      </c>
      <c r="C2" s="1083" t="str">
        <f>'数据-取费表'!B3</f>
        <v>万元</v>
      </c>
      <c r="D2" s="1084"/>
      <c r="E2" s="1275" t="e">
        <f ca="1">SUMIF(INDIRECT("'"&amp;G2&amp;"'"&amp;"!A:A"),"承租人权益价值",INDIRECT("'"&amp;G2&amp;"'"&amp;"!c:c"))</f>
        <v>#REF!</v>
      </c>
      <c r="F2" s="1086" t="str">
        <f>C2</f>
        <v>万元</v>
      </c>
      <c r="G2" s="1087"/>
      <c r="H2" s="1034"/>
      <c r="I2" s="1034"/>
      <c r="J2" s="1034"/>
      <c r="K2" s="1281"/>
      <c r="L2" s="1282"/>
      <c r="M2" s="1283"/>
      <c r="N2" s="1283"/>
      <c r="O2" s="1283"/>
      <c r="P2" s="1284"/>
      <c r="Q2" s="1299"/>
      <c r="R2" s="1299"/>
      <c r="S2" s="1299"/>
      <c r="T2" s="1299"/>
      <c r="U2" s="1299"/>
      <c r="V2" s="1299"/>
      <c r="W2" s="1299"/>
      <c r="X2" s="1299"/>
      <c r="Y2" s="1299"/>
      <c r="Z2" s="1299"/>
      <c r="AA2" s="1299"/>
      <c r="AB2" s="1299"/>
      <c r="AC2" s="1300"/>
    </row>
    <row r="3" spans="1:29" s="1273" customFormat="1" ht="28.5" customHeight="1">
      <c r="A3" s="407" t="s">
        <v>833</v>
      </c>
      <c r="B3" s="1089" t="e">
        <f ca="1">ROUND(IF(D2="——",C49,IF(C2="万元",B2*10000/D3,B2/D3)),0)</f>
        <v>#DIV/0!</v>
      </c>
      <c r="C3" s="1088" t="s">
        <v>1239</v>
      </c>
      <c r="D3" s="1089">
        <f>IF(C1="仅计算典型户型",'数据-取费表'!E5,'数据-取费表'!B5)</f>
        <v>1024.48</v>
      </c>
      <c r="E3" s="1034"/>
      <c r="F3" s="1276"/>
      <c r="G3" s="1034"/>
      <c r="H3" s="1034"/>
      <c r="I3" s="1034"/>
      <c r="J3" s="1034"/>
      <c r="K3" s="1281"/>
      <c r="L3" s="1282"/>
      <c r="M3" s="1283"/>
      <c r="N3" s="1283"/>
      <c r="O3" s="1283"/>
      <c r="P3" s="1285"/>
      <c r="Q3" s="1299"/>
      <c r="R3" s="1299"/>
      <c r="S3" s="1299"/>
      <c r="T3" s="1299"/>
      <c r="U3" s="1299"/>
      <c r="V3" s="1299"/>
      <c r="W3" s="1299"/>
      <c r="X3" s="1299"/>
      <c r="Y3" s="1299"/>
      <c r="Z3" s="1299"/>
      <c r="AA3" s="1299"/>
      <c r="AB3" s="1299"/>
      <c r="AC3" s="1301"/>
    </row>
    <row r="4" spans="1:29" ht="15">
      <c r="A4" s="722" t="s">
        <v>1240</v>
      </c>
      <c r="B4" s="723"/>
      <c r="C4" s="3004" t="s">
        <v>1241</v>
      </c>
      <c r="D4" s="3005"/>
      <c r="E4" s="3006" t="s">
        <v>1242</v>
      </c>
      <c r="F4" s="3007"/>
      <c r="G4" s="3004" t="s">
        <v>1243</v>
      </c>
      <c r="H4" s="3005"/>
      <c r="I4" s="3004" t="s">
        <v>1244</v>
      </c>
      <c r="J4" s="3005"/>
      <c r="K4" s="1286" t="s">
        <v>1245</v>
      </c>
      <c r="L4" s="860"/>
      <c r="M4" s="861"/>
      <c r="N4" s="861"/>
      <c r="O4" s="861"/>
      <c r="P4" s="3065" t="s">
        <v>1246</v>
      </c>
      <c r="Q4" s="3024"/>
      <c r="R4" s="3038" t="s">
        <v>1242</v>
      </c>
      <c r="S4" s="3039"/>
      <c r="T4" s="3038" t="s">
        <v>1243</v>
      </c>
      <c r="U4" s="3039"/>
      <c r="V4" s="3048" t="s">
        <v>1244</v>
      </c>
      <c r="W4" s="3048"/>
      <c r="X4" s="898"/>
      <c r="Y4" s="3038" t="s">
        <v>1246</v>
      </c>
      <c r="Z4" s="3039"/>
      <c r="AA4" s="3035" t="s">
        <v>1242</v>
      </c>
      <c r="AB4" s="3035" t="s">
        <v>1243</v>
      </c>
      <c r="AC4" s="3035" t="s">
        <v>1244</v>
      </c>
    </row>
    <row r="5" spans="1:29" ht="15">
      <c r="A5" s="724"/>
      <c r="B5" s="725"/>
      <c r="C5" s="3008" t="s">
        <v>1371</v>
      </c>
      <c r="D5" s="3009"/>
      <c r="E5" s="3055" t="s">
        <v>1372</v>
      </c>
      <c r="F5" s="3011"/>
      <c r="G5" s="3008" t="s">
        <v>1373</v>
      </c>
      <c r="H5" s="3009"/>
      <c r="I5" s="3008" t="s">
        <v>1374</v>
      </c>
      <c r="J5" s="3009"/>
      <c r="K5" s="1287"/>
      <c r="L5" s="860"/>
      <c r="M5" s="861"/>
      <c r="N5" s="861"/>
      <c r="O5" s="861"/>
      <c r="P5" s="3066"/>
      <c r="Q5" s="3025"/>
      <c r="R5" s="3040"/>
      <c r="S5" s="3041"/>
      <c r="T5" s="3040"/>
      <c r="U5" s="3041"/>
      <c r="V5" s="3048"/>
      <c r="W5" s="3048"/>
      <c r="X5" s="898"/>
      <c r="Y5" s="3040"/>
      <c r="Z5" s="3041"/>
      <c r="AA5" s="3036"/>
      <c r="AB5" s="3036"/>
      <c r="AC5" s="3036"/>
    </row>
    <row r="6" spans="1:29" ht="15">
      <c r="A6" s="726"/>
      <c r="B6" s="727"/>
      <c r="C6" s="3017" t="s">
        <v>1250</v>
      </c>
      <c r="D6" s="3014"/>
      <c r="E6" s="3015" t="s">
        <v>1250</v>
      </c>
      <c r="F6" s="3016"/>
      <c r="G6" s="3017" t="s">
        <v>1250</v>
      </c>
      <c r="H6" s="3014"/>
      <c r="I6" s="3017" t="s">
        <v>1250</v>
      </c>
      <c r="J6" s="3014"/>
      <c r="K6" s="1287" t="s">
        <v>1251</v>
      </c>
      <c r="L6" s="860"/>
      <c r="M6" s="861"/>
      <c r="N6" s="861"/>
      <c r="O6" s="861"/>
      <c r="P6" s="3067"/>
      <c r="Q6" s="3047"/>
      <c r="R6" s="3040"/>
      <c r="S6" s="3041"/>
      <c r="T6" s="3042"/>
      <c r="U6" s="3043"/>
      <c r="V6" s="3048"/>
      <c r="W6" s="3048"/>
      <c r="X6" s="898"/>
      <c r="Y6" s="3042"/>
      <c r="Z6" s="3043"/>
      <c r="AA6" s="3037"/>
      <c r="AB6" s="3037"/>
      <c r="AC6" s="3037"/>
    </row>
    <row r="7" spans="1:29" s="703" customFormat="1" ht="15">
      <c r="A7" s="728" t="s">
        <v>1252</v>
      </c>
      <c r="B7" s="729"/>
      <c r="C7" s="730">
        <f>'数据-取费表'!B2</f>
        <v>43646</v>
      </c>
      <c r="D7" s="731">
        <v>100</v>
      </c>
      <c r="E7" s="732"/>
      <c r="F7" s="733">
        <f>SUMIF(58:58,YEAR(E7)&amp;"-"&amp;MONTH(E7),59:59)</f>
        <v>0</v>
      </c>
      <c r="G7" s="732"/>
      <c r="H7" s="731">
        <f>SUMIF(58:58,YEAR(G7)&amp;"-"&amp;MONTH(G7),59:59)</f>
        <v>0</v>
      </c>
      <c r="I7" s="732"/>
      <c r="J7" s="731">
        <f>SUMIF(58:58,YEAR(I7)&amp;"-"&amp;MONTH(I7),59:59)</f>
        <v>0</v>
      </c>
      <c r="K7" s="1288"/>
      <c r="L7" s="863"/>
      <c r="M7" s="864"/>
      <c r="N7" s="864"/>
      <c r="O7" s="864"/>
      <c r="P7" s="3019" t="s">
        <v>1253</v>
      </c>
      <c r="Q7" s="3018"/>
      <c r="R7" s="900" t="s">
        <v>1254</v>
      </c>
      <c r="S7" s="901">
        <f t="shared" ref="S7:S15" si="0">F7</f>
        <v>0</v>
      </c>
      <c r="T7" s="900" t="s">
        <v>1254</v>
      </c>
      <c r="U7" s="901">
        <f t="shared" ref="U7:U15" si="1">H7</f>
        <v>0</v>
      </c>
      <c r="V7" s="900" t="s">
        <v>1254</v>
      </c>
      <c r="W7" s="901">
        <f t="shared" ref="W7:W15" si="2">J7</f>
        <v>0</v>
      </c>
      <c r="X7" s="902"/>
      <c r="Y7" s="3019" t="s">
        <v>1253</v>
      </c>
      <c r="Z7" s="3020"/>
      <c r="AA7" s="913" t="e">
        <f>D7/F7</f>
        <v>#DIV/0!</v>
      </c>
      <c r="AB7" s="913" t="e">
        <f>D7/H7</f>
        <v>#DIV/0!</v>
      </c>
      <c r="AC7" s="913" t="e">
        <f>D7/J7</f>
        <v>#DIV/0!</v>
      </c>
    </row>
    <row r="8" spans="1:29" s="703" customFormat="1" ht="15">
      <c r="A8" s="728" t="s">
        <v>1255</v>
      </c>
      <c r="B8" s="729"/>
      <c r="C8" s="735" t="s">
        <v>1256</v>
      </c>
      <c r="D8" s="731">
        <v>100</v>
      </c>
      <c r="E8" s="1277"/>
      <c r="F8" s="733">
        <f>SUMIF(61:61,E8,62:62)-SUMIF(61:61,C8,62:62)+100</f>
        <v>0</v>
      </c>
      <c r="G8" s="735"/>
      <c r="H8" s="731">
        <f>SUMIF(61:61,G8,62:62)-SUMIF(61:61,C8,62:62)+100</f>
        <v>0</v>
      </c>
      <c r="I8" s="1277"/>
      <c r="J8" s="731">
        <f>SUMIF(61:61,I8,62:62)-SUMIF(61:61,C8,62:62)+100</f>
        <v>0</v>
      </c>
      <c r="K8" s="1288"/>
      <c r="L8" s="863"/>
      <c r="M8" s="864"/>
      <c r="N8" s="864"/>
      <c r="O8" s="864"/>
      <c r="P8" s="3019" t="s">
        <v>1258</v>
      </c>
      <c r="Q8" s="3020"/>
      <c r="R8" s="900" t="s">
        <v>1254</v>
      </c>
      <c r="S8" s="901">
        <f t="shared" si="0"/>
        <v>0</v>
      </c>
      <c r="T8" s="900" t="s">
        <v>1254</v>
      </c>
      <c r="U8" s="901">
        <f t="shared" si="1"/>
        <v>0</v>
      </c>
      <c r="V8" s="900" t="s">
        <v>1254</v>
      </c>
      <c r="W8" s="901">
        <f t="shared" si="2"/>
        <v>0</v>
      </c>
      <c r="X8" s="902"/>
      <c r="Y8" s="3019" t="s">
        <v>1258</v>
      </c>
      <c r="Z8" s="3020"/>
      <c r="AA8" s="913" t="e">
        <f t="shared" ref="AA8:AA46" si="3">D8/F8</f>
        <v>#DIV/0!</v>
      </c>
      <c r="AB8" s="913" t="e">
        <f t="shared" ref="AB8:AB46" si="4">D8/H8</f>
        <v>#DIV/0!</v>
      </c>
      <c r="AC8" s="913" t="e">
        <f t="shared" ref="AC8:AC46" si="5">D8/J8</f>
        <v>#DIV/0!</v>
      </c>
    </row>
    <row r="9" spans="1:29" s="703" customFormat="1">
      <c r="A9" s="736" t="s">
        <v>1259</v>
      </c>
      <c r="B9" s="737" t="s">
        <v>1260</v>
      </c>
      <c r="C9" s="1090"/>
      <c r="D9" s="739">
        <v>100</v>
      </c>
      <c r="E9" s="1163"/>
      <c r="F9" s="1247">
        <f>SUMIF(63:63,E9,64:64)-SUMIF(63:63,C9,64:64)+100</f>
        <v>100</v>
      </c>
      <c r="G9" s="1091"/>
      <c r="H9" s="739">
        <f>SUMIF(63:63,G9,64:64)-SUMIF(63:63,C9,64:64)+100</f>
        <v>100</v>
      </c>
      <c r="I9" s="1091"/>
      <c r="J9" s="739">
        <f>SUMIF(63:63,I9,64:64)-SUMIF(63:63,C9,64:64)+100</f>
        <v>100</v>
      </c>
      <c r="K9" s="1288"/>
      <c r="L9" s="863"/>
      <c r="M9" s="864"/>
      <c r="N9" s="864"/>
      <c r="O9" s="864"/>
      <c r="P9" s="3056" t="s">
        <v>1261</v>
      </c>
      <c r="Q9" s="903" t="str">
        <f t="shared" ref="Q9:Q15" si="6">B9</f>
        <v>用途</v>
      </c>
      <c r="R9" s="900" t="s">
        <v>1254</v>
      </c>
      <c r="S9" s="901">
        <f t="shared" si="0"/>
        <v>100</v>
      </c>
      <c r="T9" s="900" t="s">
        <v>1254</v>
      </c>
      <c r="U9" s="901">
        <f t="shared" si="1"/>
        <v>100</v>
      </c>
      <c r="V9" s="900" t="s">
        <v>1254</v>
      </c>
      <c r="W9" s="901">
        <f t="shared" si="2"/>
        <v>100</v>
      </c>
      <c r="X9" s="902"/>
      <c r="Y9" s="2900" t="s">
        <v>1262</v>
      </c>
      <c r="Z9" s="914" t="str">
        <f t="shared" ref="Z9:Z15" si="7">Q9</f>
        <v>用途</v>
      </c>
      <c r="AA9" s="913">
        <f t="shared" si="3"/>
        <v>1</v>
      </c>
      <c r="AB9" s="913">
        <f t="shared" si="4"/>
        <v>1</v>
      </c>
      <c r="AC9" s="913">
        <f t="shared" si="5"/>
        <v>1</v>
      </c>
    </row>
    <row r="10" spans="1:29" s="704" customFormat="1" ht="27">
      <c r="A10" s="740"/>
      <c r="B10" s="741" t="s">
        <v>1263</v>
      </c>
      <c r="C10" s="1092"/>
      <c r="D10" s="743">
        <v>100</v>
      </c>
      <c r="E10" s="1093"/>
      <c r="F10" s="1240">
        <f>SUMIF(65:65,E10,66:66)-SUMIF(65:65,C10,66:66)+100</f>
        <v>100</v>
      </c>
      <c r="G10" s="1092"/>
      <c r="H10" s="743">
        <f>SUMIF(65:65,G10,66:66)-SUMIF(65:65,C10,66:66)+100</f>
        <v>100</v>
      </c>
      <c r="I10" s="1092"/>
      <c r="J10" s="743">
        <f>SUMIF(65:65,I10,66:66)-SUMIF(65:65,C10,66:66)+100</f>
        <v>100</v>
      </c>
      <c r="K10" s="1289"/>
      <c r="L10" s="867"/>
      <c r="M10" s="868"/>
      <c r="N10" s="868"/>
      <c r="O10" s="868"/>
      <c r="P10" s="3056"/>
      <c r="Q10" s="903" t="str">
        <f t="shared" si="6"/>
        <v>土地使用年限（年）</v>
      </c>
      <c r="R10" s="900" t="s">
        <v>1254</v>
      </c>
      <c r="S10" s="901">
        <f t="shared" si="0"/>
        <v>100</v>
      </c>
      <c r="T10" s="900" t="s">
        <v>1254</v>
      </c>
      <c r="U10" s="901">
        <f t="shared" si="1"/>
        <v>100</v>
      </c>
      <c r="V10" s="900" t="s">
        <v>1254</v>
      </c>
      <c r="W10" s="901">
        <f t="shared" si="2"/>
        <v>100</v>
      </c>
      <c r="X10" s="902"/>
      <c r="Y10" s="2900"/>
      <c r="Z10" s="914" t="str">
        <f t="shared" si="7"/>
        <v>土地使用年限（年）</v>
      </c>
      <c r="AA10" s="913">
        <f t="shared" si="3"/>
        <v>1</v>
      </c>
      <c r="AB10" s="913">
        <f t="shared" si="4"/>
        <v>1</v>
      </c>
      <c r="AC10" s="913">
        <f t="shared" si="5"/>
        <v>1</v>
      </c>
    </row>
    <row r="11" spans="1:29" ht="15">
      <c r="A11" s="744"/>
      <c r="B11" s="741" t="s">
        <v>1265</v>
      </c>
      <c r="C11" s="745"/>
      <c r="D11" s="743">
        <v>100</v>
      </c>
      <c r="E11" s="746"/>
      <c r="F11" s="1240" t="e">
        <f>LOOKUP(E11,68:68,69:69)-LOOKUP(C11,68:68,69:69)+100</f>
        <v>#N/A</v>
      </c>
      <c r="G11" s="745"/>
      <c r="H11" s="743" t="e">
        <f>LOOKUP(G11,68:68,69:69)-LOOKUP(C11,68:68,69:69)+100</f>
        <v>#N/A</v>
      </c>
      <c r="I11" s="745"/>
      <c r="J11" s="743" t="e">
        <f>LOOKUP(I11,68:68,69:69)-LOOKUP(C11,68:68,69:69)+100</f>
        <v>#N/A</v>
      </c>
      <c r="K11" s="1289"/>
      <c r="L11" s="871"/>
      <c r="M11" s="861"/>
      <c r="N11" s="861"/>
      <c r="O11" s="861"/>
      <c r="P11" s="3056"/>
      <c r="Q11" s="903" t="str">
        <f t="shared" si="6"/>
        <v>容积率</v>
      </c>
      <c r="R11" s="900" t="s">
        <v>1254</v>
      </c>
      <c r="S11" s="901" t="e">
        <f t="shared" si="0"/>
        <v>#N/A</v>
      </c>
      <c r="T11" s="900" t="s">
        <v>1254</v>
      </c>
      <c r="U11" s="901" t="e">
        <f t="shared" si="1"/>
        <v>#N/A</v>
      </c>
      <c r="V11" s="900" t="s">
        <v>1254</v>
      </c>
      <c r="W11" s="901" t="e">
        <f t="shared" si="2"/>
        <v>#N/A</v>
      </c>
      <c r="X11" s="902"/>
      <c r="Y11" s="2900"/>
      <c r="Z11" s="914" t="str">
        <f t="shared" si="7"/>
        <v>容积率</v>
      </c>
      <c r="AA11" s="913" t="e">
        <f t="shared" si="3"/>
        <v>#N/A</v>
      </c>
      <c r="AB11" s="913" t="e">
        <f t="shared" si="4"/>
        <v>#N/A</v>
      </c>
      <c r="AC11" s="913" t="e">
        <f t="shared" si="5"/>
        <v>#N/A</v>
      </c>
    </row>
    <row r="12" spans="1:29" s="703" customFormat="1" ht="15">
      <c r="A12" s="747"/>
      <c r="B12" s="748">
        <v>111</v>
      </c>
      <c r="C12" s="742"/>
      <c r="D12" s="749">
        <v>100</v>
      </c>
      <c r="E12" s="742"/>
      <c r="F12" s="1240">
        <f>SUMIF(70:70,E12,71:71)-SUMIF(70:70,C12,71:71)+100</f>
        <v>100</v>
      </c>
      <c r="G12" s="742"/>
      <c r="H12" s="743">
        <f>SUMIF(70:70,G12,71:71)-SUMIF(70:70,C12,71:71)+100</f>
        <v>100</v>
      </c>
      <c r="I12" s="742"/>
      <c r="J12" s="743">
        <f>SUMIF(70:70,I12,71:71)-SUMIF(70:70,C12,71:71)+100</f>
        <v>100</v>
      </c>
      <c r="K12" s="1290"/>
      <c r="L12" s="863"/>
      <c r="M12" s="864"/>
      <c r="N12" s="864"/>
      <c r="O12" s="864"/>
      <c r="P12" s="3056"/>
      <c r="Q12" s="903">
        <f t="shared" si="6"/>
        <v>111</v>
      </c>
      <c r="R12" s="900" t="s">
        <v>1254</v>
      </c>
      <c r="S12" s="901">
        <f t="shared" si="0"/>
        <v>100</v>
      </c>
      <c r="T12" s="900" t="s">
        <v>1254</v>
      </c>
      <c r="U12" s="901">
        <f t="shared" si="1"/>
        <v>100</v>
      </c>
      <c r="V12" s="900" t="s">
        <v>1254</v>
      </c>
      <c r="W12" s="901">
        <f t="shared" si="2"/>
        <v>100</v>
      </c>
      <c r="X12" s="902"/>
      <c r="Y12" s="2900"/>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1290"/>
      <c r="L13" s="873"/>
      <c r="M13" s="861"/>
      <c r="N13" s="861"/>
      <c r="O13" s="861"/>
      <c r="P13" s="3056"/>
      <c r="Q13" s="903">
        <f t="shared" si="6"/>
        <v>111</v>
      </c>
      <c r="R13" s="900" t="s">
        <v>1254</v>
      </c>
      <c r="S13" s="901">
        <f t="shared" si="0"/>
        <v>100</v>
      </c>
      <c r="T13" s="900" t="s">
        <v>1254</v>
      </c>
      <c r="U13" s="901">
        <f t="shared" si="1"/>
        <v>100</v>
      </c>
      <c r="V13" s="900" t="s">
        <v>1254</v>
      </c>
      <c r="W13" s="901">
        <f t="shared" si="2"/>
        <v>100</v>
      </c>
      <c r="X13" s="902"/>
      <c r="Y13" s="2900"/>
      <c r="Z13" s="914">
        <f t="shared" si="7"/>
        <v>111</v>
      </c>
      <c r="AA13" s="913">
        <f t="shared" si="3"/>
        <v>1</v>
      </c>
      <c r="AB13" s="913">
        <f t="shared" si="4"/>
        <v>1</v>
      </c>
      <c r="AC13" s="913">
        <f t="shared" si="5"/>
        <v>1</v>
      </c>
    </row>
    <row r="14" spans="1:29" ht="15">
      <c r="A14" s="754"/>
      <c r="B14" s="755">
        <v>111</v>
      </c>
      <c r="C14" s="756"/>
      <c r="D14" s="757">
        <v>100</v>
      </c>
      <c r="E14" s="756"/>
      <c r="F14" s="1117">
        <f>SUMIF(74:74,E14,75:75)-SUMIF(74:74,C14,75:75)+100</f>
        <v>100</v>
      </c>
      <c r="G14" s="756"/>
      <c r="H14" s="757">
        <f>SUMIF(74:74,G14,75:75)-SUMIF(74:74,C14,75:75)+100</f>
        <v>100</v>
      </c>
      <c r="I14" s="756"/>
      <c r="J14" s="757">
        <f>SUMIF(74:74,I14,75:75)-SUMIF(74:74,C14,75:75)+100</f>
        <v>100</v>
      </c>
      <c r="K14" s="1290"/>
      <c r="L14" s="873"/>
      <c r="M14" s="861"/>
      <c r="N14" s="861"/>
      <c r="O14" s="861"/>
      <c r="P14" s="3056"/>
      <c r="Q14" s="903">
        <f t="shared" si="6"/>
        <v>111</v>
      </c>
      <c r="R14" s="900" t="s">
        <v>1254</v>
      </c>
      <c r="S14" s="901">
        <f t="shared" si="0"/>
        <v>100</v>
      </c>
      <c r="T14" s="900" t="s">
        <v>1254</v>
      </c>
      <c r="U14" s="901">
        <f t="shared" si="1"/>
        <v>100</v>
      </c>
      <c r="V14" s="900" t="s">
        <v>1254</v>
      </c>
      <c r="W14" s="901">
        <f t="shared" si="2"/>
        <v>100</v>
      </c>
      <c r="X14" s="902"/>
      <c r="Y14" s="2900"/>
      <c r="Z14" s="914">
        <f t="shared" si="7"/>
        <v>111</v>
      </c>
      <c r="AA14" s="913">
        <f t="shared" si="3"/>
        <v>1</v>
      </c>
      <c r="AB14" s="913">
        <f t="shared" si="4"/>
        <v>1</v>
      </c>
      <c r="AC14" s="913">
        <f t="shared" si="5"/>
        <v>1</v>
      </c>
    </row>
    <row r="15" spans="1:29" ht="99.75">
      <c r="A15" s="758" t="s">
        <v>1266</v>
      </c>
      <c r="B15" s="1095" t="s">
        <v>207</v>
      </c>
      <c r="C15" s="1248" t="str">
        <f>估价对象房地状况!C3</f>
        <v>估价对象周边居住用地比例、居住小区规模和社区发展完善程度，综合评价居住社区成熟度一般</v>
      </c>
      <c r="D15" s="761">
        <v>100</v>
      </c>
      <c r="E15" s="762"/>
      <c r="F15" s="1096">
        <f>SUMIF(76:76,E16,77:77)-SUMIF(76:76,C16,77:77)+100</f>
        <v>100</v>
      </c>
      <c r="G15" s="874"/>
      <c r="H15" s="761">
        <f>SUMIF(76:76,G16,77:77)-SUMIF(76:76,C16,77:77)+100</f>
        <v>100</v>
      </c>
      <c r="I15" s="762"/>
      <c r="J15" s="761">
        <f>SUMIF(76:76,I16,77:77)-SUMIF(76:76,C16,77:77)+100</f>
        <v>100</v>
      </c>
      <c r="K15" s="1291"/>
      <c r="L15" s="873"/>
      <c r="M15" s="861"/>
      <c r="N15" s="861"/>
      <c r="O15" s="861"/>
      <c r="P15" s="3057" t="s">
        <v>1267</v>
      </c>
      <c r="Q15" s="492" t="str">
        <f t="shared" si="6"/>
        <v>居住社区成熟度</v>
      </c>
      <c r="R15" s="904" t="s">
        <v>1254</v>
      </c>
      <c r="S15" s="905">
        <f t="shared" si="0"/>
        <v>100</v>
      </c>
      <c r="T15" s="904" t="s">
        <v>1254</v>
      </c>
      <c r="U15" s="905">
        <f t="shared" si="1"/>
        <v>100</v>
      </c>
      <c r="V15" s="904" t="s">
        <v>1254</v>
      </c>
      <c r="W15" s="905">
        <f t="shared" si="2"/>
        <v>100</v>
      </c>
      <c r="X15" s="898"/>
      <c r="Y15" s="3029" t="s">
        <v>1267</v>
      </c>
      <c r="Z15" s="833" t="str">
        <f t="shared" si="7"/>
        <v>居住社区成熟度</v>
      </c>
      <c r="AA15" s="915">
        <f t="shared" si="3"/>
        <v>1</v>
      </c>
      <c r="AB15" s="915">
        <f t="shared" si="4"/>
        <v>1</v>
      </c>
      <c r="AC15" s="915">
        <f t="shared" si="5"/>
        <v>1</v>
      </c>
    </row>
    <row r="16" spans="1:29" ht="15">
      <c r="A16" s="744"/>
      <c r="B16" s="1097"/>
      <c r="C16" s="764"/>
      <c r="D16" s="765"/>
      <c r="E16" s="773"/>
      <c r="F16" s="1098"/>
      <c r="G16" s="876"/>
      <c r="H16" s="767"/>
      <c r="I16" s="773"/>
      <c r="J16" s="765"/>
      <c r="K16" s="1292"/>
      <c r="L16" s="873"/>
      <c r="M16" s="861"/>
      <c r="N16" s="861"/>
      <c r="O16" s="861"/>
      <c r="P16" s="3058"/>
      <c r="Q16" s="492"/>
      <c r="R16" s="904"/>
      <c r="S16" s="905"/>
      <c r="T16" s="904"/>
      <c r="U16" s="905"/>
      <c r="V16" s="904"/>
      <c r="W16" s="905"/>
      <c r="X16" s="898"/>
      <c r="Y16" s="3030"/>
      <c r="Z16" s="833"/>
      <c r="AA16" s="915">
        <v>1</v>
      </c>
      <c r="AB16" s="915">
        <v>1</v>
      </c>
      <c r="AC16" s="915">
        <v>1</v>
      </c>
    </row>
    <row r="17" spans="1:29" ht="85.5">
      <c r="A17" s="744"/>
      <c r="B17" s="1101" t="s">
        <v>211</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291"/>
      <c r="L17" s="873"/>
      <c r="M17" s="861"/>
      <c r="N17" s="861"/>
      <c r="O17" s="861"/>
      <c r="P17" s="3058"/>
      <c r="Q17" s="492" t="str">
        <f>B17</f>
        <v>交通便捷度</v>
      </c>
      <c r="R17" s="904" t="s">
        <v>1254</v>
      </c>
      <c r="S17" s="905">
        <f>F17</f>
        <v>100</v>
      </c>
      <c r="T17" s="904" t="s">
        <v>1254</v>
      </c>
      <c r="U17" s="905">
        <f>H17</f>
        <v>100</v>
      </c>
      <c r="V17" s="904" t="s">
        <v>1254</v>
      </c>
      <c r="W17" s="905">
        <f>J17</f>
        <v>100</v>
      </c>
      <c r="X17" s="898"/>
      <c r="Y17" s="3030"/>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292"/>
      <c r="L18" s="873"/>
      <c r="M18" s="861"/>
      <c r="N18" s="861"/>
      <c r="O18" s="861"/>
      <c r="P18" s="3058"/>
      <c r="Q18" s="492"/>
      <c r="R18" s="904"/>
      <c r="S18" s="905"/>
      <c r="T18" s="904"/>
      <c r="U18" s="905"/>
      <c r="V18" s="904"/>
      <c r="W18" s="905"/>
      <c r="X18" s="898"/>
      <c r="Y18" s="3030"/>
      <c r="Z18" s="833"/>
      <c r="AA18" s="915">
        <v>1</v>
      </c>
      <c r="AB18" s="915">
        <v>1</v>
      </c>
      <c r="AC18" s="915">
        <v>1</v>
      </c>
    </row>
    <row r="19" spans="1:29" ht="42.75">
      <c r="A19" s="744"/>
      <c r="B19" s="1101" t="s">
        <v>213</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291"/>
      <c r="L19" s="873"/>
      <c r="M19" s="861"/>
      <c r="N19" s="861"/>
      <c r="O19" s="861"/>
      <c r="P19" s="3058"/>
      <c r="Q19" s="492" t="str">
        <f>B19</f>
        <v>公共配套设施</v>
      </c>
      <c r="R19" s="904" t="s">
        <v>1254</v>
      </c>
      <c r="S19" s="905">
        <f>F19</f>
        <v>100</v>
      </c>
      <c r="T19" s="904" t="s">
        <v>1254</v>
      </c>
      <c r="U19" s="905">
        <f>H19</f>
        <v>100</v>
      </c>
      <c r="V19" s="904" t="s">
        <v>1254</v>
      </c>
      <c r="W19" s="905">
        <f>J19</f>
        <v>100</v>
      </c>
      <c r="X19" s="898"/>
      <c r="Y19" s="3030"/>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292"/>
      <c r="L20" s="873"/>
      <c r="M20" s="861"/>
      <c r="N20" s="861"/>
      <c r="O20" s="861"/>
      <c r="P20" s="3058"/>
      <c r="Q20" s="492"/>
      <c r="R20" s="904"/>
      <c r="S20" s="905"/>
      <c r="T20" s="904"/>
      <c r="U20" s="905"/>
      <c r="V20" s="904"/>
      <c r="W20" s="905"/>
      <c r="X20" s="898"/>
      <c r="Y20" s="3030"/>
      <c r="Z20" s="833"/>
      <c r="AA20" s="915">
        <v>1</v>
      </c>
      <c r="AB20" s="915">
        <v>1</v>
      </c>
      <c r="AC20" s="915">
        <v>1</v>
      </c>
    </row>
    <row r="21" spans="1:29" ht="28.5">
      <c r="A21" s="744"/>
      <c r="B21" s="1236" t="s">
        <v>214</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291"/>
      <c r="L21" s="873"/>
      <c r="M21" s="861"/>
      <c r="N21" s="861"/>
      <c r="O21" s="861"/>
      <c r="P21" s="3058"/>
      <c r="Q21" s="492" t="str">
        <f>B21</f>
        <v>基础设施水平</v>
      </c>
      <c r="R21" s="904" t="s">
        <v>1254</v>
      </c>
      <c r="S21" s="905">
        <f>F21</f>
        <v>100</v>
      </c>
      <c r="T21" s="904" t="s">
        <v>1254</v>
      </c>
      <c r="U21" s="905">
        <f>H21</f>
        <v>100</v>
      </c>
      <c r="V21" s="904" t="s">
        <v>1254</v>
      </c>
      <c r="W21" s="905">
        <f>J21</f>
        <v>100</v>
      </c>
      <c r="X21" s="898"/>
      <c r="Y21" s="3030"/>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293"/>
      <c r="L22" s="873"/>
      <c r="M22" s="861"/>
      <c r="N22" s="861"/>
      <c r="O22" s="861"/>
      <c r="P22" s="3058"/>
      <c r="Q22" s="492"/>
      <c r="R22" s="904"/>
      <c r="S22" s="905"/>
      <c r="T22" s="904"/>
      <c r="U22" s="905"/>
      <c r="V22" s="904"/>
      <c r="W22" s="905"/>
      <c r="X22" s="898"/>
      <c r="Y22" s="3030"/>
      <c r="Z22" s="833"/>
      <c r="AA22" s="915">
        <v>1</v>
      </c>
      <c r="AB22" s="915">
        <v>1</v>
      </c>
      <c r="AC22" s="915">
        <v>1</v>
      </c>
    </row>
    <row r="23" spans="1:29" ht="57">
      <c r="A23" s="744"/>
      <c r="B23" s="1101" t="s">
        <v>570</v>
      </c>
      <c r="C23" s="769"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291"/>
      <c r="L23" s="873"/>
      <c r="M23" s="861"/>
      <c r="N23" s="861"/>
      <c r="O23" s="861"/>
      <c r="P23" s="3058"/>
      <c r="Q23" s="492" t="str">
        <f>B23</f>
        <v>自然及人文环境</v>
      </c>
      <c r="R23" s="904" t="s">
        <v>1254</v>
      </c>
      <c r="S23" s="905">
        <f>F23</f>
        <v>100</v>
      </c>
      <c r="T23" s="904" t="s">
        <v>1254</v>
      </c>
      <c r="U23" s="905">
        <f>H23</f>
        <v>100</v>
      </c>
      <c r="V23" s="904" t="s">
        <v>1254</v>
      </c>
      <c r="W23" s="905">
        <f>J23</f>
        <v>100</v>
      </c>
      <c r="X23" s="898"/>
      <c r="Y23" s="3030"/>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292"/>
      <c r="L24" s="873"/>
      <c r="M24" s="861"/>
      <c r="N24" s="861"/>
      <c r="O24" s="861"/>
      <c r="P24" s="3058"/>
      <c r="Q24" s="492"/>
      <c r="R24" s="904"/>
      <c r="S24" s="905"/>
      <c r="T24" s="904"/>
      <c r="U24" s="905"/>
      <c r="V24" s="904"/>
      <c r="W24" s="905"/>
      <c r="X24" s="898"/>
      <c r="Y24" s="3030"/>
      <c r="Z24" s="833"/>
      <c r="AA24" s="915">
        <v>1</v>
      </c>
      <c r="AB24" s="915">
        <v>1</v>
      </c>
      <c r="AC24" s="915">
        <v>1</v>
      </c>
    </row>
    <row r="25" spans="1:29" ht="15">
      <c r="A25" s="744"/>
      <c r="B25" s="741" t="s">
        <v>1375</v>
      </c>
      <c r="C25" s="1113"/>
      <c r="D25" s="753">
        <v>100</v>
      </c>
      <c r="E25" s="1278"/>
      <c r="F25" s="1103">
        <f>SUMIF(86:86,E25,87:87)-SUMIF(86:86,C25,87:87)+100</f>
        <v>100</v>
      </c>
      <c r="G25" s="796"/>
      <c r="H25" s="753">
        <f>SUMIF(86:86,G25,87:87)-SUMIF(86:86,C25,87:87)+100</f>
        <v>100</v>
      </c>
      <c r="I25" s="1278"/>
      <c r="J25" s="753">
        <f>SUMIF(86:86,I25,87:87)-SUMIF(86:86,C25,87:87)+100</f>
        <v>100</v>
      </c>
      <c r="K25" s="1289"/>
      <c r="L25" s="873"/>
      <c r="M25" s="861"/>
      <c r="N25" s="861"/>
      <c r="O25" s="861"/>
      <c r="P25" s="3058"/>
      <c r="Q25" s="492" t="str">
        <f t="shared" ref="Q25:Q46" si="11">B25</f>
        <v>楼层-1</v>
      </c>
      <c r="R25" s="904" t="s">
        <v>1254</v>
      </c>
      <c r="S25" s="905">
        <f>F25</f>
        <v>100</v>
      </c>
      <c r="T25" s="904" t="s">
        <v>1254</v>
      </c>
      <c r="U25" s="905">
        <f>H25</f>
        <v>100</v>
      </c>
      <c r="V25" s="904" t="s">
        <v>1254</v>
      </c>
      <c r="W25" s="905">
        <f>J25</f>
        <v>100</v>
      </c>
      <c r="X25" s="898"/>
      <c r="Y25" s="3030"/>
      <c r="Z25" s="833" t="str">
        <f>Q25</f>
        <v>楼层-1</v>
      </c>
      <c r="AA25" s="915">
        <f t="shared" si="3"/>
        <v>1</v>
      </c>
      <c r="AB25" s="915">
        <f t="shared" si="4"/>
        <v>1</v>
      </c>
      <c r="AC25" s="915">
        <f t="shared" si="5"/>
        <v>1</v>
      </c>
    </row>
    <row r="26" spans="1:29" ht="15">
      <c r="A26" s="744"/>
      <c r="B26" s="741" t="s">
        <v>1275</v>
      </c>
      <c r="C26" s="1113"/>
      <c r="D26" s="753">
        <v>100</v>
      </c>
      <c r="E26" s="1278"/>
      <c r="F26" s="1103">
        <f>SUMIF(88:88,E26,89:89)-SUMIF(88:88,C26,89:89)+100</f>
        <v>100</v>
      </c>
      <c r="G26" s="796"/>
      <c r="H26" s="753">
        <f>SUMIF(88:88,G26,89:89)-SUMIF(88:88,C26,89:89)+100</f>
        <v>100</v>
      </c>
      <c r="I26" s="1278"/>
      <c r="J26" s="753">
        <f>SUMIF(88:88,I26,89:89)-SUMIF(88:88,C26,89:89)+100</f>
        <v>100</v>
      </c>
      <c r="K26" s="1289"/>
      <c r="L26" s="873"/>
      <c r="M26" s="861"/>
      <c r="N26" s="861"/>
      <c r="O26" s="861"/>
      <c r="P26" s="3058"/>
      <c r="Q26" s="492" t="str">
        <f t="shared" si="11"/>
        <v>朝向</v>
      </c>
      <c r="R26" s="904" t="s">
        <v>1254</v>
      </c>
      <c r="S26" s="905">
        <f>F26</f>
        <v>100</v>
      </c>
      <c r="T26" s="904" t="s">
        <v>1254</v>
      </c>
      <c r="U26" s="905">
        <f>H26</f>
        <v>100</v>
      </c>
      <c r="V26" s="904" t="s">
        <v>1254</v>
      </c>
      <c r="W26" s="905">
        <f>J26</f>
        <v>100</v>
      </c>
      <c r="X26" s="898"/>
      <c r="Y26" s="3030"/>
      <c r="Z26" s="833" t="str">
        <f>Q26</f>
        <v>朝向</v>
      </c>
      <c r="AA26" s="915">
        <f t="shared" si="3"/>
        <v>1</v>
      </c>
      <c r="AB26" s="915">
        <f t="shared" si="4"/>
        <v>1</v>
      </c>
      <c r="AC26" s="915">
        <f t="shared" si="5"/>
        <v>1</v>
      </c>
    </row>
    <row r="27" spans="1:29" s="703" customFormat="1" ht="15">
      <c r="A27" s="747"/>
      <c r="B27" s="748" t="s">
        <v>1376</v>
      </c>
      <c r="C27" s="742"/>
      <c r="D27" s="1238">
        <v>100</v>
      </c>
      <c r="E27" s="1036"/>
      <c r="F27" s="1239">
        <f>SUMIF(90:90,E27,91:91)-SUMIF(90:90,C27,91:91)+100</f>
        <v>100</v>
      </c>
      <c r="G27" s="1035"/>
      <c r="H27" s="1238">
        <f>SUMIF(90:90,G27,91:91)-SUMIF(90:90,C27,91:91)+100</f>
        <v>100</v>
      </c>
      <c r="I27" s="1036"/>
      <c r="J27" s="1238">
        <f>SUMIF(90:90,I27,91:91)-SUMIF(90:90,C27,91:91)+100</f>
        <v>100</v>
      </c>
      <c r="K27" s="1290"/>
      <c r="L27" s="863"/>
      <c r="M27" s="864"/>
      <c r="N27" s="864"/>
      <c r="O27" s="864"/>
      <c r="P27" s="3058"/>
      <c r="Q27" s="903" t="str">
        <f t="shared" si="11"/>
        <v>道路级别</v>
      </c>
      <c r="R27" s="900" t="s">
        <v>1254</v>
      </c>
      <c r="S27" s="901">
        <f>F27</f>
        <v>100</v>
      </c>
      <c r="T27" s="900" t="s">
        <v>1254</v>
      </c>
      <c r="U27" s="901">
        <f>H27</f>
        <v>100</v>
      </c>
      <c r="V27" s="900" t="s">
        <v>1254</v>
      </c>
      <c r="W27" s="901">
        <f>J27</f>
        <v>100</v>
      </c>
      <c r="X27" s="902"/>
      <c r="Y27" s="3030"/>
      <c r="Z27" s="914" t="str">
        <f>Q27</f>
        <v>道路级别</v>
      </c>
      <c r="AA27" s="915">
        <f t="shared" si="3"/>
        <v>1</v>
      </c>
      <c r="AB27" s="915">
        <f t="shared" si="4"/>
        <v>1</v>
      </c>
      <c r="AC27" s="915">
        <f t="shared" si="5"/>
        <v>1</v>
      </c>
    </row>
    <row r="28" spans="1:29" ht="15">
      <c r="A28" s="744"/>
      <c r="B28" s="1237">
        <v>111</v>
      </c>
      <c r="C28" s="752"/>
      <c r="D28" s="753">
        <v>100</v>
      </c>
      <c r="E28" s="752"/>
      <c r="F28" s="1103">
        <f>SUMIF(92:92,E28,93:93)-SUMIF(92:92,C28,93:93)+100</f>
        <v>100</v>
      </c>
      <c r="G28" s="752"/>
      <c r="H28" s="753">
        <f>SUMIF(92:92,G28,93:93)-SUMIF(92:92,C28,93:93)+100</f>
        <v>100</v>
      </c>
      <c r="I28" s="752"/>
      <c r="J28" s="753">
        <f>SUMIF(92:92,I28,93:93)-SUMIF(92:92,C28,93:93)+100</f>
        <v>100</v>
      </c>
      <c r="K28" s="1290"/>
      <c r="L28" s="873"/>
      <c r="M28" s="861"/>
      <c r="N28" s="861"/>
      <c r="O28" s="861"/>
      <c r="P28" s="3058"/>
      <c r="Q28" s="492">
        <f t="shared" si="11"/>
        <v>111</v>
      </c>
      <c r="R28" s="904" t="s">
        <v>1254</v>
      </c>
      <c r="S28" s="905">
        <f t="shared" ref="S28:S46" si="12">F28</f>
        <v>100</v>
      </c>
      <c r="T28" s="904" t="s">
        <v>1254</v>
      </c>
      <c r="U28" s="905">
        <f t="shared" ref="U28:U46" si="13">H28</f>
        <v>100</v>
      </c>
      <c r="V28" s="904" t="s">
        <v>1254</v>
      </c>
      <c r="W28" s="905">
        <f t="shared" ref="W28:W46" si="14">J28</f>
        <v>100</v>
      </c>
      <c r="X28" s="898"/>
      <c r="Y28" s="3030"/>
      <c r="Z28" s="833">
        <f t="shared" ref="Z28:Z46" si="15">Q28</f>
        <v>111</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1290"/>
      <c r="L29" s="873"/>
      <c r="M29" s="861"/>
      <c r="N29" s="861"/>
      <c r="O29" s="861"/>
      <c r="P29" s="3058"/>
      <c r="Q29" s="492">
        <f t="shared" si="11"/>
        <v>111</v>
      </c>
      <c r="R29" s="904" t="s">
        <v>1254</v>
      </c>
      <c r="S29" s="905">
        <f t="shared" si="12"/>
        <v>100</v>
      </c>
      <c r="T29" s="904" t="s">
        <v>1254</v>
      </c>
      <c r="U29" s="905">
        <f t="shared" si="13"/>
        <v>100</v>
      </c>
      <c r="V29" s="904" t="s">
        <v>1254</v>
      </c>
      <c r="W29" s="905">
        <f t="shared" si="14"/>
        <v>100</v>
      </c>
      <c r="X29" s="898"/>
      <c r="Y29" s="3030"/>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1290"/>
      <c r="L30" s="873"/>
      <c r="M30" s="861"/>
      <c r="N30" s="861"/>
      <c r="O30" s="861"/>
      <c r="P30" s="3058"/>
      <c r="Q30" s="492">
        <f t="shared" si="11"/>
        <v>111</v>
      </c>
      <c r="R30" s="904" t="s">
        <v>1254</v>
      </c>
      <c r="S30" s="905">
        <f t="shared" si="12"/>
        <v>100</v>
      </c>
      <c r="T30" s="904" t="s">
        <v>1254</v>
      </c>
      <c r="U30" s="905">
        <f t="shared" si="13"/>
        <v>100</v>
      </c>
      <c r="V30" s="904" t="s">
        <v>1254</v>
      </c>
      <c r="W30" s="905">
        <f t="shared" si="14"/>
        <v>100</v>
      </c>
      <c r="X30" s="898"/>
      <c r="Y30" s="3030"/>
      <c r="Z30" s="833">
        <f t="shared" si="15"/>
        <v>111</v>
      </c>
      <c r="AA30" s="915">
        <f t="shared" si="3"/>
        <v>1</v>
      </c>
      <c r="AB30" s="915">
        <f t="shared" si="4"/>
        <v>1</v>
      </c>
      <c r="AC30" s="915">
        <f t="shared" si="5"/>
        <v>1</v>
      </c>
    </row>
    <row r="31" spans="1:29" ht="15">
      <c r="A31" s="754"/>
      <c r="B31" s="1237">
        <v>111</v>
      </c>
      <c r="C31" s="756"/>
      <c r="D31" s="757">
        <v>100</v>
      </c>
      <c r="E31" s="756"/>
      <c r="F31" s="1117">
        <f>SUMIF(98:98,E31,99:99)-SUMIF(98:98,C31,99:99)+100</f>
        <v>100</v>
      </c>
      <c r="G31" s="756"/>
      <c r="H31" s="757">
        <f>SUMIF(98:98,G31,99:99)-SUMIF(98:98,C31,99:99)+100</f>
        <v>100</v>
      </c>
      <c r="I31" s="756"/>
      <c r="J31" s="757">
        <f>SUMIF(98:98,I31,99:99)-SUMIF(98:98,C31,99:99)+100</f>
        <v>100</v>
      </c>
      <c r="K31" s="1290"/>
      <c r="L31" s="873"/>
      <c r="M31" s="861"/>
      <c r="N31" s="861"/>
      <c r="O31" s="861"/>
      <c r="P31" s="3058"/>
      <c r="Q31" s="492">
        <f t="shared" si="11"/>
        <v>111</v>
      </c>
      <c r="R31" s="904" t="s">
        <v>1254</v>
      </c>
      <c r="S31" s="905">
        <f t="shared" si="12"/>
        <v>100</v>
      </c>
      <c r="T31" s="904" t="s">
        <v>1254</v>
      </c>
      <c r="U31" s="905">
        <f t="shared" si="13"/>
        <v>100</v>
      </c>
      <c r="V31" s="904" t="s">
        <v>1254</v>
      </c>
      <c r="W31" s="905">
        <f t="shared" si="14"/>
        <v>100</v>
      </c>
      <c r="X31" s="898"/>
      <c r="Y31" s="3030"/>
      <c r="Z31" s="833">
        <f t="shared" si="15"/>
        <v>111</v>
      </c>
      <c r="AA31" s="915">
        <f t="shared" si="3"/>
        <v>1</v>
      </c>
      <c r="AB31" s="915">
        <f t="shared" si="4"/>
        <v>1</v>
      </c>
      <c r="AC31" s="915">
        <f t="shared" si="5"/>
        <v>1</v>
      </c>
    </row>
    <row r="32" spans="1:29" ht="15">
      <c r="A32" s="758" t="s">
        <v>1276</v>
      </c>
      <c r="B32" s="737" t="s">
        <v>1277</v>
      </c>
      <c r="C32" s="1251"/>
      <c r="D32" s="795">
        <v>100</v>
      </c>
      <c r="E32" s="1279"/>
      <c r="F32" s="1103">
        <f>SUMIF(100:100,E32,101:101)-SUMIF(100:100,C32,101:101)+100</f>
        <v>100</v>
      </c>
      <c r="G32" s="1251"/>
      <c r="H32" s="795">
        <f>SUMIF(100:100,G32,101:101)-SUMIF(100:100,C32,101:101)+100</f>
        <v>100</v>
      </c>
      <c r="I32" s="1279"/>
      <c r="J32" s="753">
        <f>SUMIF(100:100,I32,101:101)-SUMIF(100:100,C32,101:101)+100</f>
        <v>100</v>
      </c>
      <c r="K32" s="1289"/>
      <c r="L32" s="873"/>
      <c r="M32" s="861"/>
      <c r="N32" s="861"/>
      <c r="O32" s="861"/>
      <c r="P32" s="3059" t="s">
        <v>1279</v>
      </c>
      <c r="Q32" s="492" t="str">
        <f t="shared" si="11"/>
        <v>建筑类型</v>
      </c>
      <c r="R32" s="904" t="s">
        <v>1254</v>
      </c>
      <c r="S32" s="905">
        <f t="shared" si="12"/>
        <v>100</v>
      </c>
      <c r="T32" s="904" t="s">
        <v>1254</v>
      </c>
      <c r="U32" s="905">
        <f t="shared" si="13"/>
        <v>100</v>
      </c>
      <c r="V32" s="904" t="s">
        <v>1254</v>
      </c>
      <c r="W32" s="905">
        <f t="shared" si="14"/>
        <v>100</v>
      </c>
      <c r="X32" s="898"/>
      <c r="Y32" s="3031" t="s">
        <v>1279</v>
      </c>
      <c r="Z32" s="833" t="str">
        <f t="shared" si="15"/>
        <v>建筑类型</v>
      </c>
      <c r="AA32" s="915">
        <f t="shared" si="3"/>
        <v>1</v>
      </c>
      <c r="AB32" s="915">
        <f t="shared" si="4"/>
        <v>1</v>
      </c>
      <c r="AC32" s="915">
        <f t="shared" si="5"/>
        <v>1</v>
      </c>
    </row>
    <row r="33" spans="1:29" s="705" customFormat="1" ht="15">
      <c r="A33" s="800"/>
      <c r="B33" s="741" t="s">
        <v>1280</v>
      </c>
      <c r="C33" s="1094"/>
      <c r="D33" s="743">
        <v>100</v>
      </c>
      <c r="E33" s="746"/>
      <c r="F33" s="1240" t="e">
        <f>LOOKUP(E33,103:103,104:104)-LOOKUP(C33,103:103,104:104)+100</f>
        <v>#N/A</v>
      </c>
      <c r="G33" s="745"/>
      <c r="H33" s="743" t="e">
        <f>LOOKUP(G33,103:103,104:104)-LOOKUP(C33,103:103,104:104)+100</f>
        <v>#N/A</v>
      </c>
      <c r="I33" s="746"/>
      <c r="J33" s="743" t="e">
        <f>LOOKUP(I33,103:103,104:104)-LOOKUP(C33,103:103,104:104)+100</f>
        <v>#N/A</v>
      </c>
      <c r="K33" s="1290"/>
      <c r="L33" s="871"/>
      <c r="M33" s="880"/>
      <c r="N33" s="880"/>
      <c r="O33" s="880"/>
      <c r="P33" s="3060"/>
      <c r="Q33" s="1147" t="str">
        <f t="shared" si="11"/>
        <v>项目建筑规模</v>
      </c>
      <c r="R33" s="906" t="s">
        <v>1254</v>
      </c>
      <c r="S33" s="907" t="e">
        <f t="shared" si="12"/>
        <v>#N/A</v>
      </c>
      <c r="T33" s="906" t="s">
        <v>1254</v>
      </c>
      <c r="U33" s="907" t="e">
        <f t="shared" si="13"/>
        <v>#N/A</v>
      </c>
      <c r="V33" s="906" t="s">
        <v>1254</v>
      </c>
      <c r="W33" s="907" t="e">
        <f t="shared" si="14"/>
        <v>#N/A</v>
      </c>
      <c r="X33" s="908"/>
      <c r="Y33" s="3031"/>
      <c r="Z33" s="916" t="str">
        <f t="shared" si="15"/>
        <v>项目建筑规模</v>
      </c>
      <c r="AA33" s="915" t="e">
        <f t="shared" si="3"/>
        <v>#N/A</v>
      </c>
      <c r="AB33" s="915" t="e">
        <f t="shared" si="4"/>
        <v>#N/A</v>
      </c>
      <c r="AC33" s="915" t="e">
        <f t="shared" si="5"/>
        <v>#N/A</v>
      </c>
    </row>
    <row r="34" spans="1:29" ht="15">
      <c r="A34" s="792"/>
      <c r="B34" s="741" t="s">
        <v>1281</v>
      </c>
      <c r="C34" s="1252"/>
      <c r="D34" s="753">
        <v>100</v>
      </c>
      <c r="E34" s="1253"/>
      <c r="F34" s="1103">
        <f>SUMIF(105:105,E34,106:106)-SUMIF(105:105,C34,106:106)+100</f>
        <v>100</v>
      </c>
      <c r="G34" s="1252"/>
      <c r="H34" s="753">
        <f>SUMIF(105:105,G34,106:106)-SUMIF(105:105,C34,106:106)+100</f>
        <v>100</v>
      </c>
      <c r="I34" s="1253"/>
      <c r="J34" s="753">
        <f>SUMIF(105:105,I34,106:106)-SUMIF(105:105,C34,106:106)+100</f>
        <v>100</v>
      </c>
      <c r="K34" s="1289"/>
      <c r="L34" s="873"/>
      <c r="M34" s="861"/>
      <c r="N34" s="861"/>
      <c r="O34" s="861"/>
      <c r="P34" s="3060"/>
      <c r="Q34" s="492" t="str">
        <f t="shared" si="11"/>
        <v>建筑结构</v>
      </c>
      <c r="R34" s="904" t="s">
        <v>1254</v>
      </c>
      <c r="S34" s="905">
        <f t="shared" si="12"/>
        <v>100</v>
      </c>
      <c r="T34" s="904" t="s">
        <v>1254</v>
      </c>
      <c r="U34" s="905">
        <f t="shared" si="13"/>
        <v>100</v>
      </c>
      <c r="V34" s="904" t="s">
        <v>1254</v>
      </c>
      <c r="W34" s="905">
        <f t="shared" si="14"/>
        <v>100</v>
      </c>
      <c r="X34" s="898"/>
      <c r="Y34" s="3031"/>
      <c r="Z34" s="833" t="str">
        <f t="shared" si="15"/>
        <v>建筑结构</v>
      </c>
      <c r="AA34" s="915">
        <f t="shared" si="3"/>
        <v>1</v>
      </c>
      <c r="AB34" s="915">
        <f t="shared" si="4"/>
        <v>1</v>
      </c>
      <c r="AC34" s="915">
        <f t="shared" si="5"/>
        <v>1</v>
      </c>
    </row>
    <row r="35" spans="1:29" ht="15">
      <c r="A35" s="792"/>
      <c r="B35" s="741" t="s">
        <v>1377</v>
      </c>
      <c r="C35" s="796"/>
      <c r="D35" s="753">
        <v>100</v>
      </c>
      <c r="E35" s="1278"/>
      <c r="F35" s="1103">
        <f>SUMIF(107:107,E35,108:108)-SUMIF(107:107,C35,108:108)+100</f>
        <v>100</v>
      </c>
      <c r="G35" s="796"/>
      <c r="H35" s="753">
        <f>SUMIF(107:107,G35,108:108)-SUMIF(107:107,C35,108:108)+100</f>
        <v>100</v>
      </c>
      <c r="I35" s="1278"/>
      <c r="J35" s="753">
        <f>SUMIF(107:107,I35,108:108)-SUMIF(107:107,C35,108:108)+100</f>
        <v>100</v>
      </c>
      <c r="K35" s="1289"/>
      <c r="L35" s="873"/>
      <c r="M35" s="861"/>
      <c r="N35" s="861"/>
      <c r="O35" s="861"/>
      <c r="P35" s="3060"/>
      <c r="Q35" s="492" t="str">
        <f t="shared" si="11"/>
        <v>建筑品质</v>
      </c>
      <c r="R35" s="904" t="s">
        <v>1254</v>
      </c>
      <c r="S35" s="905">
        <f t="shared" si="12"/>
        <v>100</v>
      </c>
      <c r="T35" s="904" t="s">
        <v>1254</v>
      </c>
      <c r="U35" s="905">
        <f t="shared" si="13"/>
        <v>100</v>
      </c>
      <c r="V35" s="904" t="s">
        <v>1254</v>
      </c>
      <c r="W35" s="905">
        <f t="shared" si="14"/>
        <v>100</v>
      </c>
      <c r="X35" s="898"/>
      <c r="Y35" s="3031"/>
      <c r="Z35" s="833" t="str">
        <f t="shared" si="15"/>
        <v>建筑品质</v>
      </c>
      <c r="AA35" s="915">
        <f t="shared" si="3"/>
        <v>1</v>
      </c>
      <c r="AB35" s="915">
        <f t="shared" si="4"/>
        <v>1</v>
      </c>
      <c r="AC35" s="915">
        <f t="shared" si="5"/>
        <v>1</v>
      </c>
    </row>
    <row r="36" spans="1:29" ht="15">
      <c r="A36" s="792"/>
      <c r="B36" s="741" t="s">
        <v>1282</v>
      </c>
      <c r="C36" s="796"/>
      <c r="D36" s="753">
        <v>100</v>
      </c>
      <c r="E36" s="1278"/>
      <c r="F36" s="1103">
        <f>SUMIF(109:109,E36,110:110)-SUMIF(109:109,C36,110:110)+100</f>
        <v>100</v>
      </c>
      <c r="G36" s="796"/>
      <c r="H36" s="753">
        <f>SUMIF(109:109,G36,110:110)-SUMIF(109:109,C36,110:110)+100</f>
        <v>100</v>
      </c>
      <c r="I36" s="1278"/>
      <c r="J36" s="753">
        <f>SUMIF(109:109,I36,110:110)-SUMIF(109:109,C36,110:110)+100</f>
        <v>100</v>
      </c>
      <c r="K36" s="1289"/>
      <c r="L36" s="873"/>
      <c r="M36" s="861"/>
      <c r="N36" s="861"/>
      <c r="O36" s="861"/>
      <c r="P36" s="3060"/>
      <c r="Q36" s="492" t="str">
        <f t="shared" si="11"/>
        <v>公共部分装修</v>
      </c>
      <c r="R36" s="904" t="s">
        <v>1254</v>
      </c>
      <c r="S36" s="905">
        <f t="shared" si="12"/>
        <v>100</v>
      </c>
      <c r="T36" s="904" t="s">
        <v>1254</v>
      </c>
      <c r="U36" s="905">
        <f t="shared" si="13"/>
        <v>100</v>
      </c>
      <c r="V36" s="904" t="s">
        <v>1254</v>
      </c>
      <c r="W36" s="905">
        <f t="shared" si="14"/>
        <v>100</v>
      </c>
      <c r="X36" s="898"/>
      <c r="Y36" s="3031"/>
      <c r="Z36" s="833" t="str">
        <f t="shared" si="15"/>
        <v>公共部分装修</v>
      </c>
      <c r="AA36" s="915">
        <f t="shared" si="3"/>
        <v>1</v>
      </c>
      <c r="AB36" s="915">
        <f t="shared" si="4"/>
        <v>1</v>
      </c>
      <c r="AC36" s="915">
        <f t="shared" si="5"/>
        <v>1</v>
      </c>
    </row>
    <row r="37" spans="1:29" s="703" customFormat="1" ht="15">
      <c r="A37" s="797"/>
      <c r="B37" s="741" t="s">
        <v>1284</v>
      </c>
      <c r="C37" s="1110"/>
      <c r="D37" s="743">
        <v>100</v>
      </c>
      <c r="E37" s="1111"/>
      <c r="F37" s="1240" t="e">
        <f>LOOKUP(E37,112:112,113:113)-LOOKUP(C37,112:112,113:113)+100</f>
        <v>#N/A</v>
      </c>
      <c r="G37" s="1112"/>
      <c r="H37" s="743" t="e">
        <f>LOOKUP(G37,112:112,113:113)-LOOKUP(C37,112:112,113:113)+100</f>
        <v>#N/A</v>
      </c>
      <c r="I37" s="1111"/>
      <c r="J37" s="743" t="e">
        <f>LOOKUP(I37,112:112,113:113)-LOOKUP(C37,112:112,113:113)+100</f>
        <v>#N/A</v>
      </c>
      <c r="K37" s="1289"/>
      <c r="L37" s="863"/>
      <c r="M37" s="864"/>
      <c r="N37" s="864"/>
      <c r="O37" s="864"/>
      <c r="P37" s="3060"/>
      <c r="Q37" s="903" t="str">
        <f t="shared" si="11"/>
        <v>成新度</v>
      </c>
      <c r="R37" s="900" t="s">
        <v>1254</v>
      </c>
      <c r="S37" s="901" t="e">
        <f t="shared" si="12"/>
        <v>#N/A</v>
      </c>
      <c r="T37" s="900" t="s">
        <v>1254</v>
      </c>
      <c r="U37" s="901" t="e">
        <f t="shared" si="13"/>
        <v>#N/A</v>
      </c>
      <c r="V37" s="900" t="s">
        <v>1254</v>
      </c>
      <c r="W37" s="901" t="e">
        <f t="shared" si="14"/>
        <v>#N/A</v>
      </c>
      <c r="X37" s="902"/>
      <c r="Y37" s="3031"/>
      <c r="Z37" s="914" t="str">
        <f t="shared" si="15"/>
        <v>成新度</v>
      </c>
      <c r="AA37" s="913" t="e">
        <f t="shared" si="3"/>
        <v>#N/A</v>
      </c>
      <c r="AB37" s="913" t="e">
        <f t="shared" si="4"/>
        <v>#N/A</v>
      </c>
      <c r="AC37" s="913" t="e">
        <f t="shared" si="5"/>
        <v>#N/A</v>
      </c>
    </row>
    <row r="38" spans="1:29" ht="15">
      <c r="A38" s="792"/>
      <c r="B38" s="741" t="s">
        <v>1287</v>
      </c>
      <c r="C38" s="796"/>
      <c r="D38" s="753">
        <v>100</v>
      </c>
      <c r="E38" s="1278"/>
      <c r="F38" s="1103">
        <f>SUMIF(114:114,E38,115:115)-SUMIF(114:114,C38,115:115)+100</f>
        <v>100</v>
      </c>
      <c r="G38" s="796"/>
      <c r="H38" s="753">
        <f>SUMIF(114:114,G38,115:115)-SUMIF(114:114,C38,115:115)+100</f>
        <v>100</v>
      </c>
      <c r="I38" s="1278"/>
      <c r="J38" s="753">
        <f>SUMIF(114:114,I38,115:115)-SUMIF(114:114,C38,115:115)+100</f>
        <v>100</v>
      </c>
      <c r="K38" s="1289"/>
      <c r="L38" s="873"/>
      <c r="M38" s="861"/>
      <c r="N38" s="861"/>
      <c r="O38" s="861"/>
      <c r="P38" s="3060" t="s">
        <v>1279</v>
      </c>
      <c r="Q38" s="492" t="str">
        <f t="shared" si="11"/>
        <v>物业管理</v>
      </c>
      <c r="R38" s="904" t="s">
        <v>1254</v>
      </c>
      <c r="S38" s="905">
        <f t="shared" si="12"/>
        <v>100</v>
      </c>
      <c r="T38" s="904" t="s">
        <v>1254</v>
      </c>
      <c r="U38" s="905">
        <f t="shared" si="13"/>
        <v>100</v>
      </c>
      <c r="V38" s="904" t="s">
        <v>1254</v>
      </c>
      <c r="W38" s="905">
        <f t="shared" si="14"/>
        <v>100</v>
      </c>
      <c r="X38" s="898"/>
      <c r="Y38" s="3031" t="s">
        <v>1279</v>
      </c>
      <c r="Z38" s="833" t="str">
        <f t="shared" si="15"/>
        <v>物业管理</v>
      </c>
      <c r="AA38" s="915">
        <f t="shared" si="3"/>
        <v>1</v>
      </c>
      <c r="AB38" s="915">
        <f t="shared" si="4"/>
        <v>1</v>
      </c>
      <c r="AC38" s="915">
        <f t="shared" si="5"/>
        <v>1</v>
      </c>
    </row>
    <row r="39" spans="1:29" ht="15">
      <c r="A39" s="792"/>
      <c r="B39" s="741" t="s">
        <v>1289</v>
      </c>
      <c r="C39" s="796"/>
      <c r="D39" s="753">
        <v>100</v>
      </c>
      <c r="E39" s="1278"/>
      <c r="F39" s="1103">
        <f>SUMIF(116:116,E39,117:117)-SUMIF(116:116,C39,117:117)+100</f>
        <v>100</v>
      </c>
      <c r="G39" s="796"/>
      <c r="H39" s="753">
        <f>SUMIF(116:116,G39,117:117)-SUMIF(116:116,C39,117:117)+100</f>
        <v>100</v>
      </c>
      <c r="I39" s="1278"/>
      <c r="J39" s="753">
        <f>SUMIF(116:116,I39,117:117)-SUMIF(116:116,C39,117:117)+100</f>
        <v>100</v>
      </c>
      <c r="K39" s="1289"/>
      <c r="L39" s="873"/>
      <c r="M39" s="861"/>
      <c r="N39" s="861"/>
      <c r="O39" s="861"/>
      <c r="P39" s="3060"/>
      <c r="Q39" s="492" t="str">
        <f t="shared" si="11"/>
        <v>市政基础设施</v>
      </c>
      <c r="R39" s="904" t="s">
        <v>1254</v>
      </c>
      <c r="S39" s="905">
        <f t="shared" si="12"/>
        <v>100</v>
      </c>
      <c r="T39" s="904" t="s">
        <v>1254</v>
      </c>
      <c r="U39" s="905">
        <f t="shared" si="13"/>
        <v>100</v>
      </c>
      <c r="V39" s="904" t="s">
        <v>1254</v>
      </c>
      <c r="W39" s="905">
        <f t="shared" si="14"/>
        <v>100</v>
      </c>
      <c r="X39" s="898"/>
      <c r="Y39" s="3031"/>
      <c r="Z39" s="833" t="str">
        <f t="shared" si="15"/>
        <v>市政基础设施</v>
      </c>
      <c r="AA39" s="915">
        <f t="shared" si="3"/>
        <v>1</v>
      </c>
      <c r="AB39" s="915">
        <f t="shared" si="4"/>
        <v>1</v>
      </c>
      <c r="AC39" s="915">
        <f t="shared" si="5"/>
        <v>1</v>
      </c>
    </row>
    <row r="40" spans="1:29" ht="15">
      <c r="A40" s="792"/>
      <c r="B40" s="741" t="s">
        <v>1378</v>
      </c>
      <c r="C40" s="796"/>
      <c r="D40" s="753">
        <v>100</v>
      </c>
      <c r="E40" s="1278"/>
      <c r="F40" s="1103">
        <f>SUMIF(118:118,E40,119:119)-SUMIF(118:118,C40,119:119)+100</f>
        <v>100</v>
      </c>
      <c r="G40" s="796"/>
      <c r="H40" s="753">
        <f>SUMIF(118:118,G40,119:119)-SUMIF(118:118,C40,119:119)+100</f>
        <v>100</v>
      </c>
      <c r="I40" s="1278"/>
      <c r="J40" s="753">
        <f>SUMIF(118:118,I40,119:119)-SUMIF(118:118,C40,119:119)+100</f>
        <v>100</v>
      </c>
      <c r="K40" s="1289"/>
      <c r="L40" s="873"/>
      <c r="M40" s="861"/>
      <c r="N40" s="861"/>
      <c r="O40" s="861"/>
      <c r="P40" s="3060"/>
      <c r="Q40" s="492" t="str">
        <f t="shared" si="11"/>
        <v>房型</v>
      </c>
      <c r="R40" s="904" t="s">
        <v>1254</v>
      </c>
      <c r="S40" s="905">
        <f t="shared" si="12"/>
        <v>100</v>
      </c>
      <c r="T40" s="904" t="s">
        <v>1254</v>
      </c>
      <c r="U40" s="905">
        <f t="shared" si="13"/>
        <v>100</v>
      </c>
      <c r="V40" s="904" t="s">
        <v>1254</v>
      </c>
      <c r="W40" s="905">
        <f t="shared" si="14"/>
        <v>100</v>
      </c>
      <c r="X40" s="898"/>
      <c r="Y40" s="3031"/>
      <c r="Z40" s="833" t="str">
        <f t="shared" si="15"/>
        <v>房型</v>
      </c>
      <c r="AA40" s="915">
        <f t="shared" si="3"/>
        <v>1</v>
      </c>
      <c r="AB40" s="915">
        <f t="shared" si="4"/>
        <v>1</v>
      </c>
      <c r="AC40" s="915">
        <f t="shared" si="5"/>
        <v>1</v>
      </c>
    </row>
    <row r="41" spans="1:29" s="705" customFormat="1" ht="28.5">
      <c r="A41" s="800"/>
      <c r="B41" s="741" t="s">
        <v>1379</v>
      </c>
      <c r="C41" s="1094"/>
      <c r="D41" s="743">
        <v>100</v>
      </c>
      <c r="E41" s="746"/>
      <c r="F41" s="1240">
        <f>SUMIF(120:120,E41,121:121)-SUMIF(120:120,C41,121:121)+100</f>
        <v>100</v>
      </c>
      <c r="G41" s="745"/>
      <c r="H41" s="743">
        <f>SUMIF(120:120,G41,121:121)-SUMIF(120:120,C41,121:121)+100</f>
        <v>100</v>
      </c>
      <c r="I41" s="784"/>
      <c r="J41" s="753">
        <f>SUMIF(120:120,I41,121:121)-SUMIF(120:120,C41,121:121)+100</f>
        <v>100</v>
      </c>
      <c r="K41" s="1290"/>
      <c r="L41" s="871"/>
      <c r="M41" s="880"/>
      <c r="N41" s="880"/>
      <c r="O41" s="880"/>
      <c r="P41" s="3060"/>
      <c r="Q41" s="1147" t="str">
        <f t="shared" si="11"/>
        <v>单套/主力户型建筑面积</v>
      </c>
      <c r="R41" s="906" t="s">
        <v>1254</v>
      </c>
      <c r="S41" s="907">
        <f t="shared" si="12"/>
        <v>100</v>
      </c>
      <c r="T41" s="906" t="s">
        <v>1254</v>
      </c>
      <c r="U41" s="907">
        <f t="shared" si="13"/>
        <v>100</v>
      </c>
      <c r="V41" s="906" t="s">
        <v>1254</v>
      </c>
      <c r="W41" s="907">
        <f t="shared" si="14"/>
        <v>100</v>
      </c>
      <c r="X41" s="908"/>
      <c r="Y41" s="3031"/>
      <c r="Z41" s="916" t="str">
        <f t="shared" si="15"/>
        <v>单套/主力户型建筑面积</v>
      </c>
      <c r="AA41" s="915">
        <f t="shared" si="3"/>
        <v>1</v>
      </c>
      <c r="AB41" s="915">
        <f t="shared" si="4"/>
        <v>1</v>
      </c>
      <c r="AC41" s="915">
        <f t="shared" si="5"/>
        <v>1</v>
      </c>
    </row>
    <row r="42" spans="1:29" ht="15">
      <c r="A42" s="792"/>
      <c r="B42" s="741" t="s">
        <v>1293</v>
      </c>
      <c r="C42" s="796"/>
      <c r="D42" s="753">
        <v>100</v>
      </c>
      <c r="E42" s="1278"/>
      <c r="F42" s="1103">
        <f>SUMIF(122:122,E42,123:123)-SUMIF(122:122,C42,123:123)+100</f>
        <v>100</v>
      </c>
      <c r="G42" s="796"/>
      <c r="H42" s="753">
        <f>SUMIF(122:122,G42,123:123)-SUMIF(122:122,C42,123:123)+100</f>
        <v>100</v>
      </c>
      <c r="I42" s="1278"/>
      <c r="J42" s="753">
        <f>SUMIF(122:122,I42,123:123)-SUMIF(122:122,C42,123:123)+100</f>
        <v>100</v>
      </c>
      <c r="K42" s="1289"/>
      <c r="L42" s="873"/>
      <c r="M42" s="861"/>
      <c r="N42" s="861"/>
      <c r="O42" s="861"/>
      <c r="P42" s="3060"/>
      <c r="Q42" s="492" t="str">
        <f t="shared" si="11"/>
        <v>内部装修</v>
      </c>
      <c r="R42" s="904" t="s">
        <v>1254</v>
      </c>
      <c r="S42" s="905">
        <f t="shared" si="12"/>
        <v>100</v>
      </c>
      <c r="T42" s="904" t="s">
        <v>1254</v>
      </c>
      <c r="U42" s="905">
        <f t="shared" si="13"/>
        <v>100</v>
      </c>
      <c r="V42" s="904" t="s">
        <v>1254</v>
      </c>
      <c r="W42" s="905">
        <f t="shared" si="14"/>
        <v>100</v>
      </c>
      <c r="X42" s="898"/>
      <c r="Y42" s="3031"/>
      <c r="Z42" s="833" t="str">
        <f t="shared" si="15"/>
        <v>内部装修</v>
      </c>
      <c r="AA42" s="915">
        <f t="shared" si="3"/>
        <v>1</v>
      </c>
      <c r="AB42" s="915">
        <f t="shared" si="4"/>
        <v>1</v>
      </c>
      <c r="AC42" s="915">
        <f t="shared" si="5"/>
        <v>1</v>
      </c>
    </row>
    <row r="43" spans="1:29" ht="15">
      <c r="A43" s="792"/>
      <c r="B43" s="741" t="s">
        <v>217</v>
      </c>
      <c r="C43" s="796"/>
      <c r="D43" s="753">
        <v>100</v>
      </c>
      <c r="E43" s="1278"/>
      <c r="F43" s="1103">
        <f>SUMIF(124:124,E43,125:125)-SUMIF(124:124,C43,125:125)+100</f>
        <v>100</v>
      </c>
      <c r="G43" s="796"/>
      <c r="H43" s="753">
        <f>SUMIF(124:124,G43,125:125)-SUMIF(124:124,C43,125:125)+100</f>
        <v>100</v>
      </c>
      <c r="I43" s="1278"/>
      <c r="J43" s="753">
        <f>SUMIF(124:124,I43,125:125)-SUMIF(124:124,C43,125:125)+100</f>
        <v>100</v>
      </c>
      <c r="K43" s="1289"/>
      <c r="L43" s="873"/>
      <c r="M43" s="861"/>
      <c r="N43" s="861"/>
      <c r="O43" s="861"/>
      <c r="P43" s="3060"/>
      <c r="Q43" s="492" t="str">
        <f t="shared" si="11"/>
        <v>内部装修维护情况</v>
      </c>
      <c r="R43" s="904" t="s">
        <v>1254</v>
      </c>
      <c r="S43" s="905">
        <f t="shared" si="12"/>
        <v>100</v>
      </c>
      <c r="T43" s="904" t="s">
        <v>1254</v>
      </c>
      <c r="U43" s="905">
        <f t="shared" si="13"/>
        <v>100</v>
      </c>
      <c r="V43" s="904" t="s">
        <v>1254</v>
      </c>
      <c r="W43" s="905">
        <f t="shared" si="14"/>
        <v>100</v>
      </c>
      <c r="X43" s="898"/>
      <c r="Y43" s="3031"/>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1094"/>
      <c r="F44" s="1240">
        <f>SUMIF(126:126,E44,127:127)-SUMIF(126:126,C44,127:127)+100</f>
        <v>100</v>
      </c>
      <c r="G44" s="1094"/>
      <c r="H44" s="743">
        <f>SUMIF(126:126,G44,127:127)-SUMIF(126:126,C44,127:127)+100</f>
        <v>100</v>
      </c>
      <c r="I44" s="1094"/>
      <c r="J44" s="743">
        <f>SUMIF(126:126,I44,127:127)-SUMIF(126:126,C44,127:127)+100</f>
        <v>100</v>
      </c>
      <c r="K44" s="1290"/>
      <c r="L44" s="863"/>
      <c r="M44" s="864"/>
      <c r="N44" s="864"/>
      <c r="O44" s="864"/>
      <c r="P44" s="3060"/>
      <c r="Q44" s="903">
        <f t="shared" si="11"/>
        <v>111</v>
      </c>
      <c r="R44" s="900" t="s">
        <v>1254</v>
      </c>
      <c r="S44" s="901">
        <f t="shared" si="12"/>
        <v>100</v>
      </c>
      <c r="T44" s="900" t="s">
        <v>1254</v>
      </c>
      <c r="U44" s="901">
        <f t="shared" si="13"/>
        <v>100</v>
      </c>
      <c r="V44" s="900" t="s">
        <v>1254</v>
      </c>
      <c r="W44" s="901">
        <f t="shared" si="14"/>
        <v>100</v>
      </c>
      <c r="X44" s="902"/>
      <c r="Y44" s="3031"/>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1290"/>
      <c r="L45" s="873"/>
      <c r="M45" s="861"/>
      <c r="N45" s="861"/>
      <c r="O45" s="861"/>
      <c r="P45" s="3060"/>
      <c r="Q45" s="492">
        <f t="shared" si="11"/>
        <v>111</v>
      </c>
      <c r="R45" s="904" t="s">
        <v>1254</v>
      </c>
      <c r="S45" s="905">
        <f t="shared" si="12"/>
        <v>100</v>
      </c>
      <c r="T45" s="904" t="s">
        <v>1254</v>
      </c>
      <c r="U45" s="905">
        <f t="shared" si="13"/>
        <v>100</v>
      </c>
      <c r="V45" s="904" t="s">
        <v>1254</v>
      </c>
      <c r="W45" s="905">
        <f t="shared" si="14"/>
        <v>100</v>
      </c>
      <c r="X45" s="898"/>
      <c r="Y45" s="3031"/>
      <c r="Z45" s="833">
        <f t="shared" si="15"/>
        <v>111</v>
      </c>
      <c r="AA45" s="915">
        <f t="shared" si="3"/>
        <v>1</v>
      </c>
      <c r="AB45" s="915">
        <f t="shared" si="4"/>
        <v>1</v>
      </c>
      <c r="AC45" s="915">
        <f t="shared" si="5"/>
        <v>1</v>
      </c>
    </row>
    <row r="46" spans="1:29" ht="15">
      <c r="A46" s="1115"/>
      <c r="B46" s="755">
        <v>111</v>
      </c>
      <c r="C46" s="756"/>
      <c r="D46" s="757">
        <v>100</v>
      </c>
      <c r="E46" s="756"/>
      <c r="F46" s="1117">
        <f>SUMIF(130:130,E46,131:131)-SUMIF(130:130,C46,131:131)+100</f>
        <v>100</v>
      </c>
      <c r="G46" s="756"/>
      <c r="H46" s="757">
        <f>SUMIF(130:130,G46,131:131)-SUMIF(130:130,C46,131:131)+100</f>
        <v>100</v>
      </c>
      <c r="I46" s="756"/>
      <c r="J46" s="757">
        <f>SUMIF(130:130,I46,131:131)-SUMIF(130:130,C46,131:131)+100</f>
        <v>100</v>
      </c>
      <c r="K46" s="1290"/>
      <c r="L46" s="873"/>
      <c r="M46" s="861"/>
      <c r="N46" s="861"/>
      <c r="O46" s="861"/>
      <c r="P46" s="3061"/>
      <c r="Q46" s="492">
        <f t="shared" si="11"/>
        <v>111</v>
      </c>
      <c r="R46" s="904" t="s">
        <v>1254</v>
      </c>
      <c r="S46" s="905">
        <f t="shared" si="12"/>
        <v>100</v>
      </c>
      <c r="T46" s="904" t="s">
        <v>1254</v>
      </c>
      <c r="U46" s="905">
        <f t="shared" si="13"/>
        <v>100</v>
      </c>
      <c r="V46" s="904" t="s">
        <v>1254</v>
      </c>
      <c r="W46" s="905">
        <f t="shared" si="14"/>
        <v>100</v>
      </c>
      <c r="X46" s="898"/>
      <c r="Y46" s="3032"/>
      <c r="Z46" s="833">
        <f t="shared" si="15"/>
        <v>111</v>
      </c>
      <c r="AA46" s="915">
        <f t="shared" si="3"/>
        <v>1</v>
      </c>
      <c r="AB46" s="915">
        <f t="shared" si="4"/>
        <v>1</v>
      </c>
      <c r="AC46" s="915">
        <f t="shared" si="5"/>
        <v>1</v>
      </c>
    </row>
    <row r="47" spans="1:29" ht="15">
      <c r="A47" s="802" t="s">
        <v>1294</v>
      </c>
      <c r="B47" s="1118"/>
      <c r="C47" s="1119" t="s">
        <v>121</v>
      </c>
      <c r="D47" s="1120"/>
      <c r="E47" s="1121"/>
      <c r="F47" s="1122"/>
      <c r="G47" s="1123"/>
      <c r="H47" s="1124"/>
      <c r="I47" s="1121"/>
      <c r="J47" s="1124"/>
      <c r="K47" s="1294"/>
      <c r="L47" s="885"/>
      <c r="M47" s="819"/>
      <c r="N47" s="861"/>
      <c r="O47" s="819"/>
      <c r="P47" s="3022" t="str">
        <f>A47</f>
        <v>成交单价（元/平方米）</v>
      </c>
      <c r="Q47" s="3022"/>
      <c r="R47" s="3023">
        <f>E47</f>
        <v>0</v>
      </c>
      <c r="S47" s="3023"/>
      <c r="T47" s="3023">
        <f>G47</f>
        <v>0</v>
      </c>
      <c r="U47" s="3023"/>
      <c r="V47" s="3023">
        <f>I47</f>
        <v>0</v>
      </c>
      <c r="W47" s="3023"/>
      <c r="X47" s="849"/>
      <c r="Y47" s="917"/>
      <c r="Z47" s="849"/>
      <c r="AA47" s="849"/>
      <c r="AB47" s="849"/>
      <c r="AC47" s="849"/>
    </row>
    <row r="48" spans="1:29" ht="15">
      <c r="A48" s="810" t="s">
        <v>1295</v>
      </c>
      <c r="B48" s="1125"/>
      <c r="C48" s="1126" t="e">
        <f>R49</f>
        <v>#DIV/0!</v>
      </c>
      <c r="D48" s="1127"/>
      <c r="E48" s="1128" t="e">
        <f>R48</f>
        <v>#DIV/0!</v>
      </c>
      <c r="F48" s="1128"/>
      <c r="G48" s="1126" t="e">
        <f>T48</f>
        <v>#DIV/0!</v>
      </c>
      <c r="H48" s="1127"/>
      <c r="I48" s="1128" t="e">
        <f>V48</f>
        <v>#DIV/0!</v>
      </c>
      <c r="J48" s="1127"/>
      <c r="K48" s="1295"/>
      <c r="L48" s="885"/>
      <c r="M48" s="819"/>
      <c r="N48" s="819"/>
      <c r="O48" s="819"/>
      <c r="P48" s="3022" t="str">
        <f>A48</f>
        <v>比较价值（元/平方米）</v>
      </c>
      <c r="Q48" s="3022"/>
      <c r="R48" s="3023" t="e">
        <f>IF(E1="售价",ROUND(PRODUCT(R47,AA7:AA46),0),ROUND(PRODUCT(R47,AA7:AA46),1))</f>
        <v>#DIV/0!</v>
      </c>
      <c r="S48" s="3023"/>
      <c r="T48" s="3062" t="e">
        <f>IF(E1="售价",ROUND(PRODUCT(T47,AB7:AB46),0),ROUND(PRODUCT(T47,AB7:AB46),1))</f>
        <v>#DIV/0!</v>
      </c>
      <c r="U48" s="3063"/>
      <c r="V48" s="3023" t="e">
        <f>IF(E1="售价",ROUND(PRODUCT(V47,AC7:AC46),0),ROUND(PRODUCT(V47,AC7:AC46),1))</f>
        <v>#DIV/0!</v>
      </c>
      <c r="W48" s="3023"/>
      <c r="X48" s="849"/>
      <c r="Y48" s="849"/>
      <c r="Z48" s="849"/>
      <c r="AA48" s="849"/>
      <c r="AB48" s="849"/>
      <c r="AC48" s="849"/>
    </row>
    <row r="49" spans="1:29" ht="15">
      <c r="A49" s="816" t="s">
        <v>1296</v>
      </c>
      <c r="B49" s="817"/>
      <c r="C49" s="1280" t="e">
        <f>R49</f>
        <v>#DIV/0!</v>
      </c>
      <c r="D49" s="1129"/>
      <c r="E49" s="1129"/>
      <c r="F49" s="1129"/>
      <c r="G49" s="1129"/>
      <c r="H49" s="1129"/>
      <c r="I49" s="1129"/>
      <c r="J49" s="1129"/>
      <c r="K49" s="1296"/>
      <c r="L49" s="885"/>
      <c r="M49" s="819"/>
      <c r="N49" s="819"/>
      <c r="O49" s="819"/>
      <c r="P49" s="3064" t="str">
        <f>A49</f>
        <v>估价对象XX用房的比较价值（楼面单价，元/平方米）</v>
      </c>
      <c r="Q49" s="3021"/>
      <c r="R49" s="3034" t="e">
        <f>IF(E1="售价",ROUND(AVERAGE(R48:V48),0),ROUND(AVERAGE(R48:V48),1))</f>
        <v>#DIV/0!</v>
      </c>
      <c r="S49" s="3034"/>
      <c r="T49" s="3034"/>
      <c r="U49" s="3034"/>
      <c r="V49" s="3034"/>
      <c r="W49" s="3034"/>
      <c r="X49" s="849"/>
      <c r="Y49" s="849"/>
      <c r="Z49" s="849"/>
      <c r="AA49" s="849"/>
      <c r="AB49" s="849"/>
      <c r="AC49" s="849"/>
    </row>
    <row r="50" spans="1:29">
      <c r="A50" s="819"/>
      <c r="B50" s="819"/>
      <c r="C50" s="819"/>
      <c r="D50" s="819"/>
      <c r="E50" s="819"/>
      <c r="F50" s="819"/>
      <c r="G50" s="820"/>
      <c r="H50" s="819"/>
      <c r="I50" s="819"/>
      <c r="J50" s="819"/>
      <c r="K50" s="889"/>
      <c r="L50" s="890"/>
      <c r="M50" s="819"/>
      <c r="N50" s="819"/>
      <c r="O50" s="819"/>
    </row>
    <row r="51" spans="1:29">
      <c r="A51" s="819"/>
      <c r="B51" s="819"/>
      <c r="C51" s="819"/>
      <c r="D51" s="819"/>
      <c r="E51" s="819"/>
      <c r="F51" s="819"/>
      <c r="G51" s="819"/>
      <c r="H51" s="819"/>
      <c r="I51" s="819"/>
      <c r="J51" s="819"/>
      <c r="K51" s="889"/>
      <c r="L51" s="890"/>
      <c r="M51" s="819"/>
      <c r="N51" s="819"/>
      <c r="O51" s="819"/>
    </row>
    <row r="52" spans="1:29" ht="13.5" customHeight="1">
      <c r="A52" s="819"/>
      <c r="B52" s="819"/>
      <c r="C52" s="821" t="s">
        <v>1297</v>
      </c>
      <c r="D52" s="533"/>
      <c r="E52" s="822" t="e">
        <f>IF(E47&lt;E48,E48/E47-1,E47/E48-1)</f>
        <v>#DIV/0!</v>
      </c>
      <c r="F52" s="823" t="e">
        <f>IF(OR(E52&gt;=0.3,E52&lt;=-0.3),"超过30%","")</f>
        <v>#DIV/0!</v>
      </c>
      <c r="G52" s="822" t="e">
        <f>IF(G47&lt;G48,G48/G47-1,G47/G48-1)</f>
        <v>#DIV/0!</v>
      </c>
      <c r="H52" s="823" t="e">
        <f>IF(OR(G52&gt;=0.3,G52&lt;=-0.3),"超过30%","")</f>
        <v>#DIV/0!</v>
      </c>
      <c r="I52" s="822" t="e">
        <f>IF(I47&lt;I48,I48/I47-1,I47/I48-1)</f>
        <v>#DIV/0!</v>
      </c>
      <c r="J52" s="823" t="e">
        <f>IF(OR(I52&gt;=0.3,I52&lt;=-0.3),"超过30%","")</f>
        <v>#DIV/0!</v>
      </c>
      <c r="K52" s="889"/>
      <c r="L52" s="890"/>
      <c r="M52" s="819"/>
      <c r="N52" s="819"/>
      <c r="O52" s="819"/>
    </row>
    <row r="53" spans="1:29" ht="13.5" customHeight="1">
      <c r="A53" s="819"/>
      <c r="B53" s="819"/>
      <c r="C53" s="821" t="s">
        <v>1298</v>
      </c>
      <c r="D53" s="532"/>
      <c r="E53" s="822" t="e">
        <f>IF(E48&lt;G48,G48/E48-1,E48/G48-1)</f>
        <v>#DIV/0!</v>
      </c>
      <c r="F53" s="823" t="e">
        <f>IF(OR(E53&gt;=0.2,E53&lt;=-0.2),"超过20%","")</f>
        <v>#DIV/0!</v>
      </c>
      <c r="G53" s="822" t="e">
        <f>IF(G48&lt;I48,I48/G48-1,G48/I48-1)</f>
        <v>#DIV/0!</v>
      </c>
      <c r="H53" s="823" t="e">
        <f>IF(OR(G53&gt;=0.2,G53&lt;=-0.2),"超过20%","")</f>
        <v>#DIV/0!</v>
      </c>
      <c r="I53" s="822" t="e">
        <f>IF(I48&lt;E48,E48/I48-1,I48/E48-1)</f>
        <v>#DIV/0!</v>
      </c>
      <c r="J53" s="823" t="e">
        <f>IF(OR(I53&gt;=0.2,I53&lt;=-0.2),"超过20%","")</f>
        <v>#DIV/0!</v>
      </c>
      <c r="K53" s="889"/>
      <c r="L53" s="890"/>
      <c r="M53" s="819"/>
      <c r="N53" s="819"/>
      <c r="O53" s="819"/>
    </row>
    <row r="54" spans="1:29" s="706" customFormat="1" ht="13.5" customHeight="1">
      <c r="A54" s="824"/>
      <c r="B54" s="824"/>
      <c r="C54" s="821" t="s">
        <v>1299</v>
      </c>
      <c r="D54" s="532"/>
      <c r="E54" s="822" t="e">
        <f>IF(E47&lt;G47,G47/E47-1,E47/G47-1)</f>
        <v>#DIV/0!</v>
      </c>
      <c r="F54" s="823" t="e">
        <f>IF(OR(E54&gt;=0.3,E54&lt;=-0.3),"超过30%","")</f>
        <v>#DIV/0!</v>
      </c>
      <c r="G54" s="822" t="e">
        <f>IF(G47&lt;I47,I47/G47-1,G47/I47-1)</f>
        <v>#DIV/0!</v>
      </c>
      <c r="H54" s="823" t="e">
        <f>IF(OR(G54&gt;=0.3,G54&lt;=-0.3),"超过30%","")</f>
        <v>#DIV/0!</v>
      </c>
      <c r="I54" s="822" t="e">
        <f>IF(I47&lt;E47,E47/I47-1,I47/E47-1)</f>
        <v>#DIV/0!</v>
      </c>
      <c r="J54" s="823" t="e">
        <f>IF(OR(I54&gt;=0.3,I54&lt;=-0.3),"超过30%","")</f>
        <v>#DIV/0!</v>
      </c>
      <c r="K54" s="891"/>
      <c r="L54" s="892"/>
      <c r="M54" s="824"/>
      <c r="N54" s="824"/>
      <c r="O54" s="824"/>
      <c r="P54" s="1297"/>
    </row>
    <row r="55" spans="1:29" s="706" customFormat="1">
      <c r="A55" s="824"/>
      <c r="B55" s="825"/>
      <c r="C55" s="826"/>
      <c r="D55" s="824"/>
      <c r="E55" s="824"/>
      <c r="F55" s="824"/>
      <c r="G55" s="824"/>
      <c r="H55" s="824"/>
      <c r="I55" s="824"/>
      <c r="J55" s="824"/>
      <c r="K55" s="891"/>
      <c r="L55" s="892"/>
      <c r="M55" s="824"/>
      <c r="N55" s="824"/>
      <c r="O55" s="824"/>
      <c r="P55" s="1297"/>
    </row>
    <row r="56" spans="1:29">
      <c r="A56" s="819"/>
      <c r="B56" s="825"/>
      <c r="C56" s="826"/>
      <c r="D56" s="819"/>
      <c r="E56" s="819"/>
      <c r="F56" s="819"/>
      <c r="G56" s="819"/>
      <c r="H56" s="819"/>
      <c r="I56" s="819"/>
      <c r="J56" s="819"/>
      <c r="K56" s="889"/>
      <c r="L56" s="890"/>
      <c r="M56" s="819"/>
      <c r="N56" s="819"/>
      <c r="O56" s="819"/>
    </row>
    <row r="57" spans="1:29" ht="21">
      <c r="A57" s="848" t="s">
        <v>1300</v>
      </c>
      <c r="B57" s="849"/>
      <c r="C57" s="850"/>
      <c r="D57" s="850"/>
      <c r="E57" s="850"/>
      <c r="F57" s="851"/>
      <c r="G57" s="851"/>
      <c r="H57" s="850"/>
      <c r="I57" s="850"/>
      <c r="J57" s="850"/>
      <c r="K57" s="1143"/>
      <c r="L57" s="1144"/>
      <c r="M57" s="850"/>
      <c r="N57" s="850"/>
      <c r="O57" s="850"/>
      <c r="P57" s="1298"/>
      <c r="Q57" s="909"/>
    </row>
    <row r="58" spans="1:29" s="708" customFormat="1" ht="15">
      <c r="A58" s="1130" t="s">
        <v>1252</v>
      </c>
      <c r="B58" s="1131"/>
      <c r="C58" s="1132" t="str">
        <f>YEAR(C7)&amp;"-"&amp;MONTH(C7)</f>
        <v>2019-6</v>
      </c>
      <c r="D58" s="1133">
        <f>EDATE(C58,-1)</f>
        <v>43586</v>
      </c>
      <c r="E58" s="1133">
        <f t="shared" ref="E58:O58" si="16">EDATE(D58,-1)</f>
        <v>43556</v>
      </c>
      <c r="F58" s="1133">
        <f t="shared" si="16"/>
        <v>43525</v>
      </c>
      <c r="G58" s="1133">
        <f t="shared" si="16"/>
        <v>43497</v>
      </c>
      <c r="H58" s="1133">
        <f t="shared" si="16"/>
        <v>43466</v>
      </c>
      <c r="I58" s="1133">
        <f t="shared" si="16"/>
        <v>43435</v>
      </c>
      <c r="J58" s="1133">
        <f t="shared" si="16"/>
        <v>43405</v>
      </c>
      <c r="K58" s="1133">
        <f t="shared" si="16"/>
        <v>43374</v>
      </c>
      <c r="L58" s="1133">
        <f t="shared" si="16"/>
        <v>43344</v>
      </c>
      <c r="M58" s="1133">
        <f t="shared" si="16"/>
        <v>43313</v>
      </c>
      <c r="N58" s="1133">
        <f t="shared" si="16"/>
        <v>43282</v>
      </c>
      <c r="O58" s="1133">
        <f t="shared" si="16"/>
        <v>43252</v>
      </c>
      <c r="P58" s="1262"/>
    </row>
    <row r="59" spans="1:29" s="703" customFormat="1" ht="15">
      <c r="A59" s="1134"/>
      <c r="B59" s="929"/>
      <c r="C59" s="932">
        <v>100</v>
      </c>
      <c r="D59" s="933"/>
      <c r="E59" s="933"/>
      <c r="F59" s="933"/>
      <c r="G59" s="933"/>
      <c r="H59" s="933"/>
      <c r="I59" s="933"/>
      <c r="J59" s="933"/>
      <c r="K59" s="933"/>
      <c r="L59" s="933"/>
      <c r="M59" s="1145"/>
      <c r="N59" s="933"/>
      <c r="O59" s="1145"/>
      <c r="P59" s="1263"/>
    </row>
    <row r="60" spans="1:29" s="703" customFormat="1" ht="15">
      <c r="A60" s="924" t="s">
        <v>1301</v>
      </c>
      <c r="B60" s="925"/>
      <c r="C60" s="926"/>
      <c r="D60" s="927"/>
      <c r="E60" s="927"/>
      <c r="F60" s="927"/>
      <c r="G60" s="927"/>
      <c r="H60" s="927"/>
      <c r="I60" s="927"/>
      <c r="J60" s="927"/>
      <c r="K60" s="927"/>
      <c r="L60" s="927"/>
      <c r="M60" s="976"/>
      <c r="N60" s="927"/>
      <c r="O60" s="976"/>
      <c r="P60" s="1263"/>
      <c r="Q60" s="909"/>
    </row>
    <row r="61" spans="1:29" s="703" customFormat="1" ht="15">
      <c r="A61" s="928" t="s">
        <v>1255</v>
      </c>
      <c r="B61" s="929"/>
      <c r="C61" s="930" t="s">
        <v>1256</v>
      </c>
      <c r="D61" s="931"/>
      <c r="E61" s="931"/>
      <c r="F61" s="931"/>
      <c r="G61" s="931"/>
      <c r="H61" s="931"/>
      <c r="I61" s="931"/>
      <c r="J61" s="931"/>
      <c r="K61" s="931"/>
      <c r="L61" s="978"/>
      <c r="M61" s="979"/>
      <c r="N61" s="980"/>
      <c r="O61" s="980"/>
      <c r="P61" s="1264"/>
      <c r="Q61" s="909"/>
    </row>
    <row r="62" spans="1:29" s="703" customFormat="1" ht="15">
      <c r="A62" s="928"/>
      <c r="B62" s="929"/>
      <c r="C62" s="1256">
        <v>100</v>
      </c>
      <c r="D62" s="933"/>
      <c r="E62" s="933"/>
      <c r="F62" s="933"/>
      <c r="G62" s="933"/>
      <c r="H62" s="933"/>
      <c r="I62" s="933"/>
      <c r="J62" s="933"/>
      <c r="K62" s="933"/>
      <c r="L62" s="933"/>
      <c r="M62" s="982"/>
      <c r="N62" s="980"/>
      <c r="O62" s="980"/>
      <c r="P62" s="1263"/>
      <c r="Q62" s="909"/>
    </row>
    <row r="63" spans="1:29">
      <c r="A63" s="934" t="s">
        <v>1302</v>
      </c>
      <c r="B63" s="935" t="s">
        <v>1260</v>
      </c>
      <c r="C63" s="957">
        <f>C9</f>
        <v>0</v>
      </c>
      <c r="D63" s="882"/>
      <c r="E63" s="882"/>
      <c r="F63" s="882"/>
      <c r="G63" s="882"/>
      <c r="H63" s="882"/>
      <c r="I63" s="882"/>
      <c r="J63" s="882"/>
      <c r="K63" s="983"/>
      <c r="L63" s="984"/>
      <c r="M63" s="985"/>
      <c r="N63" s="986"/>
      <c r="O63" s="986"/>
      <c r="P63" s="1265"/>
      <c r="Q63" s="909"/>
    </row>
    <row r="64" spans="1:29" ht="15">
      <c r="A64" s="936"/>
      <c r="B64" s="937"/>
      <c r="C64" s="938">
        <v>100</v>
      </c>
      <c r="D64" s="938"/>
      <c r="E64" s="938"/>
      <c r="F64" s="938"/>
      <c r="G64" s="938"/>
      <c r="H64" s="938"/>
      <c r="I64" s="938"/>
      <c r="J64" s="938"/>
      <c r="K64" s="938"/>
      <c r="L64" s="938"/>
      <c r="M64" s="988"/>
      <c r="N64" s="989"/>
      <c r="O64" s="989"/>
      <c r="P64" s="1265"/>
      <c r="Q64" s="909"/>
    </row>
    <row r="65" spans="1:17" ht="27">
      <c r="A65" s="936"/>
      <c r="B65" s="939" t="s">
        <v>1263</v>
      </c>
      <c r="C65" s="940" t="s">
        <v>1303</v>
      </c>
      <c r="D65" s="940" t="s">
        <v>1304</v>
      </c>
      <c r="E65" s="940" t="s">
        <v>1305</v>
      </c>
      <c r="F65" s="940" t="s">
        <v>1306</v>
      </c>
      <c r="G65" s="940" t="s">
        <v>1307</v>
      </c>
      <c r="H65" s="940" t="s">
        <v>1308</v>
      </c>
      <c r="I65" s="940" t="s">
        <v>1309</v>
      </c>
      <c r="J65" s="940"/>
      <c r="K65" s="990"/>
      <c r="L65" s="991"/>
      <c r="M65" s="992"/>
      <c r="N65" s="986"/>
      <c r="O65" s="986"/>
      <c r="P65" s="1265"/>
      <c r="Q65" s="909"/>
    </row>
    <row r="66" spans="1:17" ht="15">
      <c r="A66" s="936"/>
      <c r="B66" s="941"/>
      <c r="C66" s="942">
        <v>100</v>
      </c>
      <c r="D66" s="942">
        <f t="shared" ref="D66:I66" si="17">C66-$K10</f>
        <v>100</v>
      </c>
      <c r="E66" s="942">
        <f t="shared" si="17"/>
        <v>100</v>
      </c>
      <c r="F66" s="942">
        <f t="shared" si="17"/>
        <v>100</v>
      </c>
      <c r="G66" s="942">
        <f t="shared" si="17"/>
        <v>100</v>
      </c>
      <c r="H66" s="942">
        <f t="shared" si="17"/>
        <v>100</v>
      </c>
      <c r="I66" s="942">
        <f t="shared" si="17"/>
        <v>100</v>
      </c>
      <c r="J66" s="942"/>
      <c r="K66" s="942"/>
      <c r="L66" s="942"/>
      <c r="M66" s="993"/>
      <c r="N66" s="989"/>
      <c r="O66" s="989"/>
      <c r="P66" s="1265"/>
      <c r="Q66" s="909"/>
    </row>
    <row r="67" spans="1:17" ht="15">
      <c r="A67" s="936"/>
      <c r="B67" s="943" t="s">
        <v>1265</v>
      </c>
      <c r="C67" s="944" t="str">
        <f>C68&amp;"（含）"&amp;"-"&amp;D68</f>
        <v>（含）-</v>
      </c>
      <c r="D67" s="944" t="str">
        <f t="shared" ref="D67:L67" si="18">D68&amp;"（含）"&amp;"-"&amp;E68</f>
        <v>（含）-</v>
      </c>
      <c r="E67" s="944" t="str">
        <f t="shared" si="18"/>
        <v>（含）-</v>
      </c>
      <c r="F67" s="944" t="str">
        <f t="shared" si="18"/>
        <v>（含）-</v>
      </c>
      <c r="G67" s="944" t="str">
        <f t="shared" si="18"/>
        <v>（含）-</v>
      </c>
      <c r="H67" s="944" t="str">
        <f t="shared" si="18"/>
        <v>（含）-</v>
      </c>
      <c r="I67" s="944" t="str">
        <f t="shared" si="18"/>
        <v>（含）-</v>
      </c>
      <c r="J67" s="944" t="str">
        <f t="shared" si="18"/>
        <v>（含）-</v>
      </c>
      <c r="K67" s="944" t="str">
        <f t="shared" si="18"/>
        <v>（含）-</v>
      </c>
      <c r="L67" s="944" t="str">
        <f t="shared" si="18"/>
        <v>（含）-</v>
      </c>
      <c r="M67" s="765" t="str">
        <f>M68&amp;"（含）"&amp;"-"&amp;P68</f>
        <v>（含）-</v>
      </c>
      <c r="N67" s="989"/>
      <c r="O67" s="989"/>
      <c r="P67" s="1265"/>
      <c r="Q67" s="909"/>
    </row>
    <row r="68" spans="1:17" ht="15">
      <c r="A68" s="936"/>
      <c r="B68" s="945"/>
      <c r="C68" s="750"/>
      <c r="D68" s="750"/>
      <c r="E68" s="750"/>
      <c r="F68" s="750"/>
      <c r="G68" s="750"/>
      <c r="H68" s="750"/>
      <c r="I68" s="750"/>
      <c r="J68" s="750"/>
      <c r="K68" s="994"/>
      <c r="L68" s="995"/>
      <c r="M68" s="996"/>
      <c r="N68" s="986"/>
      <c r="O68" s="986"/>
      <c r="P68" s="1265"/>
      <c r="Q68" s="909"/>
    </row>
    <row r="69" spans="1:17" ht="15">
      <c r="A69" s="936"/>
      <c r="B69" s="937"/>
      <c r="C69" s="942">
        <v>100</v>
      </c>
      <c r="D69" s="942">
        <f t="shared" ref="D69:M69" si="19">C69-$K11</f>
        <v>100</v>
      </c>
      <c r="E69" s="942">
        <f t="shared" si="19"/>
        <v>100</v>
      </c>
      <c r="F69" s="942">
        <f t="shared" si="19"/>
        <v>100</v>
      </c>
      <c r="G69" s="942">
        <f t="shared" si="19"/>
        <v>100</v>
      </c>
      <c r="H69" s="942">
        <f t="shared" si="19"/>
        <v>100</v>
      </c>
      <c r="I69" s="942">
        <f t="shared" si="19"/>
        <v>100</v>
      </c>
      <c r="J69" s="942">
        <f t="shared" si="19"/>
        <v>100</v>
      </c>
      <c r="K69" s="942">
        <f t="shared" si="19"/>
        <v>100</v>
      </c>
      <c r="L69" s="942">
        <f t="shared" si="19"/>
        <v>100</v>
      </c>
      <c r="M69" s="993">
        <f t="shared" si="19"/>
        <v>100</v>
      </c>
      <c r="N69" s="989"/>
      <c r="O69" s="989"/>
      <c r="P69" s="1265"/>
      <c r="Q69" s="909"/>
    </row>
    <row r="70" spans="1:17" s="705" customFormat="1" ht="15">
      <c r="A70" s="946"/>
      <c r="B70" s="939">
        <f>B12</f>
        <v>111</v>
      </c>
      <c r="C70" s="947"/>
      <c r="D70" s="947"/>
      <c r="E70" s="947"/>
      <c r="F70" s="947"/>
      <c r="G70" s="947"/>
      <c r="H70" s="948"/>
      <c r="I70" s="948"/>
      <c r="J70" s="948"/>
      <c r="K70" s="948"/>
      <c r="L70" s="997"/>
      <c r="M70" s="998"/>
      <c r="N70" s="999"/>
      <c r="O70" s="999"/>
      <c r="P70" s="1269"/>
      <c r="Q70" s="1030"/>
    </row>
    <row r="71" spans="1:17" s="705" customFormat="1" ht="15">
      <c r="A71" s="946"/>
      <c r="B71" s="941"/>
      <c r="C71" s="949"/>
      <c r="D71" s="938"/>
      <c r="E71" s="938"/>
      <c r="F71" s="938"/>
      <c r="G71" s="938"/>
      <c r="H71" s="938"/>
      <c r="I71" s="938"/>
      <c r="J71" s="938"/>
      <c r="K71" s="938"/>
      <c r="L71" s="938"/>
      <c r="M71" s="988"/>
      <c r="N71" s="989"/>
      <c r="O71" s="989"/>
      <c r="P71" s="1269"/>
      <c r="Q71" s="1030"/>
    </row>
    <row r="72" spans="1:17" s="705" customFormat="1" ht="15">
      <c r="A72" s="946"/>
      <c r="B72" s="939">
        <f>B13</f>
        <v>111</v>
      </c>
      <c r="C72" s="947"/>
      <c r="D72" s="947"/>
      <c r="E72" s="947"/>
      <c r="F72" s="947"/>
      <c r="G72" s="947"/>
      <c r="H72" s="948"/>
      <c r="I72" s="948"/>
      <c r="J72" s="948"/>
      <c r="K72" s="948"/>
      <c r="L72" s="997"/>
      <c r="M72" s="998"/>
      <c r="N72" s="999"/>
      <c r="O72" s="999"/>
      <c r="P72" s="1270"/>
      <c r="Q72" s="1031"/>
    </row>
    <row r="73" spans="1:17" s="705" customFormat="1" ht="15">
      <c r="A73" s="946"/>
      <c r="B73" s="941"/>
      <c r="C73" s="949"/>
      <c r="D73" s="949"/>
      <c r="E73" s="949"/>
      <c r="F73" s="949"/>
      <c r="G73" s="949"/>
      <c r="H73" s="950"/>
      <c r="I73" s="950"/>
      <c r="J73" s="950"/>
      <c r="K73" s="950"/>
      <c r="L73" s="950"/>
      <c r="M73" s="1002"/>
      <c r="N73" s="999"/>
      <c r="O73" s="999"/>
      <c r="P73" s="1269"/>
      <c r="Q73" s="1030"/>
    </row>
    <row r="74" spans="1:17" s="705" customFormat="1" ht="15">
      <c r="A74" s="946"/>
      <c r="B74" s="943">
        <f>B14</f>
        <v>111</v>
      </c>
      <c r="C74" s="947"/>
      <c r="D74" s="947"/>
      <c r="E74" s="947"/>
      <c r="F74" s="947"/>
      <c r="G74" s="931"/>
      <c r="H74" s="951"/>
      <c r="I74" s="951"/>
      <c r="J74" s="951"/>
      <c r="K74" s="951"/>
      <c r="L74" s="1003"/>
      <c r="M74" s="1004"/>
      <c r="N74" s="999"/>
      <c r="O74" s="999"/>
      <c r="P74" s="1271"/>
      <c r="Q74" s="1030"/>
    </row>
    <row r="75" spans="1:17" s="705" customFormat="1" ht="15">
      <c r="A75" s="952"/>
      <c r="B75" s="953"/>
      <c r="C75" s="954"/>
      <c r="D75" s="954"/>
      <c r="E75" s="954"/>
      <c r="F75" s="954"/>
      <c r="G75" s="954"/>
      <c r="H75" s="955"/>
      <c r="I75" s="955"/>
      <c r="J75" s="955"/>
      <c r="K75" s="955"/>
      <c r="L75" s="955"/>
      <c r="M75" s="1006"/>
      <c r="N75" s="999"/>
      <c r="O75" s="999"/>
      <c r="P75" s="1269"/>
      <c r="Q75" s="1030"/>
    </row>
    <row r="76" spans="1:17">
      <c r="A76" s="934" t="s">
        <v>1266</v>
      </c>
      <c r="B76" s="935" t="s">
        <v>207</v>
      </c>
      <c r="C76" s="956" t="s">
        <v>228</v>
      </c>
      <c r="D76" s="956" t="s">
        <v>240</v>
      </c>
      <c r="E76" s="956" t="s">
        <v>251</v>
      </c>
      <c r="F76" s="956" t="s">
        <v>261</v>
      </c>
      <c r="G76" s="956" t="s">
        <v>268</v>
      </c>
      <c r="H76" s="957"/>
      <c r="I76" s="957"/>
      <c r="J76" s="957"/>
      <c r="K76" s="1007"/>
      <c r="L76" s="1008"/>
      <c r="M76" s="1009"/>
      <c r="N76" s="986"/>
      <c r="O76" s="986"/>
      <c r="P76" s="1272"/>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65"/>
      <c r="Q77" s="909"/>
    </row>
    <row r="78" spans="1:17" ht="15">
      <c r="A78" s="936"/>
      <c r="B78" s="939" t="s">
        <v>211</v>
      </c>
      <c r="C78" s="958" t="s">
        <v>228</v>
      </c>
      <c r="D78" s="958" t="s">
        <v>240</v>
      </c>
      <c r="E78" s="958" t="s">
        <v>251</v>
      </c>
      <c r="F78" s="958" t="s">
        <v>261</v>
      </c>
      <c r="G78" s="958" t="s">
        <v>268</v>
      </c>
      <c r="H78" s="940"/>
      <c r="I78" s="940"/>
      <c r="J78" s="940"/>
      <c r="K78" s="990"/>
      <c r="L78" s="991"/>
      <c r="M78" s="992"/>
      <c r="N78" s="986"/>
      <c r="O78" s="986"/>
      <c r="P78" s="126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65"/>
      <c r="Q79" s="909"/>
    </row>
    <row r="80" spans="1:17" ht="15">
      <c r="A80" s="936"/>
      <c r="B80" s="939" t="s">
        <v>213</v>
      </c>
      <c r="C80" s="958" t="s">
        <v>228</v>
      </c>
      <c r="D80" s="958" t="s">
        <v>240</v>
      </c>
      <c r="E80" s="958" t="s">
        <v>251</v>
      </c>
      <c r="F80" s="958" t="s">
        <v>261</v>
      </c>
      <c r="G80" s="958" t="s">
        <v>268</v>
      </c>
      <c r="H80" s="940"/>
      <c r="I80" s="940"/>
      <c r="J80" s="940"/>
      <c r="K80" s="990"/>
      <c r="L80" s="991"/>
      <c r="M80" s="992"/>
      <c r="N80" s="986"/>
      <c r="O80" s="986"/>
      <c r="P80" s="126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65"/>
      <c r="Q81" s="909"/>
    </row>
    <row r="82" spans="1:17" ht="15">
      <c r="A82" s="936"/>
      <c r="B82" s="943" t="s">
        <v>214</v>
      </c>
      <c r="C82" s="940" t="s">
        <v>1311</v>
      </c>
      <c r="D82" s="940" t="s">
        <v>1312</v>
      </c>
      <c r="E82" s="940" t="s">
        <v>1313</v>
      </c>
      <c r="F82" s="940" t="s">
        <v>1314</v>
      </c>
      <c r="G82" s="940" t="s">
        <v>1315</v>
      </c>
      <c r="H82" s="940"/>
      <c r="I82" s="940"/>
      <c r="J82" s="940"/>
      <c r="K82" s="940"/>
      <c r="L82" s="940"/>
      <c r="M82" s="1072"/>
      <c r="N82" s="989"/>
      <c r="O82" s="989"/>
      <c r="P82" s="126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65"/>
      <c r="Q83" s="909"/>
    </row>
    <row r="84" spans="1:17" ht="15">
      <c r="A84" s="936"/>
      <c r="B84" s="939" t="s">
        <v>570</v>
      </c>
      <c r="C84" s="958" t="s">
        <v>228</v>
      </c>
      <c r="D84" s="958" t="s">
        <v>240</v>
      </c>
      <c r="E84" s="958" t="s">
        <v>251</v>
      </c>
      <c r="F84" s="958" t="s">
        <v>261</v>
      </c>
      <c r="G84" s="958" t="s">
        <v>268</v>
      </c>
      <c r="H84" s="940"/>
      <c r="I84" s="940"/>
      <c r="J84" s="940"/>
      <c r="K84" s="990"/>
      <c r="L84" s="991"/>
      <c r="M84" s="992"/>
      <c r="N84" s="986"/>
      <c r="O84" s="986"/>
      <c r="P84" s="126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65"/>
      <c r="Q85" s="909"/>
    </row>
    <row r="86" spans="1:17" s="703" customFormat="1" ht="15">
      <c r="A86" s="959"/>
      <c r="B86" s="939" t="s">
        <v>1375</v>
      </c>
      <c r="C86" s="947"/>
      <c r="D86" s="947"/>
      <c r="E86" s="947"/>
      <c r="F86" s="947"/>
      <c r="G86" s="947"/>
      <c r="H86" s="947"/>
      <c r="I86" s="947"/>
      <c r="J86" s="947"/>
      <c r="K86" s="947"/>
      <c r="L86" s="1150"/>
      <c r="M86" s="1151"/>
      <c r="N86" s="980"/>
      <c r="O86" s="980"/>
      <c r="P86" s="1265"/>
      <c r="Q86" s="909"/>
    </row>
    <row r="87" spans="1:17" s="703" customFormat="1" ht="15">
      <c r="A87" s="959"/>
      <c r="B87" s="941"/>
      <c r="C87" s="960">
        <v>100</v>
      </c>
      <c r="D87" s="942">
        <f>$C$87-($C$86-D86)*$K$25</f>
        <v>100</v>
      </c>
      <c r="E87" s="942">
        <f t="shared" ref="E87:M87" si="20">$C$87-($C$86-E86)*$K$25</f>
        <v>100</v>
      </c>
      <c r="F87" s="942">
        <f t="shared" si="20"/>
        <v>100</v>
      </c>
      <c r="G87" s="942">
        <f t="shared" si="20"/>
        <v>100</v>
      </c>
      <c r="H87" s="942">
        <f t="shared" si="20"/>
        <v>100</v>
      </c>
      <c r="I87" s="942">
        <f t="shared" si="20"/>
        <v>100</v>
      </c>
      <c r="J87" s="942">
        <f t="shared" si="20"/>
        <v>100</v>
      </c>
      <c r="K87" s="942">
        <f t="shared" si="20"/>
        <v>100</v>
      </c>
      <c r="L87" s="942">
        <f t="shared" si="20"/>
        <v>100</v>
      </c>
      <c r="M87" s="942">
        <f t="shared" si="20"/>
        <v>100</v>
      </c>
      <c r="N87" s="989"/>
      <c r="O87" s="989"/>
      <c r="P87" s="1265"/>
      <c r="Q87" s="909"/>
    </row>
    <row r="88" spans="1:17" s="703" customFormat="1" ht="15">
      <c r="A88" s="959"/>
      <c r="B88" s="939" t="s">
        <v>1275</v>
      </c>
      <c r="C88" s="947"/>
      <c r="D88" s="947"/>
      <c r="E88" s="947"/>
      <c r="F88" s="1267"/>
      <c r="G88" s="947"/>
      <c r="H88" s="947"/>
      <c r="I88" s="947"/>
      <c r="J88" s="947"/>
      <c r="K88" s="947"/>
      <c r="L88" s="947"/>
      <c r="M88" s="1151"/>
      <c r="N88" s="980"/>
      <c r="O88" s="980"/>
      <c r="P88" s="1265"/>
      <c r="Q88" s="909"/>
    </row>
    <row r="89" spans="1:17" s="703" customFormat="1" ht="15">
      <c r="A89" s="959"/>
      <c r="B89" s="941"/>
      <c r="C89" s="960">
        <v>100</v>
      </c>
      <c r="D89" s="942">
        <f t="shared" ref="D89:M89" si="21">C89-$K26</f>
        <v>100</v>
      </c>
      <c r="E89" s="942">
        <f t="shared" si="21"/>
        <v>100</v>
      </c>
      <c r="F89" s="942">
        <f t="shared" si="21"/>
        <v>100</v>
      </c>
      <c r="G89" s="942">
        <f t="shared" si="21"/>
        <v>100</v>
      </c>
      <c r="H89" s="942">
        <f t="shared" si="21"/>
        <v>100</v>
      </c>
      <c r="I89" s="942">
        <f t="shared" si="21"/>
        <v>100</v>
      </c>
      <c r="J89" s="942">
        <f t="shared" si="21"/>
        <v>100</v>
      </c>
      <c r="K89" s="942">
        <f t="shared" si="21"/>
        <v>100</v>
      </c>
      <c r="L89" s="942">
        <f t="shared" si="21"/>
        <v>100</v>
      </c>
      <c r="M89" s="942">
        <f t="shared" si="21"/>
        <v>100</v>
      </c>
      <c r="N89" s="989"/>
      <c r="O89" s="989"/>
      <c r="P89" s="1265"/>
      <c r="Q89" s="909"/>
    </row>
    <row r="90" spans="1:17" s="705" customFormat="1" ht="15">
      <c r="A90" s="946"/>
      <c r="B90" s="939" t="str">
        <f>B27</f>
        <v>道路级别</v>
      </c>
      <c r="C90" s="947"/>
      <c r="D90" s="947"/>
      <c r="E90" s="947"/>
      <c r="F90" s="947"/>
      <c r="G90" s="947"/>
      <c r="H90" s="948"/>
      <c r="I90" s="948"/>
      <c r="J90" s="948"/>
      <c r="K90" s="948"/>
      <c r="L90" s="997"/>
      <c r="M90" s="998"/>
      <c r="N90" s="999"/>
      <c r="O90" s="999"/>
      <c r="P90" s="1269"/>
      <c r="Q90" s="1030"/>
    </row>
    <row r="91" spans="1:17" s="705" customFormat="1" ht="15">
      <c r="A91" s="946"/>
      <c r="B91" s="941"/>
      <c r="C91" s="949"/>
      <c r="D91" s="949"/>
      <c r="E91" s="949"/>
      <c r="F91" s="949"/>
      <c r="G91" s="949"/>
      <c r="H91" s="950"/>
      <c r="I91" s="950"/>
      <c r="J91" s="950"/>
      <c r="K91" s="950"/>
      <c r="L91" s="950"/>
      <c r="M91" s="1002"/>
      <c r="N91" s="999"/>
      <c r="O91" s="999"/>
      <c r="P91" s="1269"/>
      <c r="Q91" s="1030"/>
    </row>
    <row r="92" spans="1:17" ht="15">
      <c r="A92" s="936"/>
      <c r="B92" s="939">
        <f>B28</f>
        <v>111</v>
      </c>
      <c r="C92" s="947"/>
      <c r="D92" s="947"/>
      <c r="E92" s="947"/>
      <c r="F92" s="947"/>
      <c r="G92" s="963"/>
      <c r="H92" s="963"/>
      <c r="I92" s="963"/>
      <c r="J92" s="963"/>
      <c r="K92" s="1017"/>
      <c r="L92" s="1018"/>
      <c r="M92" s="1019"/>
      <c r="N92" s="986"/>
      <c r="O92" s="986"/>
      <c r="P92" s="1265"/>
      <c r="Q92" s="909"/>
    </row>
    <row r="93" spans="1:17" ht="15">
      <c r="A93" s="936"/>
      <c r="B93" s="941"/>
      <c r="C93" s="949"/>
      <c r="D93" s="938"/>
      <c r="E93" s="938"/>
      <c r="F93" s="938"/>
      <c r="G93" s="938"/>
      <c r="H93" s="938"/>
      <c r="I93" s="938"/>
      <c r="J93" s="938"/>
      <c r="K93" s="938"/>
      <c r="L93" s="938"/>
      <c r="M93" s="988"/>
      <c r="N93" s="989"/>
      <c r="O93" s="989"/>
      <c r="P93" s="1265"/>
      <c r="Q93" s="909"/>
    </row>
    <row r="94" spans="1:17" ht="15">
      <c r="A94" s="936"/>
      <c r="B94" s="939">
        <f>B29</f>
        <v>111</v>
      </c>
      <c r="C94" s="947"/>
      <c r="D94" s="947"/>
      <c r="E94" s="947"/>
      <c r="F94" s="947"/>
      <c r="G94" s="963"/>
      <c r="H94" s="963"/>
      <c r="I94" s="963"/>
      <c r="J94" s="963"/>
      <c r="K94" s="1017"/>
      <c r="L94" s="1018"/>
      <c r="M94" s="1019"/>
      <c r="N94" s="986"/>
      <c r="O94" s="986"/>
      <c r="P94" s="1265"/>
      <c r="Q94" s="909"/>
    </row>
    <row r="95" spans="1:17" ht="15">
      <c r="A95" s="936"/>
      <c r="B95" s="941"/>
      <c r="C95" s="949"/>
      <c r="D95" s="949"/>
      <c r="E95" s="949"/>
      <c r="F95" s="949"/>
      <c r="G95" s="938"/>
      <c r="H95" s="938"/>
      <c r="I95" s="938"/>
      <c r="J95" s="938"/>
      <c r="K95" s="938"/>
      <c r="L95" s="938"/>
      <c r="M95" s="988"/>
      <c r="N95" s="989"/>
      <c r="O95" s="989"/>
      <c r="P95" s="1265"/>
      <c r="Q95" s="909"/>
    </row>
    <row r="96" spans="1:17" ht="15">
      <c r="A96" s="936"/>
      <c r="B96" s="939">
        <f>B30</f>
        <v>111</v>
      </c>
      <c r="C96" s="947"/>
      <c r="D96" s="947"/>
      <c r="E96" s="947"/>
      <c r="F96" s="947"/>
      <c r="G96" s="963"/>
      <c r="H96" s="963"/>
      <c r="I96" s="963"/>
      <c r="J96" s="963"/>
      <c r="K96" s="1017"/>
      <c r="L96" s="1018"/>
      <c r="M96" s="1019"/>
      <c r="N96" s="986"/>
      <c r="O96" s="986"/>
      <c r="P96" s="1265"/>
      <c r="Q96" s="909"/>
    </row>
    <row r="97" spans="1:17" ht="15">
      <c r="A97" s="936"/>
      <c r="B97" s="941"/>
      <c r="C97" s="954"/>
      <c r="D97" s="954"/>
      <c r="E97" s="954"/>
      <c r="F97" s="954"/>
      <c r="G97" s="938"/>
      <c r="H97" s="938"/>
      <c r="I97" s="938"/>
      <c r="J97" s="938"/>
      <c r="K97" s="938"/>
      <c r="L97" s="938"/>
      <c r="M97" s="988"/>
      <c r="N97" s="989"/>
      <c r="O97" s="989"/>
      <c r="P97" s="1265"/>
      <c r="Q97" s="909"/>
    </row>
    <row r="98" spans="1:17" ht="15">
      <c r="A98" s="936"/>
      <c r="B98" s="943">
        <f>B31</f>
        <v>111</v>
      </c>
      <c r="C98" s="964"/>
      <c r="D98" s="964"/>
      <c r="E98" s="964"/>
      <c r="F98" s="964"/>
      <c r="G98" s="964"/>
      <c r="H98" s="964"/>
      <c r="I98" s="964"/>
      <c r="J98" s="964"/>
      <c r="K98" s="1020"/>
      <c r="L98" s="1021"/>
      <c r="M98" s="1022"/>
      <c r="N98" s="986"/>
      <c r="O98" s="986"/>
      <c r="P98" s="1265"/>
      <c r="Q98" s="909"/>
    </row>
    <row r="99" spans="1:17" ht="15">
      <c r="A99" s="1242"/>
      <c r="B99" s="953"/>
      <c r="C99" s="965"/>
      <c r="D99" s="965"/>
      <c r="E99" s="965"/>
      <c r="F99" s="965"/>
      <c r="G99" s="965"/>
      <c r="H99" s="965"/>
      <c r="I99" s="965"/>
      <c r="J99" s="965"/>
      <c r="K99" s="965"/>
      <c r="L99" s="965"/>
      <c r="M99" s="1023"/>
      <c r="N99" s="989"/>
      <c r="O99" s="989"/>
      <c r="P99" s="1265"/>
      <c r="Q99" s="909"/>
    </row>
    <row r="100" spans="1:17">
      <c r="A100" s="934" t="s">
        <v>1276</v>
      </c>
      <c r="B100" s="935" t="s">
        <v>1277</v>
      </c>
      <c r="C100" s="882"/>
      <c r="D100" s="882"/>
      <c r="E100" s="882"/>
      <c r="F100" s="882"/>
      <c r="G100" s="882"/>
      <c r="H100" s="882"/>
      <c r="I100" s="882"/>
      <c r="J100" s="882"/>
      <c r="K100" s="983"/>
      <c r="L100" s="984"/>
      <c r="M100" s="985"/>
      <c r="N100" s="986"/>
      <c r="O100" s="986"/>
      <c r="P100" s="1265"/>
      <c r="Q100" s="909"/>
    </row>
    <row r="101" spans="1:17" ht="15">
      <c r="A101" s="936"/>
      <c r="B101" s="941"/>
      <c r="C101" s="942">
        <v>100</v>
      </c>
      <c r="D101" s="942">
        <f t="shared" ref="D101:M101" si="22">C101-$K32</f>
        <v>100</v>
      </c>
      <c r="E101" s="942">
        <f t="shared" si="22"/>
        <v>100</v>
      </c>
      <c r="F101" s="942">
        <f t="shared" si="22"/>
        <v>100</v>
      </c>
      <c r="G101" s="942">
        <f t="shared" si="22"/>
        <v>100</v>
      </c>
      <c r="H101" s="942">
        <f t="shared" si="22"/>
        <v>100</v>
      </c>
      <c r="I101" s="942">
        <f t="shared" si="22"/>
        <v>100</v>
      </c>
      <c r="J101" s="942">
        <f t="shared" si="22"/>
        <v>100</v>
      </c>
      <c r="K101" s="942">
        <f t="shared" si="22"/>
        <v>100</v>
      </c>
      <c r="L101" s="942">
        <f t="shared" si="22"/>
        <v>100</v>
      </c>
      <c r="M101" s="942">
        <f t="shared" si="22"/>
        <v>100</v>
      </c>
      <c r="N101" s="989"/>
      <c r="O101" s="989"/>
      <c r="P101" s="1265"/>
      <c r="Q101" s="909"/>
    </row>
    <row r="102" spans="1:17" ht="15">
      <c r="A102" s="936"/>
      <c r="B102" s="939" t="s">
        <v>1280</v>
      </c>
      <c r="C102" s="958" t="str">
        <f>C103&amp;"(含)"&amp;"-"&amp;D103</f>
        <v>(含)-</v>
      </c>
      <c r="D102" s="958" t="str">
        <f t="shared" ref="D102:L102" si="23">D103&amp;"(含)"&amp;"-"&amp;E103</f>
        <v>(含)-</v>
      </c>
      <c r="E102" s="958" t="str">
        <f t="shared" si="23"/>
        <v>(含)-</v>
      </c>
      <c r="F102" s="958" t="str">
        <f t="shared" si="23"/>
        <v>(含)-</v>
      </c>
      <c r="G102" s="958" t="str">
        <f t="shared" si="23"/>
        <v>(含)-</v>
      </c>
      <c r="H102" s="958" t="str">
        <f t="shared" si="23"/>
        <v>(含)-</v>
      </c>
      <c r="I102" s="958" t="str">
        <f t="shared" si="23"/>
        <v>(含)-</v>
      </c>
      <c r="J102" s="958" t="str">
        <f t="shared" si="23"/>
        <v>(含)-</v>
      </c>
      <c r="K102" s="958" t="str">
        <f t="shared" si="23"/>
        <v>(含)-</v>
      </c>
      <c r="L102" s="958" t="str">
        <f t="shared" si="23"/>
        <v>(含)-</v>
      </c>
      <c r="M102" s="958" t="str">
        <f>M103&amp;"(含)"&amp;"-"&amp;P103</f>
        <v>(含)-</v>
      </c>
      <c r="N102" s="980"/>
      <c r="O102" s="980"/>
      <c r="P102" s="1265"/>
      <c r="Q102" s="909"/>
    </row>
    <row r="103" spans="1:17" s="705" customFormat="1">
      <c r="A103" s="966"/>
      <c r="B103" s="967"/>
      <c r="C103" s="923"/>
      <c r="D103" s="923"/>
      <c r="E103" s="923"/>
      <c r="F103" s="923"/>
      <c r="G103" s="923"/>
      <c r="H103" s="923"/>
      <c r="I103" s="923"/>
      <c r="J103" s="1024"/>
      <c r="K103" s="1024"/>
      <c r="L103" s="1025"/>
      <c r="M103" s="1026"/>
      <c r="N103" s="999"/>
      <c r="O103" s="999"/>
      <c r="P103" s="1269"/>
      <c r="Q103" s="1030"/>
    </row>
    <row r="104" spans="1:17" s="705" customFormat="1" ht="15">
      <c r="A104" s="946"/>
      <c r="B104" s="941"/>
      <c r="C104" s="949"/>
      <c r="D104" s="938"/>
      <c r="E104" s="938"/>
      <c r="F104" s="938"/>
      <c r="G104" s="938"/>
      <c r="H104" s="938"/>
      <c r="I104" s="938"/>
      <c r="J104" s="938"/>
      <c r="K104" s="938"/>
      <c r="L104" s="938"/>
      <c r="M104" s="938"/>
      <c r="N104" s="989"/>
      <c r="O104" s="989"/>
      <c r="P104" s="1269"/>
      <c r="Q104" s="1030"/>
    </row>
    <row r="105" spans="1:17">
      <c r="A105" s="970"/>
      <c r="B105" s="939" t="s">
        <v>1281</v>
      </c>
      <c r="C105" s="947"/>
      <c r="D105" s="947"/>
      <c r="E105" s="963"/>
      <c r="F105" s="963"/>
      <c r="G105" s="963"/>
      <c r="H105" s="963"/>
      <c r="I105" s="963"/>
      <c r="J105" s="963"/>
      <c r="K105" s="1017"/>
      <c r="L105" s="1018"/>
      <c r="M105" s="1019"/>
      <c r="N105" s="986"/>
      <c r="O105" s="986"/>
      <c r="P105" s="1265"/>
      <c r="Q105" s="909"/>
    </row>
    <row r="106" spans="1:17" ht="15">
      <c r="A106" s="936"/>
      <c r="B106" s="941"/>
      <c r="C106" s="942">
        <v>100</v>
      </c>
      <c r="D106" s="942">
        <f t="shared" ref="D106:M106" si="24">C106-$K34</f>
        <v>100</v>
      </c>
      <c r="E106" s="942">
        <f t="shared" si="24"/>
        <v>100</v>
      </c>
      <c r="F106" s="942">
        <f t="shared" si="24"/>
        <v>100</v>
      </c>
      <c r="G106" s="942">
        <f t="shared" si="24"/>
        <v>100</v>
      </c>
      <c r="H106" s="942">
        <f t="shared" si="24"/>
        <v>100</v>
      </c>
      <c r="I106" s="942">
        <f t="shared" si="24"/>
        <v>100</v>
      </c>
      <c r="J106" s="942">
        <f t="shared" si="24"/>
        <v>100</v>
      </c>
      <c r="K106" s="942">
        <f t="shared" si="24"/>
        <v>100</v>
      </c>
      <c r="L106" s="942">
        <f t="shared" si="24"/>
        <v>100</v>
      </c>
      <c r="M106" s="942">
        <f t="shared" si="24"/>
        <v>100</v>
      </c>
      <c r="N106" s="989"/>
      <c r="O106" s="989"/>
      <c r="P106" s="1265"/>
      <c r="Q106" s="909"/>
    </row>
    <row r="107" spans="1:17">
      <c r="A107" s="970"/>
      <c r="B107" s="939" t="s">
        <v>1377</v>
      </c>
      <c r="C107" s="963"/>
      <c r="D107" s="963"/>
      <c r="E107" s="963"/>
      <c r="F107" s="963"/>
      <c r="G107" s="963"/>
      <c r="H107" s="963"/>
      <c r="I107" s="963"/>
      <c r="J107" s="963"/>
      <c r="K107" s="1017"/>
      <c r="L107" s="1018"/>
      <c r="M107" s="1019"/>
      <c r="N107" s="986"/>
      <c r="O107" s="986"/>
      <c r="P107" s="1265"/>
      <c r="Q107" s="909"/>
    </row>
    <row r="108" spans="1:17" ht="15">
      <c r="A108" s="936"/>
      <c r="B108" s="941"/>
      <c r="C108" s="942">
        <v>100</v>
      </c>
      <c r="D108" s="942">
        <f t="shared" ref="D108:M108" si="25">C108-$K35</f>
        <v>100</v>
      </c>
      <c r="E108" s="942">
        <f t="shared" si="25"/>
        <v>100</v>
      </c>
      <c r="F108" s="942">
        <f t="shared" si="25"/>
        <v>100</v>
      </c>
      <c r="G108" s="942">
        <f t="shared" si="25"/>
        <v>100</v>
      </c>
      <c r="H108" s="942">
        <f t="shared" si="25"/>
        <v>100</v>
      </c>
      <c r="I108" s="942">
        <f t="shared" si="25"/>
        <v>100</v>
      </c>
      <c r="J108" s="942">
        <f t="shared" si="25"/>
        <v>100</v>
      </c>
      <c r="K108" s="942">
        <f t="shared" si="25"/>
        <v>100</v>
      </c>
      <c r="L108" s="942">
        <f t="shared" si="25"/>
        <v>100</v>
      </c>
      <c r="M108" s="942">
        <f t="shared" si="25"/>
        <v>100</v>
      </c>
      <c r="N108" s="989"/>
      <c r="O108" s="989"/>
      <c r="P108" s="1265"/>
      <c r="Q108" s="909"/>
    </row>
    <row r="109" spans="1:17">
      <c r="A109" s="970"/>
      <c r="B109" s="939" t="s">
        <v>1282</v>
      </c>
      <c r="C109" s="947"/>
      <c r="D109" s="947"/>
      <c r="E109" s="947"/>
      <c r="F109" s="963"/>
      <c r="G109" s="963"/>
      <c r="H109" s="963"/>
      <c r="I109" s="963"/>
      <c r="J109" s="963"/>
      <c r="K109" s="1017"/>
      <c r="L109" s="1018"/>
      <c r="M109" s="1019"/>
      <c r="N109" s="986"/>
      <c r="O109" s="986"/>
      <c r="P109" s="1265"/>
      <c r="Q109" s="909"/>
    </row>
    <row r="110" spans="1:17" ht="15">
      <c r="A110" s="936"/>
      <c r="B110" s="941"/>
      <c r="C110" s="942">
        <v>100</v>
      </c>
      <c r="D110" s="942">
        <f t="shared" ref="D110:M110" si="26">C110-$K36</f>
        <v>100</v>
      </c>
      <c r="E110" s="942">
        <f t="shared" si="26"/>
        <v>100</v>
      </c>
      <c r="F110" s="942">
        <f t="shared" si="26"/>
        <v>100</v>
      </c>
      <c r="G110" s="942">
        <f t="shared" si="26"/>
        <v>100</v>
      </c>
      <c r="H110" s="942">
        <f t="shared" si="26"/>
        <v>100</v>
      </c>
      <c r="I110" s="942">
        <f t="shared" si="26"/>
        <v>100</v>
      </c>
      <c r="J110" s="942">
        <f t="shared" si="26"/>
        <v>100</v>
      </c>
      <c r="K110" s="942">
        <f t="shared" si="26"/>
        <v>100</v>
      </c>
      <c r="L110" s="942">
        <f t="shared" si="26"/>
        <v>100</v>
      </c>
      <c r="M110" s="942">
        <f t="shared" si="26"/>
        <v>100</v>
      </c>
      <c r="N110" s="989"/>
      <c r="O110" s="989"/>
      <c r="P110" s="1265"/>
      <c r="Q110" s="909"/>
    </row>
    <row r="111" spans="1:17" s="705" customFormat="1">
      <c r="A111" s="966"/>
      <c r="B111" s="939" t="s">
        <v>1284</v>
      </c>
      <c r="C111" s="958" t="str">
        <f>C112&amp;"(含)"&amp;"-"&amp;D112</f>
        <v>0.5(含)-0.6</v>
      </c>
      <c r="D111" s="958" t="str">
        <f>D112&amp;"(含)"&amp;"-"&amp;E112</f>
        <v>0.6(含)-0.7</v>
      </c>
      <c r="E111" s="958" t="str">
        <f>E112&amp;"(含)"&amp;"-"&amp;F112</f>
        <v>0.7(含)-0.8</v>
      </c>
      <c r="F111" s="958" t="str">
        <f>F112&amp;"(含)"&amp;"-"&amp;G112</f>
        <v>0.8(含)-0.9</v>
      </c>
      <c r="G111" s="958" t="str">
        <f>G112&amp;"(含)"&amp;"-"&amp;ROUND(H112,0)</f>
        <v>0.9(含)-1</v>
      </c>
      <c r="H111" s="958" t="str">
        <f>ROUND(H112,0)&amp;"(含)"&amp;"-"&amp;I112</f>
        <v>1(含)-</v>
      </c>
      <c r="I111" s="958"/>
      <c r="J111" s="961"/>
      <c r="K111" s="961"/>
      <c r="L111" s="1013"/>
      <c r="M111" s="1014"/>
      <c r="N111" s="999"/>
      <c r="O111" s="999"/>
      <c r="P111" s="1269"/>
      <c r="Q111" s="1030"/>
    </row>
    <row r="112" spans="1:17" s="705" customFormat="1">
      <c r="A112" s="966"/>
      <c r="B112" s="943"/>
      <c r="C112" s="365">
        <v>0.5</v>
      </c>
      <c r="D112" s="365">
        <v>0.6</v>
      </c>
      <c r="E112" s="365">
        <v>0.7</v>
      </c>
      <c r="F112" s="365">
        <v>0.8</v>
      </c>
      <c r="G112" s="365">
        <v>0.9</v>
      </c>
      <c r="H112" s="365">
        <v>1.0001</v>
      </c>
      <c r="I112" s="365"/>
      <c r="J112" s="1302"/>
      <c r="K112" s="1302"/>
      <c r="L112" s="1303"/>
      <c r="M112" s="1304"/>
      <c r="N112" s="999"/>
      <c r="O112" s="999"/>
      <c r="P112" s="1269"/>
      <c r="Q112" s="1030"/>
    </row>
    <row r="113" spans="1:17" s="705" customFormat="1" ht="15">
      <c r="A113" s="946"/>
      <c r="B113" s="941"/>
      <c r="C113" s="960">
        <v>100</v>
      </c>
      <c r="D113" s="942">
        <f>C113+$K37</f>
        <v>100</v>
      </c>
      <c r="E113" s="942">
        <f>D113+$K37</f>
        <v>100</v>
      </c>
      <c r="F113" s="942">
        <f>E113+$K37</f>
        <v>100</v>
      </c>
      <c r="G113" s="942">
        <f>F113+$K37</f>
        <v>100</v>
      </c>
      <c r="H113" s="942">
        <f>G113+$K37</f>
        <v>100</v>
      </c>
      <c r="I113" s="960"/>
      <c r="J113" s="962"/>
      <c r="K113" s="962"/>
      <c r="L113" s="962"/>
      <c r="M113" s="1015"/>
      <c r="N113" s="999"/>
      <c r="O113" s="999"/>
      <c r="P113" s="1269"/>
      <c r="Q113" s="1030"/>
    </row>
    <row r="114" spans="1:17">
      <c r="A114" s="970"/>
      <c r="B114" s="939" t="s">
        <v>1287</v>
      </c>
      <c r="C114" s="947"/>
      <c r="D114" s="947"/>
      <c r="E114" s="963"/>
      <c r="F114" s="963"/>
      <c r="G114" s="963"/>
      <c r="H114" s="963"/>
      <c r="I114" s="963"/>
      <c r="J114" s="963"/>
      <c r="K114" s="1017"/>
      <c r="L114" s="1018"/>
      <c r="M114" s="1019"/>
      <c r="N114" s="986"/>
      <c r="O114" s="986"/>
      <c r="P114" s="126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42">
        <f t="shared" si="27"/>
        <v>100</v>
      </c>
      <c r="N115" s="989"/>
      <c r="O115" s="989"/>
      <c r="P115" s="1265"/>
      <c r="Q115" s="909"/>
    </row>
    <row r="116" spans="1:17">
      <c r="A116" s="970"/>
      <c r="B116" s="939" t="s">
        <v>1289</v>
      </c>
      <c r="C116" s="947"/>
      <c r="D116" s="947"/>
      <c r="E116" s="947"/>
      <c r="F116" s="947"/>
      <c r="G116" s="947"/>
      <c r="H116" s="963"/>
      <c r="I116" s="963"/>
      <c r="J116" s="963"/>
      <c r="K116" s="1017"/>
      <c r="L116" s="1018"/>
      <c r="M116" s="1019"/>
      <c r="N116" s="986"/>
      <c r="O116" s="986"/>
      <c r="P116" s="126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65"/>
      <c r="Q117" s="909"/>
    </row>
    <row r="118" spans="1:17">
      <c r="A118" s="970"/>
      <c r="B118" s="939" t="s">
        <v>1378</v>
      </c>
      <c r="C118" s="963"/>
      <c r="D118" s="963"/>
      <c r="E118" s="963"/>
      <c r="F118" s="963"/>
      <c r="G118" s="963"/>
      <c r="H118" s="963"/>
      <c r="I118" s="963"/>
      <c r="J118" s="963"/>
      <c r="K118" s="1017"/>
      <c r="L118" s="1018"/>
      <c r="M118" s="1019"/>
      <c r="N118" s="986"/>
      <c r="O118" s="986"/>
      <c r="P118" s="1265"/>
      <c r="Q118" s="909"/>
    </row>
    <row r="119" spans="1:17" ht="15">
      <c r="A119" s="936"/>
      <c r="B119" s="941"/>
      <c r="C119" s="942">
        <v>100</v>
      </c>
      <c r="D119" s="942">
        <f t="shared" ref="D119:M119" si="28">C119-$K40</f>
        <v>100</v>
      </c>
      <c r="E119" s="942">
        <f t="shared" si="28"/>
        <v>100</v>
      </c>
      <c r="F119" s="942">
        <f t="shared" si="28"/>
        <v>100</v>
      </c>
      <c r="G119" s="942">
        <f t="shared" si="28"/>
        <v>100</v>
      </c>
      <c r="H119" s="942">
        <f t="shared" si="28"/>
        <v>100</v>
      </c>
      <c r="I119" s="942">
        <f t="shared" si="28"/>
        <v>100</v>
      </c>
      <c r="J119" s="942">
        <f t="shared" si="28"/>
        <v>100</v>
      </c>
      <c r="K119" s="942">
        <f t="shared" si="28"/>
        <v>100</v>
      </c>
      <c r="L119" s="942">
        <f t="shared" si="28"/>
        <v>100</v>
      </c>
      <c r="M119" s="942">
        <f t="shared" si="28"/>
        <v>100</v>
      </c>
      <c r="N119" s="989"/>
      <c r="O119" s="989"/>
      <c r="P119" s="1265"/>
      <c r="Q119" s="909"/>
    </row>
    <row r="120" spans="1:17" s="705" customFormat="1" ht="27.75">
      <c r="A120" s="966"/>
      <c r="B120" s="939" t="s">
        <v>1379</v>
      </c>
      <c r="C120" s="947"/>
      <c r="D120" s="947"/>
      <c r="E120" s="947"/>
      <c r="F120" s="947"/>
      <c r="G120" s="947"/>
      <c r="H120" s="947"/>
      <c r="I120" s="947"/>
      <c r="J120" s="947"/>
      <c r="K120" s="947"/>
      <c r="L120" s="1150"/>
      <c r="M120" s="1151"/>
      <c r="N120" s="999"/>
      <c r="O120" s="999"/>
      <c r="P120" s="1269"/>
      <c r="Q120" s="1030"/>
    </row>
    <row r="121" spans="1:17" s="705" customFormat="1" ht="15">
      <c r="A121" s="946"/>
      <c r="B121" s="937"/>
      <c r="C121" s="949"/>
      <c r="D121" s="938"/>
      <c r="E121" s="938"/>
      <c r="F121" s="938"/>
      <c r="G121" s="938"/>
      <c r="H121" s="938"/>
      <c r="I121" s="938"/>
      <c r="J121" s="938"/>
      <c r="K121" s="938"/>
      <c r="L121" s="938"/>
      <c r="M121" s="938"/>
      <c r="N121" s="999"/>
      <c r="O121" s="999"/>
      <c r="P121" s="1269"/>
      <c r="Q121" s="1030"/>
    </row>
    <row r="122" spans="1:17">
      <c r="A122" s="970"/>
      <c r="B122" s="939" t="s">
        <v>1293</v>
      </c>
      <c r="C122" s="947"/>
      <c r="D122" s="947"/>
      <c r="E122" s="947"/>
      <c r="F122" s="963"/>
      <c r="G122" s="963"/>
      <c r="H122" s="963"/>
      <c r="I122" s="963"/>
      <c r="J122" s="963"/>
      <c r="K122" s="1017"/>
      <c r="L122" s="1018"/>
      <c r="M122" s="1019"/>
      <c r="N122" s="986"/>
      <c r="O122" s="986"/>
      <c r="P122" s="1265"/>
      <c r="Q122" s="909"/>
    </row>
    <row r="123" spans="1:17" ht="15">
      <c r="A123" s="936"/>
      <c r="B123" s="941"/>
      <c r="C123" s="942">
        <v>100</v>
      </c>
      <c r="D123" s="942">
        <f t="shared" ref="D123:M123" si="29">C123-$K42</f>
        <v>100</v>
      </c>
      <c r="E123" s="942">
        <f t="shared" si="29"/>
        <v>100</v>
      </c>
      <c r="F123" s="942">
        <f t="shared" si="29"/>
        <v>100</v>
      </c>
      <c r="G123" s="942">
        <f t="shared" si="29"/>
        <v>100</v>
      </c>
      <c r="H123" s="942">
        <f t="shared" si="29"/>
        <v>100</v>
      </c>
      <c r="I123" s="942">
        <f t="shared" si="29"/>
        <v>100</v>
      </c>
      <c r="J123" s="942">
        <f t="shared" si="29"/>
        <v>100</v>
      </c>
      <c r="K123" s="942">
        <f t="shared" si="29"/>
        <v>100</v>
      </c>
      <c r="L123" s="942">
        <f t="shared" si="29"/>
        <v>100</v>
      </c>
      <c r="M123" s="942">
        <f t="shared" si="29"/>
        <v>100</v>
      </c>
      <c r="N123" s="989"/>
      <c r="O123" s="989"/>
      <c r="P123" s="1265"/>
      <c r="Q123" s="909"/>
    </row>
    <row r="124" spans="1:17">
      <c r="A124" s="970"/>
      <c r="B124" s="939" t="s">
        <v>217</v>
      </c>
      <c r="C124" s="958" t="s">
        <v>228</v>
      </c>
      <c r="D124" s="958" t="s">
        <v>240</v>
      </c>
      <c r="E124" s="958" t="s">
        <v>251</v>
      </c>
      <c r="F124" s="958" t="s">
        <v>261</v>
      </c>
      <c r="G124" s="958" t="s">
        <v>268</v>
      </c>
      <c r="H124" s="940"/>
      <c r="I124" s="940"/>
      <c r="J124" s="940"/>
      <c r="K124" s="990"/>
      <c r="L124" s="991"/>
      <c r="M124" s="992"/>
      <c r="N124" s="986"/>
      <c r="O124" s="986"/>
      <c r="P124" s="1269"/>
      <c r="Q124" s="909"/>
    </row>
    <row r="125" spans="1:17" ht="15">
      <c r="A125" s="936"/>
      <c r="B125" s="941"/>
      <c r="C125" s="942">
        <v>100</v>
      </c>
      <c r="D125" s="942">
        <f>C125-$K43</f>
        <v>100</v>
      </c>
      <c r="E125" s="942">
        <f>D125-$K43</f>
        <v>100</v>
      </c>
      <c r="F125" s="942">
        <f>E125-$K43</f>
        <v>100</v>
      </c>
      <c r="G125" s="942">
        <f>F125-$K43</f>
        <v>100</v>
      </c>
      <c r="H125" s="942"/>
      <c r="I125" s="942"/>
      <c r="J125" s="942"/>
      <c r="K125" s="942"/>
      <c r="L125" s="942"/>
      <c r="M125" s="993"/>
      <c r="N125" s="989"/>
      <c r="O125" s="989"/>
      <c r="P125" s="1265"/>
      <c r="Q125" s="909"/>
    </row>
    <row r="126" spans="1:17" s="705" customFormat="1">
      <c r="A126" s="966"/>
      <c r="B126" s="939">
        <f>B44</f>
        <v>111</v>
      </c>
      <c r="C126" s="947"/>
      <c r="D126" s="947"/>
      <c r="E126" s="947"/>
      <c r="F126" s="947"/>
      <c r="G126" s="947"/>
      <c r="H126" s="948"/>
      <c r="I126" s="948"/>
      <c r="J126" s="948"/>
      <c r="K126" s="948"/>
      <c r="L126" s="997"/>
      <c r="M126" s="998"/>
      <c r="N126" s="999"/>
      <c r="O126" s="999"/>
      <c r="P126" s="1269"/>
      <c r="Q126" s="1030"/>
    </row>
    <row r="127" spans="1:17" s="705" customFormat="1" ht="15">
      <c r="A127" s="946"/>
      <c r="B127" s="941"/>
      <c r="C127" s="949"/>
      <c r="D127" s="938"/>
      <c r="E127" s="938"/>
      <c r="F127" s="938"/>
      <c r="G127" s="949"/>
      <c r="H127" s="950"/>
      <c r="I127" s="950"/>
      <c r="J127" s="950"/>
      <c r="K127" s="950"/>
      <c r="L127" s="950"/>
      <c r="M127" s="1002"/>
      <c r="N127" s="999"/>
      <c r="O127" s="999"/>
      <c r="P127" s="1269"/>
      <c r="Q127" s="1030"/>
    </row>
    <row r="128" spans="1:17">
      <c r="A128" s="970"/>
      <c r="B128" s="939">
        <f>B45</f>
        <v>111</v>
      </c>
      <c r="C128" s="947"/>
      <c r="D128" s="947"/>
      <c r="E128" s="947"/>
      <c r="F128" s="947"/>
      <c r="G128" s="963"/>
      <c r="H128" s="963"/>
      <c r="I128" s="963"/>
      <c r="J128" s="963"/>
      <c r="K128" s="1017"/>
      <c r="L128" s="1018"/>
      <c r="M128" s="1019"/>
      <c r="N128" s="986"/>
      <c r="O128" s="986"/>
      <c r="P128" s="1265"/>
      <c r="Q128" s="909"/>
    </row>
    <row r="129" spans="1:17" ht="15">
      <c r="A129" s="936"/>
      <c r="B129" s="941"/>
      <c r="C129" s="949"/>
      <c r="D129" s="949"/>
      <c r="E129" s="949"/>
      <c r="F129" s="949"/>
      <c r="G129" s="938"/>
      <c r="H129" s="938"/>
      <c r="I129" s="938"/>
      <c r="J129" s="938"/>
      <c r="K129" s="938"/>
      <c r="L129" s="938"/>
      <c r="M129" s="988"/>
      <c r="N129" s="989"/>
      <c r="O129" s="989"/>
      <c r="P129" s="1265"/>
      <c r="Q129" s="909"/>
    </row>
    <row r="130" spans="1:17">
      <c r="A130" s="970"/>
      <c r="B130" s="943">
        <f>B46</f>
        <v>111</v>
      </c>
      <c r="C130" s="947"/>
      <c r="D130" s="947"/>
      <c r="E130" s="947"/>
      <c r="F130" s="947"/>
      <c r="G130" s="964"/>
      <c r="H130" s="964"/>
      <c r="I130" s="964"/>
      <c r="J130" s="964"/>
      <c r="K130" s="931"/>
      <c r="L130" s="978"/>
      <c r="M130" s="1022"/>
      <c r="N130" s="986"/>
      <c r="O130" s="986"/>
      <c r="P130" s="1265"/>
      <c r="Q130" s="909"/>
    </row>
    <row r="131" spans="1:17" ht="15">
      <c r="A131" s="1242"/>
      <c r="B131" s="953"/>
      <c r="C131" s="954"/>
      <c r="D131" s="954"/>
      <c r="E131" s="954"/>
      <c r="F131" s="954"/>
      <c r="G131" s="965"/>
      <c r="H131" s="965"/>
      <c r="I131" s="965"/>
      <c r="J131" s="965"/>
      <c r="K131" s="965"/>
      <c r="L131" s="965"/>
      <c r="M131" s="1023"/>
      <c r="N131" s="989"/>
      <c r="O131" s="989"/>
      <c r="P131" s="1265"/>
      <c r="Q131" s="909"/>
    </row>
    <row r="136" spans="1:17">
      <c r="B136" s="1305" t="s">
        <v>1380</v>
      </c>
    </row>
    <row r="137" spans="1:17" ht="15">
      <c r="B137" s="1306" t="s">
        <v>1381</v>
      </c>
      <c r="C137" s="1307"/>
      <c r="D137" s="1307"/>
      <c r="E137" s="1307"/>
      <c r="F137" s="1307"/>
      <c r="G137" s="1308"/>
      <c r="H137" s="1309"/>
      <c r="I137" s="1333" t="s">
        <v>1382</v>
      </c>
      <c r="J137" s="1307"/>
      <c r="K137" s="1334"/>
    </row>
    <row r="138" spans="1:17" ht="15">
      <c r="B138" s="1310"/>
      <c r="C138" s="1059" t="s">
        <v>1383</v>
      </c>
      <c r="D138" s="1059" t="s">
        <v>1384</v>
      </c>
      <c r="E138" s="1311" t="s">
        <v>1385</v>
      </c>
      <c r="F138" s="1312" t="s">
        <v>1386</v>
      </c>
      <c r="G138" s="1059" t="s">
        <v>1384</v>
      </c>
      <c r="H138" s="1313" t="s">
        <v>1385</v>
      </c>
      <c r="I138" s="1335"/>
      <c r="J138" s="1059" t="s">
        <v>1387</v>
      </c>
      <c r="K138" s="1313" t="s">
        <v>1388</v>
      </c>
    </row>
    <row r="139" spans="1:17" ht="15">
      <c r="B139" s="1314">
        <v>6</v>
      </c>
      <c r="C139" s="1315">
        <v>96</v>
      </c>
      <c r="D139" s="1316" t="s">
        <v>1389</v>
      </c>
      <c r="E139" s="1317">
        <v>100</v>
      </c>
      <c r="F139" s="1318">
        <v>102.5</v>
      </c>
      <c r="G139" s="1316" t="s">
        <v>1389</v>
      </c>
      <c r="H139" s="1319">
        <v>105</v>
      </c>
      <c r="I139" s="1336" t="s">
        <v>1390</v>
      </c>
      <c r="J139" s="1315">
        <v>20</v>
      </c>
      <c r="K139" s="1337">
        <f>C145/(J139-2)</f>
        <v>4.0555555555555596E-3</v>
      </c>
    </row>
    <row r="140" spans="1:17" ht="15">
      <c r="B140" s="1320">
        <v>5</v>
      </c>
      <c r="C140" s="1321">
        <v>100</v>
      </c>
      <c r="D140" s="1321"/>
      <c r="E140" s="1322"/>
      <c r="F140" s="1323">
        <v>102</v>
      </c>
      <c r="G140" s="1321"/>
      <c r="H140" s="1324"/>
      <c r="I140" s="1338" t="s">
        <v>1391</v>
      </c>
      <c r="J140" s="1339">
        <f>ROUNDUP((J139-1)/2,0)</f>
        <v>10</v>
      </c>
      <c r="K140" s="1340">
        <v>100</v>
      </c>
    </row>
    <row r="141" spans="1:17" ht="15">
      <c r="B141" s="1320">
        <v>4</v>
      </c>
      <c r="C141" s="1321">
        <v>102</v>
      </c>
      <c r="D141" s="1321"/>
      <c r="E141" s="1322"/>
      <c r="F141" s="1323">
        <v>101.5</v>
      </c>
      <c r="G141" s="1321"/>
      <c r="H141" s="1324"/>
      <c r="I141" s="1338" t="s">
        <v>1392</v>
      </c>
      <c r="J141" s="1339">
        <v>1</v>
      </c>
      <c r="K141" s="1341">
        <f>ROUND(100+(J141-J140)*K139*100,1)</f>
        <v>96.4</v>
      </c>
    </row>
    <row r="142" spans="1:17" ht="15">
      <c r="B142" s="1320">
        <v>3</v>
      </c>
      <c r="C142" s="1321">
        <v>103</v>
      </c>
      <c r="D142" s="1321"/>
      <c r="E142" s="1322"/>
      <c r="F142" s="1323">
        <v>101</v>
      </c>
      <c r="G142" s="1321"/>
      <c r="H142" s="1324"/>
      <c r="I142" s="1338" t="s">
        <v>1393</v>
      </c>
      <c r="J142" s="1339">
        <f>J139</f>
        <v>20</v>
      </c>
      <c r="K142" s="1342">
        <v>95</v>
      </c>
    </row>
    <row r="143" spans="1:17" ht="15">
      <c r="B143" s="1320">
        <v>2</v>
      </c>
      <c r="C143" s="1321">
        <v>100</v>
      </c>
      <c r="D143" s="1321"/>
      <c r="E143" s="1322"/>
      <c r="F143" s="1323">
        <v>100.5</v>
      </c>
      <c r="G143" s="1321"/>
      <c r="H143" s="1324"/>
      <c r="I143" s="1338" t="s">
        <v>1394</v>
      </c>
      <c r="J143" s="1321">
        <v>15</v>
      </c>
      <c r="K143" s="1341">
        <f>ROUND(100+(J143-J140)*K139*100,1)</f>
        <v>102</v>
      </c>
    </row>
    <row r="144" spans="1:17" ht="15">
      <c r="B144" s="1320">
        <v>1</v>
      </c>
      <c r="C144" s="1321">
        <v>98</v>
      </c>
      <c r="D144" s="1325" t="s">
        <v>1395</v>
      </c>
      <c r="E144" s="1322">
        <v>102</v>
      </c>
      <c r="F144" s="1326">
        <v>100</v>
      </c>
      <c r="G144" s="1325" t="s">
        <v>1395</v>
      </c>
      <c r="H144" s="1324">
        <v>105</v>
      </c>
      <c r="I144" s="1338" t="s">
        <v>1394</v>
      </c>
      <c r="J144" s="1321">
        <v>18</v>
      </c>
      <c r="K144" s="1341">
        <f>ROUND(100+(J144-J140)*K139*100,1)</f>
        <v>103.2</v>
      </c>
    </row>
    <row r="145" spans="2:11" ht="15">
      <c r="B145" s="1327" t="s">
        <v>1396</v>
      </c>
      <c r="C145" s="1328">
        <f>ROUND(MAX(C139:C144)/MIN(C139:C144)-1,3)</f>
        <v>7.2999999999999995E-2</v>
      </c>
      <c r="D145" s="1329"/>
      <c r="E145" s="1329"/>
      <c r="F145" s="1330" t="s">
        <v>1397</v>
      </c>
      <c r="G145" s="1331"/>
      <c r="H145" s="1332"/>
      <c r="I145" s="1343" t="s">
        <v>1394</v>
      </c>
      <c r="J145" s="1344">
        <v>8</v>
      </c>
      <c r="K145" s="1345">
        <f>ROUND(100+(J145-J140)*K139*100,1)</f>
        <v>99.2</v>
      </c>
    </row>
    <row r="147" spans="2:11">
      <c r="B147" s="1305" t="s">
        <v>1398</v>
      </c>
    </row>
    <row r="148" spans="2:11">
      <c r="B148" s="1305" t="s">
        <v>1399</v>
      </c>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52">
    <cfRule type="expression" dxfId="109" priority="10" stopIfTrue="1">
      <formula>$F$52="超过30%"</formula>
    </cfRule>
  </conditionalFormatting>
  <conditionalFormatting sqref="G52">
    <cfRule type="expression" dxfId="108" priority="5" stopIfTrue="1">
      <formula>$H$52="超过30%"</formula>
    </cfRule>
  </conditionalFormatting>
  <conditionalFormatting sqref="I52">
    <cfRule type="expression" dxfId="107" priority="3" stopIfTrue="1">
      <formula>$J$52="超过30%"</formula>
    </cfRule>
  </conditionalFormatting>
  <conditionalFormatting sqref="E53">
    <cfRule type="expression" dxfId="106" priority="7" stopIfTrue="1">
      <formula>$F$53="超过20%"</formula>
    </cfRule>
  </conditionalFormatting>
  <conditionalFormatting sqref="G53">
    <cfRule type="expression" dxfId="105" priority="4" stopIfTrue="1">
      <formula>$H$53="超过20%"</formula>
    </cfRule>
  </conditionalFormatting>
  <conditionalFormatting sqref="I53">
    <cfRule type="expression" dxfId="104" priority="2" stopIfTrue="1">
      <formula>$J$53="超过20%"</formula>
    </cfRule>
  </conditionalFormatting>
  <conditionalFormatting sqref="E54">
    <cfRule type="expression" dxfId="103" priority="6" stopIfTrue="1">
      <formula>$F$54="超过30%"</formula>
    </cfRule>
  </conditionalFormatting>
  <conditionalFormatting sqref="F54">
    <cfRule type="containsText" dxfId="102" priority="12" stopIfTrue="1" operator="containsText" text="超过">
      <formula>NOT(ISERROR(SEARCH("超过",F54)))</formula>
    </cfRule>
  </conditionalFormatting>
  <conditionalFormatting sqref="G54">
    <cfRule type="expression" dxfId="101" priority="8" stopIfTrue="1">
      <formula>$H$54="超过30%"</formula>
    </cfRule>
  </conditionalFormatting>
  <conditionalFormatting sqref="H54">
    <cfRule type="containsText" dxfId="100" priority="13"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14" stopIfTrue="1" operator="containsText" text="超过">
      <formula>NOT(ISERROR(SEARCH("超过",J54)))</formula>
    </cfRule>
  </conditionalFormatting>
  <conditionalFormatting sqref="F52 H52 J52">
    <cfRule type="containsText" dxfId="97" priority="15" stopIfTrue="1" operator="containsText" text="超过">
      <formula>NOT(ISERROR(SEARCH("超过",F52)))</formula>
    </cfRule>
  </conditionalFormatting>
  <conditionalFormatting sqref="F53 H53 J53">
    <cfRule type="containsText" dxfId="96" priority="11" stopIfTrue="1" operator="containsText" text="超过">
      <formula>NOT(ISERROR(SEARCH("超过",F53)))</formula>
    </cfRule>
  </conditionalFormatting>
  <dataValidations count="23">
    <dataValidation type="list" allowBlank="1" showInputMessage="1" showErrorMessage="1" sqref="C18 E18 G18 I18">
      <formula1>交通便捷度</formula1>
    </dataValidation>
    <dataValidation type="list" allowBlank="1" showInputMessage="1" showErrorMessage="1" sqref="C34 E34 G34 I34">
      <formula1>住宅建筑结构</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25 E25 G25 I25">
      <formula1>住宅楼层</formula1>
    </dataValidation>
    <dataValidation type="list" allowBlank="1" showInputMessage="1" showErrorMessage="1" sqref="C10 E10 G10 I10">
      <formula1>土地年限区间</formula1>
    </dataValidation>
    <dataValidation type="list" allowBlank="1" showInputMessage="1" showErrorMessage="1" sqref="C39 E39 G39 I39">
      <formula1>住宅基础设施水平</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C24 E24 G24 I24">
      <formula1>环境</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20 E20 G20 I20">
      <formula1>公共配套设施</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1243"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1235</v>
      </c>
      <c r="B1" s="1138" t="s">
        <v>1400</v>
      </c>
      <c r="C1" s="1233"/>
      <c r="D1" s="1244"/>
      <c r="E1" s="1079"/>
      <c r="F1" s="1080" t="s">
        <v>1238</v>
      </c>
      <c r="G1" s="1078"/>
      <c r="H1" s="1078"/>
      <c r="I1" s="1078"/>
      <c r="J1" s="1078"/>
      <c r="K1" s="1136"/>
      <c r="L1" s="1137"/>
      <c r="M1" s="1138"/>
      <c r="N1" s="1138"/>
      <c r="O1" s="1138"/>
      <c r="P1" s="1257"/>
      <c r="Q1" s="1139"/>
      <c r="R1" s="1139"/>
      <c r="S1" s="1139"/>
      <c r="T1" s="1139"/>
      <c r="U1" s="1139"/>
      <c r="V1" s="1139"/>
      <c r="W1" s="1139"/>
      <c r="X1" s="1139"/>
      <c r="Y1" s="1139"/>
      <c r="Z1" s="1139"/>
      <c r="AA1" s="1139"/>
      <c r="AB1" s="1139"/>
      <c r="AC1" s="1148"/>
    </row>
    <row r="2" spans="1:29" s="702" customFormat="1" ht="28.5" customHeight="1">
      <c r="A2" s="1081" t="s">
        <v>832</v>
      </c>
      <c r="B2" s="1082" t="e">
        <f ca="1">IF(D2="——",IF(C2="元",ROUND(C49*D3,0),ROUND(C49*D3/10000,0)),IF(C2="元",ROUND(C49*D3,0),ROUND(C49*D3/10000,0))-E2)</f>
        <v>#DIV/0!</v>
      </c>
      <c r="C2" s="1083" t="str">
        <f>'数据-取费表'!B3</f>
        <v>万元</v>
      </c>
      <c r="D2" s="1084"/>
      <c r="E2" s="1245" t="e">
        <f ca="1">SUMIF(INDIRECT("'"&amp;G2&amp;"'"&amp;"!A:A"),"承租人权益价值",INDIRECT("'"&amp;G2&amp;"'"&amp;"!c:c"))</f>
        <v>#REF!</v>
      </c>
      <c r="F2" s="1086" t="str">
        <f>C2</f>
        <v>万元</v>
      </c>
      <c r="G2" s="1087"/>
      <c r="H2" s="719"/>
      <c r="I2" s="719"/>
      <c r="J2" s="719"/>
      <c r="K2" s="719"/>
      <c r="L2" s="857"/>
      <c r="M2" s="858"/>
      <c r="N2" s="858"/>
      <c r="O2" s="858"/>
      <c r="P2" s="1258"/>
      <c r="Q2" s="855"/>
      <c r="R2" s="855"/>
      <c r="S2" s="855"/>
      <c r="T2" s="855"/>
      <c r="U2" s="855"/>
      <c r="V2" s="855"/>
      <c r="W2" s="855"/>
      <c r="X2" s="855"/>
      <c r="Y2" s="855"/>
      <c r="Z2" s="855"/>
      <c r="AA2" s="855"/>
      <c r="AB2" s="855"/>
      <c r="AC2" s="910"/>
    </row>
    <row r="3" spans="1:29" s="702" customFormat="1" ht="28.5" customHeight="1">
      <c r="A3" s="407" t="s">
        <v>833</v>
      </c>
      <c r="B3" s="721" t="e">
        <f ca="1">ROUND(IF(D2="——",C49,IF(C2="万元",B2*10000/D3,B2/D3)),0)</f>
        <v>#DIV/0!</v>
      </c>
      <c r="C3" s="1088" t="s">
        <v>1239</v>
      </c>
      <c r="D3" s="1089">
        <f>IF(C1="仅计算典型户型",'数据-取费表'!E5,'数据-取费表'!B5)</f>
        <v>1024.48</v>
      </c>
      <c r="E3" s="1246"/>
      <c r="F3" s="720"/>
      <c r="G3" s="719"/>
      <c r="H3" s="719"/>
      <c r="I3" s="719"/>
      <c r="J3" s="719"/>
      <c r="K3" s="856"/>
      <c r="L3" s="857"/>
      <c r="M3" s="858"/>
      <c r="N3" s="858"/>
      <c r="O3" s="858"/>
      <c r="P3" s="1258"/>
      <c r="Q3" s="855"/>
      <c r="R3" s="855"/>
      <c r="S3" s="855"/>
      <c r="T3" s="855"/>
      <c r="U3" s="855"/>
      <c r="V3" s="855"/>
      <c r="W3" s="855"/>
      <c r="X3" s="855"/>
      <c r="Y3" s="855"/>
      <c r="Z3" s="855"/>
      <c r="AA3" s="855"/>
      <c r="AB3" s="855"/>
      <c r="AC3" s="912"/>
    </row>
    <row r="4" spans="1:29" ht="15">
      <c r="A4" s="722" t="s">
        <v>1240</v>
      </c>
      <c r="B4" s="723"/>
      <c r="C4" s="3004" t="s">
        <v>1241</v>
      </c>
      <c r="D4" s="3005"/>
      <c r="E4" s="3006" t="s">
        <v>1242</v>
      </c>
      <c r="F4" s="3007"/>
      <c r="G4" s="3004" t="s">
        <v>1243</v>
      </c>
      <c r="H4" s="3005"/>
      <c r="I4" s="3004" t="s">
        <v>1244</v>
      </c>
      <c r="J4" s="3005"/>
      <c r="K4" s="859" t="s">
        <v>1245</v>
      </c>
      <c r="L4" s="860"/>
      <c r="M4" s="861"/>
      <c r="N4" s="861"/>
      <c r="O4" s="861"/>
      <c r="P4" s="3065" t="s">
        <v>1246</v>
      </c>
      <c r="Q4" s="3024"/>
      <c r="R4" s="3038" t="s">
        <v>1242</v>
      </c>
      <c r="S4" s="3039"/>
      <c r="T4" s="3038" t="s">
        <v>1243</v>
      </c>
      <c r="U4" s="3039"/>
      <c r="V4" s="3048" t="s">
        <v>1244</v>
      </c>
      <c r="W4" s="3048"/>
      <c r="X4" s="898"/>
      <c r="Y4" s="3038" t="s">
        <v>1246</v>
      </c>
      <c r="Z4" s="3039"/>
      <c r="AA4" s="3035" t="s">
        <v>1242</v>
      </c>
      <c r="AB4" s="3048" t="s">
        <v>1243</v>
      </c>
      <c r="AC4" s="3035" t="s">
        <v>1244</v>
      </c>
    </row>
    <row r="5" spans="1:29" ht="15">
      <c r="A5" s="724"/>
      <c r="B5" s="725"/>
      <c r="C5" s="3008" t="s">
        <v>1371</v>
      </c>
      <c r="D5" s="3009"/>
      <c r="E5" s="3055" t="s">
        <v>1372</v>
      </c>
      <c r="F5" s="3011"/>
      <c r="G5" s="3008" t="s">
        <v>1373</v>
      </c>
      <c r="H5" s="3009"/>
      <c r="I5" s="3008" t="s">
        <v>1374</v>
      </c>
      <c r="J5" s="3009"/>
      <c r="K5" s="859"/>
      <c r="L5" s="860"/>
      <c r="M5" s="861"/>
      <c r="N5" s="861"/>
      <c r="O5" s="861"/>
      <c r="P5" s="3066"/>
      <c r="Q5" s="3025"/>
      <c r="R5" s="3040"/>
      <c r="S5" s="3041"/>
      <c r="T5" s="3040"/>
      <c r="U5" s="3041"/>
      <c r="V5" s="3048"/>
      <c r="W5" s="3048"/>
      <c r="X5" s="898"/>
      <c r="Y5" s="3040"/>
      <c r="Z5" s="3041"/>
      <c r="AA5" s="3036"/>
      <c r="AB5" s="3048"/>
      <c r="AC5" s="3036"/>
    </row>
    <row r="6" spans="1:29" ht="15">
      <c r="A6" s="726"/>
      <c r="B6" s="727"/>
      <c r="C6" s="3017" t="s">
        <v>1250</v>
      </c>
      <c r="D6" s="3014"/>
      <c r="E6" s="3015" t="s">
        <v>1250</v>
      </c>
      <c r="F6" s="3016"/>
      <c r="G6" s="3017" t="s">
        <v>1250</v>
      </c>
      <c r="H6" s="3014"/>
      <c r="I6" s="3017" t="s">
        <v>1250</v>
      </c>
      <c r="J6" s="3014"/>
      <c r="K6" s="859" t="s">
        <v>1251</v>
      </c>
      <c r="L6" s="860"/>
      <c r="M6" s="861"/>
      <c r="N6" s="861"/>
      <c r="O6" s="861"/>
      <c r="P6" s="3067"/>
      <c r="Q6" s="3047"/>
      <c r="R6" s="3040"/>
      <c r="S6" s="3041"/>
      <c r="T6" s="3042"/>
      <c r="U6" s="3043"/>
      <c r="V6" s="3048"/>
      <c r="W6" s="3048"/>
      <c r="X6" s="898"/>
      <c r="Y6" s="3042"/>
      <c r="Z6" s="3043"/>
      <c r="AA6" s="3037"/>
      <c r="AB6" s="3048"/>
      <c r="AC6" s="3037"/>
    </row>
    <row r="7" spans="1:29" s="703" customFormat="1" ht="15">
      <c r="A7" s="728" t="s">
        <v>1252</v>
      </c>
      <c r="B7" s="729"/>
      <c r="C7" s="730">
        <f>'数据-取费表'!B2</f>
        <v>43646</v>
      </c>
      <c r="D7" s="731">
        <v>100</v>
      </c>
      <c r="E7" s="732"/>
      <c r="F7" s="733">
        <f>SUMIF(58:58,YEAR(E7)&amp;"-"&amp;MONTH(E7),59:59)</f>
        <v>0</v>
      </c>
      <c r="G7" s="732"/>
      <c r="H7" s="731">
        <f>SUMIF(58:58,YEAR(G7)&amp;"-"&amp;MONTH(G7),59:59)</f>
        <v>0</v>
      </c>
      <c r="I7" s="732"/>
      <c r="J7" s="731">
        <f>SUMIF(58:58,YEAR(I7)&amp;"-"&amp;MONTH(I7),59:59)</f>
        <v>0</v>
      </c>
      <c r="K7" s="862"/>
      <c r="L7" s="863"/>
      <c r="M7" s="864"/>
      <c r="N7" s="864"/>
      <c r="O7" s="864"/>
      <c r="P7" s="3019" t="s">
        <v>1253</v>
      </c>
      <c r="Q7" s="3018"/>
      <c r="R7" s="900" t="s">
        <v>1254</v>
      </c>
      <c r="S7" s="901">
        <f t="shared" ref="S7:S15" si="0">F7</f>
        <v>0</v>
      </c>
      <c r="T7" s="900" t="s">
        <v>1254</v>
      </c>
      <c r="U7" s="901">
        <f t="shared" ref="U7:U15" si="1">H7</f>
        <v>0</v>
      </c>
      <c r="V7" s="900" t="s">
        <v>1254</v>
      </c>
      <c r="W7" s="901">
        <f t="shared" ref="W7:W15" si="2">J7</f>
        <v>0</v>
      </c>
      <c r="X7" s="902"/>
      <c r="Y7" s="3019" t="s">
        <v>1253</v>
      </c>
      <c r="Z7" s="3020"/>
      <c r="AA7" s="913" t="e">
        <f>D7/F7</f>
        <v>#DIV/0!</v>
      </c>
      <c r="AB7" s="913" t="e">
        <f>D7/H7</f>
        <v>#DIV/0!</v>
      </c>
      <c r="AC7" s="913" t="e">
        <f>D7/J7</f>
        <v>#DIV/0!</v>
      </c>
    </row>
    <row r="8" spans="1:29" s="703" customFormat="1" ht="15">
      <c r="A8" s="728" t="s">
        <v>1255</v>
      </c>
      <c r="B8" s="729"/>
      <c r="C8" s="735" t="s">
        <v>1256</v>
      </c>
      <c r="D8" s="731">
        <v>100</v>
      </c>
      <c r="E8" s="735"/>
      <c r="F8" s="733">
        <f>SUMIF(61:61,E8,62:62)-SUMIF(61:61,C8,62:62)+100</f>
        <v>0</v>
      </c>
      <c r="G8" s="735"/>
      <c r="H8" s="731">
        <f>SUMIF(61:61,G8,62:62)-SUMIF(61:61,C8,62:62)+100</f>
        <v>0</v>
      </c>
      <c r="I8" s="735"/>
      <c r="J8" s="731">
        <f>SUMIF(61:61,I8,62:62)-SUMIF(61:61,C8,62:62)+100</f>
        <v>0</v>
      </c>
      <c r="K8" s="862"/>
      <c r="L8" s="863"/>
      <c r="M8" s="864"/>
      <c r="N8" s="864"/>
      <c r="O8" s="864"/>
      <c r="P8" s="3019" t="s">
        <v>1258</v>
      </c>
      <c r="Q8" s="3020"/>
      <c r="R8" s="900" t="s">
        <v>1254</v>
      </c>
      <c r="S8" s="901">
        <f t="shared" si="0"/>
        <v>0</v>
      </c>
      <c r="T8" s="900" t="s">
        <v>1254</v>
      </c>
      <c r="U8" s="901">
        <f t="shared" si="1"/>
        <v>0</v>
      </c>
      <c r="V8" s="900" t="s">
        <v>1254</v>
      </c>
      <c r="W8" s="901">
        <f t="shared" si="2"/>
        <v>0</v>
      </c>
      <c r="X8" s="902"/>
      <c r="Y8" s="3019" t="s">
        <v>1258</v>
      </c>
      <c r="Z8" s="3020"/>
      <c r="AA8" s="913" t="e">
        <f t="shared" ref="AA8:AA46" si="3">D8/F8</f>
        <v>#DIV/0!</v>
      </c>
      <c r="AB8" s="913" t="e">
        <f t="shared" ref="AB8:AB46" si="4">D8/H8</f>
        <v>#DIV/0!</v>
      </c>
      <c r="AC8" s="913" t="e">
        <f t="shared" ref="AC8:AC46" si="5">D8/J8</f>
        <v>#DIV/0!</v>
      </c>
    </row>
    <row r="9" spans="1:29" s="703" customFormat="1">
      <c r="A9" s="736" t="s">
        <v>1259</v>
      </c>
      <c r="B9" s="737" t="s">
        <v>1260</v>
      </c>
      <c r="C9" s="1090"/>
      <c r="D9" s="739">
        <v>100</v>
      </c>
      <c r="E9" s="1163"/>
      <c r="F9" s="1247">
        <f>SUMIF(63:63,E9,64:64)-SUMIF(63:63,C9,64:64)+100</f>
        <v>100</v>
      </c>
      <c r="G9" s="1163"/>
      <c r="H9" s="739">
        <f>SUMIF(63:63,G9,64:64)-SUMIF(63:63,C9,64:64)+100</f>
        <v>100</v>
      </c>
      <c r="I9" s="1163"/>
      <c r="J9" s="739">
        <f>SUMIF(63:63,I9,64:64)-SUMIF(63:63,C9,64:64)+100</f>
        <v>100</v>
      </c>
      <c r="K9" s="862"/>
      <c r="L9" s="863"/>
      <c r="M9" s="864"/>
      <c r="N9" s="864"/>
      <c r="O9" s="864"/>
      <c r="P9" s="3056" t="s">
        <v>1261</v>
      </c>
      <c r="Q9" s="903" t="str">
        <f t="shared" ref="Q9:Q15" si="6">B9</f>
        <v>用途</v>
      </c>
      <c r="R9" s="900" t="s">
        <v>1254</v>
      </c>
      <c r="S9" s="901">
        <f t="shared" si="0"/>
        <v>100</v>
      </c>
      <c r="T9" s="900" t="s">
        <v>1254</v>
      </c>
      <c r="U9" s="901">
        <f t="shared" si="1"/>
        <v>100</v>
      </c>
      <c r="V9" s="900" t="s">
        <v>1254</v>
      </c>
      <c r="W9" s="901">
        <f t="shared" si="2"/>
        <v>100</v>
      </c>
      <c r="X9" s="902"/>
      <c r="Y9" s="2900" t="s">
        <v>1262</v>
      </c>
      <c r="Z9" s="914" t="str">
        <f t="shared" ref="Z9:Z15" si="7">Q9</f>
        <v>用途</v>
      </c>
      <c r="AA9" s="913">
        <f t="shared" si="3"/>
        <v>1</v>
      </c>
      <c r="AB9" s="913">
        <f t="shared" si="4"/>
        <v>1</v>
      </c>
      <c r="AC9" s="913">
        <f t="shared" si="5"/>
        <v>1</v>
      </c>
    </row>
    <row r="10" spans="1:29" s="704" customFormat="1" ht="27">
      <c r="A10" s="740"/>
      <c r="B10" s="741" t="s">
        <v>1263</v>
      </c>
      <c r="C10" s="1092"/>
      <c r="D10" s="743">
        <v>100</v>
      </c>
      <c r="E10" s="1093"/>
      <c r="F10" s="1240">
        <f>SUMIF(65:65,E10,66:66)-SUMIF(65:65,C10,66:66)+100</f>
        <v>100</v>
      </c>
      <c r="G10" s="1092"/>
      <c r="H10" s="743">
        <f>SUMIF(65:65,G10,66:66)-SUMIF(65:65,C10,66:66)+100</f>
        <v>100</v>
      </c>
      <c r="I10" s="1092"/>
      <c r="J10" s="743">
        <f>SUMIF(65:65,I10,66:66)-SUMIF(65:65,C10,66:66)+100</f>
        <v>100</v>
      </c>
      <c r="K10" s="879"/>
      <c r="L10" s="867"/>
      <c r="M10" s="868"/>
      <c r="N10" s="868"/>
      <c r="O10" s="868"/>
      <c r="P10" s="3056"/>
      <c r="Q10" s="903" t="str">
        <f t="shared" si="6"/>
        <v>土地使用年限（年）</v>
      </c>
      <c r="R10" s="900" t="s">
        <v>1254</v>
      </c>
      <c r="S10" s="901">
        <f t="shared" si="0"/>
        <v>100</v>
      </c>
      <c r="T10" s="900" t="s">
        <v>1254</v>
      </c>
      <c r="U10" s="901">
        <f t="shared" si="1"/>
        <v>100</v>
      </c>
      <c r="V10" s="900" t="s">
        <v>1254</v>
      </c>
      <c r="W10" s="901">
        <f t="shared" si="2"/>
        <v>100</v>
      </c>
      <c r="X10" s="902"/>
      <c r="Y10" s="2900"/>
      <c r="Z10" s="914" t="str">
        <f t="shared" si="7"/>
        <v>土地使用年限（年）</v>
      </c>
      <c r="AA10" s="913">
        <f t="shared" si="3"/>
        <v>1</v>
      </c>
      <c r="AB10" s="913">
        <f t="shared" si="4"/>
        <v>1</v>
      </c>
      <c r="AC10" s="913">
        <f t="shared" si="5"/>
        <v>1</v>
      </c>
    </row>
    <row r="11" spans="1:29" ht="15">
      <c r="A11" s="744"/>
      <c r="B11" s="741" t="s">
        <v>1265</v>
      </c>
      <c r="C11" s="745"/>
      <c r="D11" s="743">
        <v>100</v>
      </c>
      <c r="E11" s="746"/>
      <c r="F11" s="1240" t="e">
        <f>LOOKUP(E11,68:68,69:69)-LOOKUP(C11,68:68,69:69)+100</f>
        <v>#N/A</v>
      </c>
      <c r="G11" s="745"/>
      <c r="H11" s="743" t="e">
        <f>LOOKUP(G11,68:68,69:69)-LOOKUP(C11,68:68,69:69)+100</f>
        <v>#N/A</v>
      </c>
      <c r="I11" s="745"/>
      <c r="J11" s="743" t="e">
        <f>LOOKUP(I11,68:68,69:69)-LOOKUP(C11,68:68,69:69)+100</f>
        <v>#N/A</v>
      </c>
      <c r="K11" s="879"/>
      <c r="L11" s="871"/>
      <c r="M11" s="861"/>
      <c r="N11" s="861"/>
      <c r="O11" s="861"/>
      <c r="P11" s="3056"/>
      <c r="Q11" s="903" t="str">
        <f t="shared" si="6"/>
        <v>容积率</v>
      </c>
      <c r="R11" s="900" t="s">
        <v>1254</v>
      </c>
      <c r="S11" s="901" t="e">
        <f t="shared" si="0"/>
        <v>#N/A</v>
      </c>
      <c r="T11" s="900" t="s">
        <v>1254</v>
      </c>
      <c r="U11" s="901" t="e">
        <f t="shared" si="1"/>
        <v>#N/A</v>
      </c>
      <c r="V11" s="900" t="s">
        <v>1254</v>
      </c>
      <c r="W11" s="901" t="e">
        <f t="shared" si="2"/>
        <v>#N/A</v>
      </c>
      <c r="X11" s="902"/>
      <c r="Y11" s="2900"/>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1240">
        <f>SUMIF(70:70,E12,71:71)-SUMIF(70:70,C12,71:71)+100</f>
        <v>100</v>
      </c>
      <c r="G12" s="752"/>
      <c r="H12" s="743">
        <f>SUMIF(70:70,G12,71:71)-SUMIF(70:70,C12,71:71)+100</f>
        <v>100</v>
      </c>
      <c r="I12" s="752"/>
      <c r="J12" s="743">
        <f>SUMIF(70:70,I12,71:71)-SUMIF(70:70,C12,71:71)+100</f>
        <v>100</v>
      </c>
      <c r="K12" s="878"/>
      <c r="L12" s="863"/>
      <c r="M12" s="864"/>
      <c r="N12" s="864"/>
      <c r="O12" s="864"/>
      <c r="P12" s="3056"/>
      <c r="Q12" s="903">
        <f t="shared" si="6"/>
        <v>111</v>
      </c>
      <c r="R12" s="900" t="s">
        <v>1254</v>
      </c>
      <c r="S12" s="901">
        <f t="shared" si="0"/>
        <v>100</v>
      </c>
      <c r="T12" s="900" t="s">
        <v>1254</v>
      </c>
      <c r="U12" s="901">
        <f t="shared" si="1"/>
        <v>100</v>
      </c>
      <c r="V12" s="900" t="s">
        <v>1254</v>
      </c>
      <c r="W12" s="901">
        <f t="shared" si="2"/>
        <v>100</v>
      </c>
      <c r="X12" s="902"/>
      <c r="Y12" s="2900"/>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878"/>
      <c r="L13" s="873"/>
      <c r="M13" s="861"/>
      <c r="N13" s="861"/>
      <c r="O13" s="861"/>
      <c r="P13" s="3056"/>
      <c r="Q13" s="903">
        <f t="shared" si="6"/>
        <v>111</v>
      </c>
      <c r="R13" s="900" t="s">
        <v>1254</v>
      </c>
      <c r="S13" s="901">
        <f t="shared" si="0"/>
        <v>100</v>
      </c>
      <c r="T13" s="900" t="s">
        <v>1254</v>
      </c>
      <c r="U13" s="901">
        <f t="shared" si="1"/>
        <v>100</v>
      </c>
      <c r="V13" s="900" t="s">
        <v>1254</v>
      </c>
      <c r="W13" s="901">
        <f t="shared" si="2"/>
        <v>100</v>
      </c>
      <c r="X13" s="902"/>
      <c r="Y13" s="2900"/>
      <c r="Z13" s="914">
        <f t="shared" si="7"/>
        <v>111</v>
      </c>
      <c r="AA13" s="913">
        <f t="shared" si="3"/>
        <v>1</v>
      </c>
      <c r="AB13" s="913">
        <f t="shared" si="4"/>
        <v>1</v>
      </c>
      <c r="AC13" s="913">
        <f t="shared" si="5"/>
        <v>1</v>
      </c>
    </row>
    <row r="14" spans="1:29" ht="15">
      <c r="A14" s="754"/>
      <c r="B14" s="755">
        <v>111</v>
      </c>
      <c r="C14" s="756"/>
      <c r="D14" s="757">
        <v>100</v>
      </c>
      <c r="E14" s="752"/>
      <c r="F14" s="1117">
        <f>SUMIF(74:74,E14,75:75)-SUMIF(74:74,C14,75:75)+100</f>
        <v>100</v>
      </c>
      <c r="G14" s="752"/>
      <c r="H14" s="757">
        <f>SUMIF(74:74,G14,75:75)-SUMIF(74:74,C14,75:75)+100</f>
        <v>100</v>
      </c>
      <c r="I14" s="752"/>
      <c r="J14" s="757">
        <f>SUMIF(74:74,I14,75:75)-SUMIF(74:74,C14,75:75)+100</f>
        <v>100</v>
      </c>
      <c r="K14" s="878"/>
      <c r="L14" s="873"/>
      <c r="M14" s="861"/>
      <c r="N14" s="861"/>
      <c r="O14" s="861"/>
      <c r="P14" s="3056"/>
      <c r="Q14" s="903">
        <f t="shared" si="6"/>
        <v>111</v>
      </c>
      <c r="R14" s="900" t="s">
        <v>1254</v>
      </c>
      <c r="S14" s="901">
        <f t="shared" si="0"/>
        <v>100</v>
      </c>
      <c r="T14" s="900" t="s">
        <v>1254</v>
      </c>
      <c r="U14" s="901">
        <f t="shared" si="1"/>
        <v>100</v>
      </c>
      <c r="V14" s="900" t="s">
        <v>1254</v>
      </c>
      <c r="W14" s="901">
        <f t="shared" si="2"/>
        <v>100</v>
      </c>
      <c r="X14" s="902"/>
      <c r="Y14" s="2900"/>
      <c r="Z14" s="914">
        <f t="shared" si="7"/>
        <v>111</v>
      </c>
      <c r="AA14" s="913">
        <f t="shared" si="3"/>
        <v>1</v>
      </c>
      <c r="AB14" s="913">
        <f t="shared" si="4"/>
        <v>1</v>
      </c>
      <c r="AC14" s="913">
        <f t="shared" si="5"/>
        <v>1</v>
      </c>
    </row>
    <row r="15" spans="1:29" ht="71.25">
      <c r="A15" s="758" t="s">
        <v>1266</v>
      </c>
      <c r="B15" s="1095" t="s">
        <v>208</v>
      </c>
      <c r="C15" s="1248" t="str">
        <f>估价对象房地状况!C4</f>
        <v>估价对象位于XX商圈，周边商业氛围成熟，人流量大，商业繁华度好</v>
      </c>
      <c r="D15" s="761">
        <v>100</v>
      </c>
      <c r="E15" s="762"/>
      <c r="F15" s="1096">
        <f>SUMIF(76:76,E16,77:77)-SUMIF(76:76,C16,77:77)+100</f>
        <v>100</v>
      </c>
      <c r="G15" s="874"/>
      <c r="H15" s="761">
        <f>SUMIF(76:76,G16,77:77)-SUMIF(76:76,C16,77:77)+100</f>
        <v>100</v>
      </c>
      <c r="I15" s="762"/>
      <c r="J15" s="761">
        <f>SUMIF(76:76,I16,77:77)-SUMIF(76:76,C16,77:77)+100</f>
        <v>100</v>
      </c>
      <c r="K15" s="1140"/>
      <c r="L15" s="873"/>
      <c r="M15" s="861"/>
      <c r="N15" s="861"/>
      <c r="O15" s="861"/>
      <c r="P15" s="3057" t="s">
        <v>1267</v>
      </c>
      <c r="Q15" s="492" t="str">
        <f t="shared" si="6"/>
        <v>商业繁华度</v>
      </c>
      <c r="R15" s="904" t="s">
        <v>1254</v>
      </c>
      <c r="S15" s="905">
        <f t="shared" si="0"/>
        <v>100</v>
      </c>
      <c r="T15" s="904" t="s">
        <v>1254</v>
      </c>
      <c r="U15" s="905">
        <f t="shared" si="1"/>
        <v>100</v>
      </c>
      <c r="V15" s="904" t="s">
        <v>1254</v>
      </c>
      <c r="W15" s="905">
        <f t="shared" si="2"/>
        <v>100</v>
      </c>
      <c r="X15" s="898"/>
      <c r="Y15" s="3029" t="s">
        <v>1267</v>
      </c>
      <c r="Z15" s="833" t="str">
        <f t="shared" si="7"/>
        <v>商业繁华度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61"/>
      <c r="P16" s="3058"/>
      <c r="Q16" s="492"/>
      <c r="R16" s="904"/>
      <c r="S16" s="905"/>
      <c r="T16" s="904"/>
      <c r="U16" s="905"/>
      <c r="V16" s="904"/>
      <c r="W16" s="905"/>
      <c r="X16" s="898"/>
      <c r="Y16" s="3030"/>
      <c r="Z16" s="833"/>
      <c r="AA16" s="915">
        <v>1</v>
      </c>
      <c r="AB16" s="915">
        <v>1</v>
      </c>
      <c r="AC16" s="915">
        <v>1</v>
      </c>
    </row>
    <row r="17" spans="1:29" ht="85.5">
      <c r="A17" s="744"/>
      <c r="B17" s="1101" t="s">
        <v>211</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140"/>
      <c r="L17" s="873"/>
      <c r="M17" s="861"/>
      <c r="N17" s="861"/>
      <c r="O17" s="861"/>
      <c r="P17" s="3058"/>
      <c r="Q17" s="492" t="str">
        <f>B17</f>
        <v>交通便捷度</v>
      </c>
      <c r="R17" s="904" t="s">
        <v>1254</v>
      </c>
      <c r="S17" s="905">
        <f>F17</f>
        <v>100</v>
      </c>
      <c r="T17" s="904" t="s">
        <v>1254</v>
      </c>
      <c r="U17" s="905">
        <f>H17</f>
        <v>100</v>
      </c>
      <c r="V17" s="904" t="s">
        <v>1254</v>
      </c>
      <c r="W17" s="905">
        <f>J17</f>
        <v>100</v>
      </c>
      <c r="X17" s="898"/>
      <c r="Y17" s="3030"/>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61"/>
      <c r="P18" s="3058"/>
      <c r="Q18" s="492"/>
      <c r="R18" s="904"/>
      <c r="S18" s="905"/>
      <c r="T18" s="904"/>
      <c r="U18" s="905"/>
      <c r="V18" s="904"/>
      <c r="W18" s="905"/>
      <c r="X18" s="898"/>
      <c r="Y18" s="3030"/>
      <c r="Z18" s="833"/>
      <c r="AA18" s="915">
        <v>1</v>
      </c>
      <c r="AB18" s="915">
        <v>1</v>
      </c>
      <c r="AC18" s="915">
        <v>1</v>
      </c>
    </row>
    <row r="19" spans="1:29" ht="42.75">
      <c r="A19" s="744"/>
      <c r="B19" s="1101" t="s">
        <v>213</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140"/>
      <c r="L19" s="873"/>
      <c r="M19" s="861"/>
      <c r="N19" s="861"/>
      <c r="O19" s="861"/>
      <c r="P19" s="3058"/>
      <c r="Q19" s="492" t="str">
        <f>B19</f>
        <v>公共配套设施</v>
      </c>
      <c r="R19" s="904" t="s">
        <v>1254</v>
      </c>
      <c r="S19" s="905">
        <f>F19</f>
        <v>100</v>
      </c>
      <c r="T19" s="904" t="s">
        <v>1254</v>
      </c>
      <c r="U19" s="905">
        <f>H19</f>
        <v>100</v>
      </c>
      <c r="V19" s="904" t="s">
        <v>1254</v>
      </c>
      <c r="W19" s="905">
        <f>J19</f>
        <v>100</v>
      </c>
      <c r="X19" s="898"/>
      <c r="Y19" s="3030"/>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141"/>
      <c r="L20" s="873"/>
      <c r="M20" s="861"/>
      <c r="N20" s="861"/>
      <c r="O20" s="861"/>
      <c r="P20" s="3058"/>
      <c r="Q20" s="492"/>
      <c r="R20" s="904"/>
      <c r="S20" s="905"/>
      <c r="T20" s="904"/>
      <c r="U20" s="905"/>
      <c r="V20" s="904"/>
      <c r="W20" s="905"/>
      <c r="X20" s="898"/>
      <c r="Y20" s="3030"/>
      <c r="Z20" s="833"/>
      <c r="AA20" s="915">
        <v>1</v>
      </c>
      <c r="AB20" s="915">
        <v>1</v>
      </c>
      <c r="AC20" s="915">
        <v>1</v>
      </c>
    </row>
    <row r="21" spans="1:29" ht="28.5">
      <c r="A21" s="744"/>
      <c r="B21" s="1236" t="s">
        <v>214</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140"/>
      <c r="L21" s="873"/>
      <c r="M21" s="861"/>
      <c r="N21" s="861"/>
      <c r="O21" s="861"/>
      <c r="P21" s="3058"/>
      <c r="Q21" s="492" t="str">
        <f>B21</f>
        <v>基础设施水平</v>
      </c>
      <c r="R21" s="904" t="s">
        <v>1254</v>
      </c>
      <c r="S21" s="905">
        <f>F21</f>
        <v>100</v>
      </c>
      <c r="T21" s="904" t="s">
        <v>1254</v>
      </c>
      <c r="U21" s="905">
        <f>H21</f>
        <v>100</v>
      </c>
      <c r="V21" s="904" t="s">
        <v>1254</v>
      </c>
      <c r="W21" s="905">
        <f>J21</f>
        <v>100</v>
      </c>
      <c r="X21" s="898"/>
      <c r="Y21" s="3030"/>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61"/>
      <c r="P22" s="3058"/>
      <c r="Q22" s="492"/>
      <c r="R22" s="904"/>
      <c r="S22" s="905"/>
      <c r="T22" s="904"/>
      <c r="U22" s="905"/>
      <c r="V22" s="904"/>
      <c r="W22" s="905"/>
      <c r="X22" s="898"/>
      <c r="Y22" s="3030"/>
      <c r="Z22" s="833"/>
      <c r="AA22" s="915">
        <v>1</v>
      </c>
      <c r="AB22" s="915">
        <v>1</v>
      </c>
      <c r="AC22" s="915">
        <v>1</v>
      </c>
    </row>
    <row r="23" spans="1:29" ht="57">
      <c r="A23" s="744"/>
      <c r="B23" s="1101" t="s">
        <v>570</v>
      </c>
      <c r="C23" s="1249"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140"/>
      <c r="L23" s="873"/>
      <c r="M23" s="861"/>
      <c r="N23" s="861"/>
      <c r="O23" s="861"/>
      <c r="P23" s="3058"/>
      <c r="Q23" s="492" t="str">
        <f>B23</f>
        <v>自然及人文环境</v>
      </c>
      <c r="R23" s="904" t="s">
        <v>1254</v>
      </c>
      <c r="S23" s="905">
        <f>F23</f>
        <v>100</v>
      </c>
      <c r="T23" s="904" t="s">
        <v>1254</v>
      </c>
      <c r="U23" s="905">
        <f>H23</f>
        <v>100</v>
      </c>
      <c r="V23" s="904" t="s">
        <v>1254</v>
      </c>
      <c r="W23" s="905">
        <f>J23</f>
        <v>100</v>
      </c>
      <c r="X23" s="898"/>
      <c r="Y23" s="3030"/>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141"/>
      <c r="L24" s="873"/>
      <c r="M24" s="861"/>
      <c r="N24" s="861"/>
      <c r="O24" s="861"/>
      <c r="P24" s="3058"/>
      <c r="Q24" s="492"/>
      <c r="R24" s="904"/>
      <c r="S24" s="905"/>
      <c r="T24" s="904"/>
      <c r="U24" s="905"/>
      <c r="V24" s="904"/>
      <c r="W24" s="905"/>
      <c r="X24" s="898"/>
      <c r="Y24" s="3030"/>
      <c r="Z24" s="833"/>
      <c r="AA24" s="915">
        <v>1</v>
      </c>
      <c r="AB24" s="915">
        <v>1</v>
      </c>
      <c r="AC24" s="915">
        <v>1</v>
      </c>
    </row>
    <row r="25" spans="1:29" ht="15">
      <c r="A25" s="744"/>
      <c r="B25" s="741" t="s">
        <v>216</v>
      </c>
      <c r="C25" s="778"/>
      <c r="D25" s="753">
        <v>100</v>
      </c>
      <c r="E25" s="778"/>
      <c r="F25" s="1103">
        <f>SUMIF(86:86,E25,87:87)-SUMIF(86:86,C25,87:87)+100</f>
        <v>100</v>
      </c>
      <c r="G25" s="778"/>
      <c r="H25" s="753">
        <f>SUMIF(86:86,G25,87:87)-SUMIF(86:86,C25,87:87)+100</f>
        <v>100</v>
      </c>
      <c r="I25" s="778"/>
      <c r="J25" s="753">
        <f>SUMIF(86:86,I25,87:87)-SUMIF(86:86,C25,87:87)+100</f>
        <v>100</v>
      </c>
      <c r="K25" s="879"/>
      <c r="L25" s="873"/>
      <c r="M25" s="861"/>
      <c r="N25" s="861"/>
      <c r="O25" s="861"/>
      <c r="P25" s="3058"/>
      <c r="Q25" s="492" t="str">
        <f t="shared" ref="Q25:Q46" si="11">B25</f>
        <v>临街状况</v>
      </c>
      <c r="R25" s="904" t="s">
        <v>1254</v>
      </c>
      <c r="S25" s="905">
        <f>F25</f>
        <v>100</v>
      </c>
      <c r="T25" s="904" t="s">
        <v>1254</v>
      </c>
      <c r="U25" s="905">
        <f>H25</f>
        <v>100</v>
      </c>
      <c r="V25" s="904" t="s">
        <v>1254</v>
      </c>
      <c r="W25" s="905">
        <f>J25</f>
        <v>100</v>
      </c>
      <c r="X25" s="898"/>
      <c r="Y25" s="3030"/>
      <c r="Z25" s="833" t="str">
        <f>Q25</f>
        <v>临街状况</v>
      </c>
      <c r="AA25" s="915">
        <f t="shared" si="3"/>
        <v>1</v>
      </c>
      <c r="AB25" s="915">
        <f t="shared" si="4"/>
        <v>1</v>
      </c>
      <c r="AC25" s="915">
        <f t="shared" si="5"/>
        <v>1</v>
      </c>
    </row>
    <row r="26" spans="1:29" ht="15">
      <c r="A26" s="744"/>
      <c r="B26" s="1237" t="s">
        <v>1401</v>
      </c>
      <c r="C26" s="752"/>
      <c r="D26" s="753">
        <v>100</v>
      </c>
      <c r="E26" s="752"/>
      <c r="F26" s="1103">
        <f>SUMIF(88:88,E26,89:89)-SUMIF(88:88,C26,89:89)+100</f>
        <v>100</v>
      </c>
      <c r="G26" s="752"/>
      <c r="H26" s="753">
        <f>SUMIF(88:88,G26,89:89)-SUMIF(88:88,C26,89:89)+100</f>
        <v>100</v>
      </c>
      <c r="I26" s="752"/>
      <c r="J26" s="753">
        <f>SUMIF(88:88,I26,89:89)-SUMIF(88:88,C26,89:89)+100</f>
        <v>100</v>
      </c>
      <c r="K26" s="878"/>
      <c r="L26" s="873"/>
      <c r="M26" s="861"/>
      <c r="N26" s="861"/>
      <c r="O26" s="861"/>
      <c r="P26" s="3058"/>
      <c r="Q26" s="492" t="str">
        <f t="shared" si="11"/>
        <v>平面位置/可视性</v>
      </c>
      <c r="R26" s="904" t="s">
        <v>1254</v>
      </c>
      <c r="S26" s="905">
        <f>F26</f>
        <v>100</v>
      </c>
      <c r="T26" s="904" t="s">
        <v>1254</v>
      </c>
      <c r="U26" s="905">
        <f>H26</f>
        <v>100</v>
      </c>
      <c r="V26" s="904" t="s">
        <v>1254</v>
      </c>
      <c r="W26" s="905">
        <f>J26</f>
        <v>100</v>
      </c>
      <c r="X26" s="898"/>
      <c r="Y26" s="3030"/>
      <c r="Z26" s="833" t="str">
        <f>Q26</f>
        <v>平面位置/可视性</v>
      </c>
      <c r="AA26" s="915">
        <f t="shared" si="3"/>
        <v>1</v>
      </c>
      <c r="AB26" s="915">
        <f t="shared" si="4"/>
        <v>1</v>
      </c>
      <c r="AC26" s="915">
        <f t="shared" si="5"/>
        <v>1</v>
      </c>
    </row>
    <row r="27" spans="1:29" s="703" customFormat="1" ht="15">
      <c r="A27" s="747"/>
      <c r="B27" s="1101" t="s">
        <v>1402</v>
      </c>
      <c r="C27" s="1250"/>
      <c r="D27" s="1238">
        <v>100</v>
      </c>
      <c r="E27" s="1250"/>
      <c r="F27" s="1239">
        <f>SUMIF(90:90,E27,91:91)-SUMIF(90:90,C27,91:91)+100</f>
        <v>100</v>
      </c>
      <c r="G27" s="1250"/>
      <c r="H27" s="1238">
        <f>SUMIF(90:90,G27,91:91)-SUMIF(90:90,C27,91:91)+100</f>
        <v>100</v>
      </c>
      <c r="I27" s="1250"/>
      <c r="J27" s="1238">
        <f>SUMIF(90:90,I27,91:91)-SUMIF(90:90,C27,91:91)+100</f>
        <v>100</v>
      </c>
      <c r="K27" s="879"/>
      <c r="L27" s="863"/>
      <c r="M27" s="864"/>
      <c r="N27" s="864"/>
      <c r="O27" s="864"/>
      <c r="P27" s="3058"/>
      <c r="Q27" s="903" t="str">
        <f t="shared" si="11"/>
        <v>人流量</v>
      </c>
      <c r="R27" s="900" t="s">
        <v>1254</v>
      </c>
      <c r="S27" s="901">
        <f>F27</f>
        <v>100</v>
      </c>
      <c r="T27" s="900" t="s">
        <v>1254</v>
      </c>
      <c r="U27" s="901">
        <f>H27</f>
        <v>100</v>
      </c>
      <c r="V27" s="900" t="s">
        <v>1254</v>
      </c>
      <c r="W27" s="901">
        <f>J27</f>
        <v>100</v>
      </c>
      <c r="X27" s="902"/>
      <c r="Y27" s="3030"/>
      <c r="Z27" s="914" t="str">
        <f>Q27</f>
        <v>人流量</v>
      </c>
      <c r="AA27" s="915">
        <f t="shared" si="3"/>
        <v>1</v>
      </c>
      <c r="AB27" s="915">
        <f t="shared" si="4"/>
        <v>1</v>
      </c>
      <c r="AC27" s="915">
        <f t="shared" si="5"/>
        <v>1</v>
      </c>
    </row>
    <row r="28" spans="1:29" ht="15">
      <c r="A28" s="744"/>
      <c r="B28" s="741" t="s">
        <v>1272</v>
      </c>
      <c r="C28" s="778"/>
      <c r="D28" s="753">
        <v>100</v>
      </c>
      <c r="E28" s="778"/>
      <c r="F28" s="1103">
        <f>SUMIF(92:92,E28,93:93)-SUMIF(92:92,C28,93:93)+100</f>
        <v>100</v>
      </c>
      <c r="G28" s="778"/>
      <c r="H28" s="753">
        <f>SUMIF(92:92,G28,93:93)-SUMIF(92:92,C28,93:93)+100</f>
        <v>100</v>
      </c>
      <c r="I28" s="778"/>
      <c r="J28" s="753">
        <f>SUMIF(92:92,I28,93:93)-SUMIF(92:92,C28,93:93)+100</f>
        <v>100</v>
      </c>
      <c r="K28" s="878"/>
      <c r="L28" s="873"/>
      <c r="M28" s="861"/>
      <c r="N28" s="861"/>
      <c r="O28" s="861"/>
      <c r="P28" s="3058"/>
      <c r="Q28" s="492" t="str">
        <f t="shared" si="11"/>
        <v>楼层</v>
      </c>
      <c r="R28" s="904" t="s">
        <v>1254</v>
      </c>
      <c r="S28" s="905">
        <f t="shared" ref="S28:S46" si="12">F28</f>
        <v>100</v>
      </c>
      <c r="T28" s="904" t="s">
        <v>1254</v>
      </c>
      <c r="U28" s="905">
        <f t="shared" ref="U28:U46" si="13">H28</f>
        <v>100</v>
      </c>
      <c r="V28" s="904" t="s">
        <v>1254</v>
      </c>
      <c r="W28" s="905">
        <f t="shared" ref="W28:W46" si="14">J28</f>
        <v>100</v>
      </c>
      <c r="X28" s="898"/>
      <c r="Y28" s="3030"/>
      <c r="Z28" s="833" t="str">
        <f t="shared" ref="Z28:Z46" si="15">Q28</f>
        <v>楼层</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878"/>
      <c r="L29" s="873"/>
      <c r="M29" s="861"/>
      <c r="N29" s="861"/>
      <c r="O29" s="861"/>
      <c r="P29" s="3058"/>
      <c r="Q29" s="492">
        <f t="shared" si="11"/>
        <v>111</v>
      </c>
      <c r="R29" s="904" t="s">
        <v>1254</v>
      </c>
      <c r="S29" s="905">
        <f t="shared" si="12"/>
        <v>100</v>
      </c>
      <c r="T29" s="904" t="s">
        <v>1254</v>
      </c>
      <c r="U29" s="905">
        <f t="shared" si="13"/>
        <v>100</v>
      </c>
      <c r="V29" s="904" t="s">
        <v>1254</v>
      </c>
      <c r="W29" s="905">
        <f t="shared" si="14"/>
        <v>100</v>
      </c>
      <c r="X29" s="898"/>
      <c r="Y29" s="3030"/>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878"/>
      <c r="L30" s="873"/>
      <c r="M30" s="861"/>
      <c r="N30" s="861"/>
      <c r="O30" s="861"/>
      <c r="P30" s="3058"/>
      <c r="Q30" s="492">
        <f t="shared" si="11"/>
        <v>111</v>
      </c>
      <c r="R30" s="904" t="s">
        <v>1254</v>
      </c>
      <c r="S30" s="905">
        <f t="shared" si="12"/>
        <v>100</v>
      </c>
      <c r="T30" s="904" t="s">
        <v>1254</v>
      </c>
      <c r="U30" s="905">
        <f t="shared" si="13"/>
        <v>100</v>
      </c>
      <c r="V30" s="904" t="s">
        <v>1254</v>
      </c>
      <c r="W30" s="905">
        <f t="shared" si="14"/>
        <v>100</v>
      </c>
      <c r="X30" s="898"/>
      <c r="Y30" s="3030"/>
      <c r="Z30" s="833">
        <f t="shared" si="15"/>
        <v>111</v>
      </c>
      <c r="AA30" s="915">
        <f t="shared" si="3"/>
        <v>1</v>
      </c>
      <c r="AB30" s="915">
        <f t="shared" si="4"/>
        <v>1</v>
      </c>
      <c r="AC30" s="915">
        <f t="shared" si="5"/>
        <v>1</v>
      </c>
    </row>
    <row r="31" spans="1:29" ht="15">
      <c r="A31" s="754"/>
      <c r="B31" s="1237">
        <v>111</v>
      </c>
      <c r="C31" s="756"/>
      <c r="D31" s="757">
        <v>100</v>
      </c>
      <c r="E31" s="752"/>
      <c r="F31" s="1117">
        <f>SUMIF(98:98,E31,99:99)-SUMIF(98:98,C31,99:99)+100</f>
        <v>100</v>
      </c>
      <c r="G31" s="752"/>
      <c r="H31" s="757">
        <f>SUMIF(98:98,G31,99:99)-SUMIF(98:98,C31,99:99)+100</f>
        <v>100</v>
      </c>
      <c r="I31" s="752"/>
      <c r="J31" s="757">
        <f>SUMIF(98:98,I31,99:99)-SUMIF(98:98,C31,99:99)+100</f>
        <v>100</v>
      </c>
      <c r="K31" s="878"/>
      <c r="L31" s="873"/>
      <c r="M31" s="861"/>
      <c r="N31" s="861"/>
      <c r="O31" s="861"/>
      <c r="P31" s="3058"/>
      <c r="Q31" s="492">
        <f t="shared" si="11"/>
        <v>111</v>
      </c>
      <c r="R31" s="904" t="s">
        <v>1254</v>
      </c>
      <c r="S31" s="905">
        <f t="shared" si="12"/>
        <v>100</v>
      </c>
      <c r="T31" s="904" t="s">
        <v>1254</v>
      </c>
      <c r="U31" s="905">
        <f t="shared" si="13"/>
        <v>100</v>
      </c>
      <c r="V31" s="904" t="s">
        <v>1254</v>
      </c>
      <c r="W31" s="905">
        <f t="shared" si="14"/>
        <v>100</v>
      </c>
      <c r="X31" s="898"/>
      <c r="Y31" s="3030"/>
      <c r="Z31" s="833">
        <f t="shared" si="15"/>
        <v>111</v>
      </c>
      <c r="AA31" s="915">
        <f t="shared" si="3"/>
        <v>1</v>
      </c>
      <c r="AB31" s="915">
        <f t="shared" si="4"/>
        <v>1</v>
      </c>
      <c r="AC31" s="915">
        <f t="shared" si="5"/>
        <v>1</v>
      </c>
    </row>
    <row r="32" spans="1:29" ht="15">
      <c r="A32" s="758" t="s">
        <v>1276</v>
      </c>
      <c r="B32" s="737" t="s">
        <v>1403</v>
      </c>
      <c r="C32" s="1251"/>
      <c r="D32" s="795">
        <v>100</v>
      </c>
      <c r="E32" s="1251"/>
      <c r="F32" s="1103">
        <f>SUMIF(100:100,E32,101:101)-SUMIF(100:100,C32,101:101)+100</f>
        <v>100</v>
      </c>
      <c r="G32" s="1251"/>
      <c r="H32" s="753">
        <f>SUMIF(100:100,G32,101:101)-SUMIF(100:100,C32,101:101)+100</f>
        <v>100</v>
      </c>
      <c r="I32" s="1251"/>
      <c r="J32" s="795">
        <f>SUMIF(100:100,I32,101:101)-SUMIF(100:100,C32,101:101)+100</f>
        <v>100</v>
      </c>
      <c r="K32" s="879"/>
      <c r="L32" s="873"/>
      <c r="M32" s="861"/>
      <c r="N32" s="861"/>
      <c r="O32" s="861"/>
      <c r="P32" s="3059" t="s">
        <v>1279</v>
      </c>
      <c r="Q32" s="492" t="str">
        <f t="shared" si="11"/>
        <v>商业类型</v>
      </c>
      <c r="R32" s="904" t="s">
        <v>1254</v>
      </c>
      <c r="S32" s="905">
        <f t="shared" si="12"/>
        <v>100</v>
      </c>
      <c r="T32" s="904" t="s">
        <v>1254</v>
      </c>
      <c r="U32" s="905">
        <f t="shared" si="13"/>
        <v>100</v>
      </c>
      <c r="V32" s="904" t="s">
        <v>1254</v>
      </c>
      <c r="W32" s="905">
        <f t="shared" si="14"/>
        <v>100</v>
      </c>
      <c r="X32" s="898"/>
      <c r="Y32" s="3031" t="s">
        <v>1279</v>
      </c>
      <c r="Z32" s="833" t="str">
        <f t="shared" si="15"/>
        <v>商业类型</v>
      </c>
      <c r="AA32" s="915">
        <f t="shared" si="3"/>
        <v>1</v>
      </c>
      <c r="AB32" s="915">
        <f t="shared" si="4"/>
        <v>1</v>
      </c>
      <c r="AC32" s="915">
        <f t="shared" si="5"/>
        <v>1</v>
      </c>
    </row>
    <row r="33" spans="1:29" s="705" customFormat="1" ht="15">
      <c r="A33" s="800"/>
      <c r="B33" s="741" t="s">
        <v>1280</v>
      </c>
      <c r="C33" s="1094"/>
      <c r="D33" s="743">
        <v>100</v>
      </c>
      <c r="E33" s="746"/>
      <c r="F33" s="1240" t="e">
        <f>LOOKUP(E33,103:103,104:104)-LOOKUP(C33,103:103,104:104)+100</f>
        <v>#N/A</v>
      </c>
      <c r="G33" s="745"/>
      <c r="H33" s="743" t="e">
        <f>LOOKUP(G33,103:103,104:104)-LOOKUP(C33,103:103,104:104)+100</f>
        <v>#N/A</v>
      </c>
      <c r="I33" s="745"/>
      <c r="J33" s="743" t="e">
        <f>LOOKUP(I33,103:103,104:104)-LOOKUP(C33,103:103,104:104)+100</f>
        <v>#N/A</v>
      </c>
      <c r="K33" s="878"/>
      <c r="L33" s="871"/>
      <c r="M33" s="880"/>
      <c r="N33" s="880"/>
      <c r="O33" s="880"/>
      <c r="P33" s="3060"/>
      <c r="Q33" s="1147" t="str">
        <f t="shared" si="11"/>
        <v>项目建筑规模</v>
      </c>
      <c r="R33" s="906" t="s">
        <v>1254</v>
      </c>
      <c r="S33" s="907" t="e">
        <f t="shared" si="12"/>
        <v>#N/A</v>
      </c>
      <c r="T33" s="906" t="s">
        <v>1254</v>
      </c>
      <c r="U33" s="907" t="e">
        <f t="shared" si="13"/>
        <v>#N/A</v>
      </c>
      <c r="V33" s="906" t="s">
        <v>1254</v>
      </c>
      <c r="W33" s="907" t="e">
        <f t="shared" si="14"/>
        <v>#N/A</v>
      </c>
      <c r="X33" s="908"/>
      <c r="Y33" s="3031"/>
      <c r="Z33" s="916" t="str">
        <f t="shared" si="15"/>
        <v>项目建筑规模</v>
      </c>
      <c r="AA33" s="915" t="e">
        <f t="shared" si="3"/>
        <v>#N/A</v>
      </c>
      <c r="AB33" s="915" t="e">
        <f t="shared" si="4"/>
        <v>#N/A</v>
      </c>
      <c r="AC33" s="915" t="e">
        <f t="shared" si="5"/>
        <v>#N/A</v>
      </c>
    </row>
    <row r="34" spans="1:29" ht="15">
      <c r="A34" s="792"/>
      <c r="B34" s="741" t="s">
        <v>1281</v>
      </c>
      <c r="C34" s="1252"/>
      <c r="D34" s="753">
        <v>100</v>
      </c>
      <c r="E34" s="1253"/>
      <c r="F34" s="1103">
        <f>SUMIF(105:105,E34,106:106)-SUMIF(105:105,C34,106:106)+100</f>
        <v>100</v>
      </c>
      <c r="G34" s="1252"/>
      <c r="H34" s="753">
        <f>SUMIF(105:105,G34,106:106)-SUMIF(105:105,C34,106:106)+100</f>
        <v>100</v>
      </c>
      <c r="I34" s="1252"/>
      <c r="J34" s="753">
        <f>SUMIF(105:105,I34,106:106)-SUMIF(105:105,C34,106:106)+100</f>
        <v>100</v>
      </c>
      <c r="K34" s="879"/>
      <c r="L34" s="873"/>
      <c r="M34" s="861"/>
      <c r="N34" s="861"/>
      <c r="O34" s="861"/>
      <c r="P34" s="3060"/>
      <c r="Q34" s="492" t="str">
        <f t="shared" si="11"/>
        <v>建筑结构</v>
      </c>
      <c r="R34" s="904" t="s">
        <v>1254</v>
      </c>
      <c r="S34" s="905">
        <f t="shared" si="12"/>
        <v>100</v>
      </c>
      <c r="T34" s="904" t="s">
        <v>1254</v>
      </c>
      <c r="U34" s="905">
        <f t="shared" si="13"/>
        <v>100</v>
      </c>
      <c r="V34" s="904" t="s">
        <v>1254</v>
      </c>
      <c r="W34" s="905">
        <f t="shared" si="14"/>
        <v>100</v>
      </c>
      <c r="X34" s="898"/>
      <c r="Y34" s="3031"/>
      <c r="Z34" s="833" t="str">
        <f t="shared" si="15"/>
        <v>建筑结构</v>
      </c>
      <c r="AA34" s="915">
        <f t="shared" si="3"/>
        <v>1</v>
      </c>
      <c r="AB34" s="915">
        <f t="shared" si="4"/>
        <v>1</v>
      </c>
      <c r="AC34" s="915">
        <f t="shared" si="5"/>
        <v>1</v>
      </c>
    </row>
    <row r="35" spans="1:29" ht="15">
      <c r="A35" s="792"/>
      <c r="B35" s="741" t="s">
        <v>1282</v>
      </c>
      <c r="C35" s="796"/>
      <c r="D35" s="753">
        <v>100</v>
      </c>
      <c r="E35" s="796"/>
      <c r="F35" s="1103">
        <f>SUMIF(107:107,E35,108:108)-SUMIF(107:107,C35,108:108)+100</f>
        <v>100</v>
      </c>
      <c r="G35" s="796"/>
      <c r="H35" s="753">
        <f>SUMIF(107:107,G35,108:108)-SUMIF(107:107,C35,108:108)+100</f>
        <v>100</v>
      </c>
      <c r="I35" s="796"/>
      <c r="J35" s="753">
        <f>SUMIF(107:107,I35,108:108)-SUMIF(107:107,C35,108:108)+100</f>
        <v>100</v>
      </c>
      <c r="K35" s="879"/>
      <c r="L35" s="873"/>
      <c r="M35" s="861"/>
      <c r="N35" s="861"/>
      <c r="O35" s="861"/>
      <c r="P35" s="3060"/>
      <c r="Q35" s="492" t="str">
        <f t="shared" si="11"/>
        <v>公共部分装修</v>
      </c>
      <c r="R35" s="904" t="s">
        <v>1254</v>
      </c>
      <c r="S35" s="905">
        <f t="shared" si="12"/>
        <v>100</v>
      </c>
      <c r="T35" s="904" t="s">
        <v>1254</v>
      </c>
      <c r="U35" s="905">
        <f t="shared" si="13"/>
        <v>100</v>
      </c>
      <c r="V35" s="904" t="s">
        <v>1254</v>
      </c>
      <c r="W35" s="905">
        <f t="shared" si="14"/>
        <v>100</v>
      </c>
      <c r="X35" s="898"/>
      <c r="Y35" s="3031"/>
      <c r="Z35" s="833" t="str">
        <f t="shared" si="15"/>
        <v>公共部分装修</v>
      </c>
      <c r="AA35" s="915">
        <f t="shared" si="3"/>
        <v>1</v>
      </c>
      <c r="AB35" s="915">
        <f t="shared" si="4"/>
        <v>1</v>
      </c>
      <c r="AC35" s="915">
        <f t="shared" si="5"/>
        <v>1</v>
      </c>
    </row>
    <row r="36" spans="1:29" ht="15">
      <c r="A36" s="792"/>
      <c r="B36" s="741" t="s">
        <v>1284</v>
      </c>
      <c r="C36" s="1110"/>
      <c r="D36" s="753">
        <v>100</v>
      </c>
      <c r="E36" s="1110"/>
      <c r="F36" s="1103" t="e">
        <f>LOOKUP(E36,110:110,111:111)-LOOKUP(C36,110:110,111:111)+100</f>
        <v>#N/A</v>
      </c>
      <c r="G36" s="1110"/>
      <c r="H36" s="1103" t="e">
        <f>LOOKUP(G36,110:110,111:111)-LOOKUP(C36,110:110,111:111)+100</f>
        <v>#N/A</v>
      </c>
      <c r="I36" s="1110"/>
      <c r="J36" s="753" t="e">
        <f>LOOKUP(I36,110:110,111:111)-LOOKUP(C36,110:110,111:111)+100</f>
        <v>#N/A</v>
      </c>
      <c r="K36" s="879"/>
      <c r="L36" s="873"/>
      <c r="M36" s="861"/>
      <c r="N36" s="861"/>
      <c r="O36" s="861"/>
      <c r="P36" s="3060"/>
      <c r="Q36" s="492" t="str">
        <f t="shared" si="11"/>
        <v>成新度</v>
      </c>
      <c r="R36" s="904" t="s">
        <v>1254</v>
      </c>
      <c r="S36" s="905" t="e">
        <f t="shared" si="12"/>
        <v>#N/A</v>
      </c>
      <c r="T36" s="904" t="s">
        <v>1254</v>
      </c>
      <c r="U36" s="905" t="e">
        <f t="shared" si="13"/>
        <v>#N/A</v>
      </c>
      <c r="V36" s="904" t="s">
        <v>1254</v>
      </c>
      <c r="W36" s="905" t="e">
        <f t="shared" si="14"/>
        <v>#N/A</v>
      </c>
      <c r="X36" s="898"/>
      <c r="Y36" s="3031"/>
      <c r="Z36" s="833" t="str">
        <f t="shared" si="15"/>
        <v>成新度</v>
      </c>
      <c r="AA36" s="915" t="e">
        <f t="shared" si="3"/>
        <v>#N/A</v>
      </c>
      <c r="AB36" s="915" t="e">
        <f t="shared" si="4"/>
        <v>#N/A</v>
      </c>
      <c r="AC36" s="915" t="e">
        <f t="shared" si="5"/>
        <v>#N/A</v>
      </c>
    </row>
    <row r="37" spans="1:29" s="703" customFormat="1" ht="15">
      <c r="A37" s="797"/>
      <c r="B37" s="741" t="s">
        <v>1289</v>
      </c>
      <c r="C37" s="796"/>
      <c r="D37" s="743">
        <v>100</v>
      </c>
      <c r="E37" s="796"/>
      <c r="F37" s="1103">
        <f>SUMIF(112:112,E37,113:113)-SUMIF(112:112,C37,113:113)+100</f>
        <v>100</v>
      </c>
      <c r="G37" s="796"/>
      <c r="H37" s="753">
        <f>SUMIF(112:112,G37,113:113)-SUMIF(112:112,C37,113:113)+100</f>
        <v>100</v>
      </c>
      <c r="I37" s="796"/>
      <c r="J37" s="753">
        <f>SUMIF(112:112,I37,113:113)-SUMIF(112:112,C37,113:113)+100</f>
        <v>100</v>
      </c>
      <c r="K37" s="879"/>
      <c r="L37" s="863"/>
      <c r="M37" s="864"/>
      <c r="N37" s="864"/>
      <c r="O37" s="864"/>
      <c r="P37" s="3060"/>
      <c r="Q37" s="903" t="str">
        <f t="shared" si="11"/>
        <v>市政基础设施</v>
      </c>
      <c r="R37" s="900" t="s">
        <v>1254</v>
      </c>
      <c r="S37" s="901">
        <f t="shared" si="12"/>
        <v>100</v>
      </c>
      <c r="T37" s="900" t="s">
        <v>1254</v>
      </c>
      <c r="U37" s="901">
        <f t="shared" si="13"/>
        <v>100</v>
      </c>
      <c r="V37" s="900" t="s">
        <v>1254</v>
      </c>
      <c r="W37" s="901">
        <f t="shared" si="14"/>
        <v>100</v>
      </c>
      <c r="X37" s="902"/>
      <c r="Y37" s="3031"/>
      <c r="Z37" s="914" t="str">
        <f t="shared" si="15"/>
        <v>市政基础设施</v>
      </c>
      <c r="AA37" s="913">
        <f t="shared" si="3"/>
        <v>1</v>
      </c>
      <c r="AB37" s="913">
        <f t="shared" si="4"/>
        <v>1</v>
      </c>
      <c r="AC37" s="913">
        <f t="shared" si="5"/>
        <v>1</v>
      </c>
    </row>
    <row r="38" spans="1:29" ht="15">
      <c r="A38" s="792"/>
      <c r="B38" s="741" t="s">
        <v>1404</v>
      </c>
      <c r="C38" s="796"/>
      <c r="D38" s="753">
        <v>100</v>
      </c>
      <c r="E38" s="796"/>
      <c r="F38" s="1103">
        <f>SUMIF(114:114,E38,115:115)-SUMIF(114:114,C38,115:115)+100</f>
        <v>100</v>
      </c>
      <c r="G38" s="796"/>
      <c r="H38" s="753">
        <f>SUMIF(114:114,G38,115:115)-SUMIF(114:114,C38,115:115)+100</f>
        <v>100</v>
      </c>
      <c r="I38" s="796"/>
      <c r="J38" s="753">
        <f>SUMIF(114:114,I38,115:115)-SUMIF(114:114,C38,115:115)+100</f>
        <v>100</v>
      </c>
      <c r="K38" s="879"/>
      <c r="L38" s="873"/>
      <c r="M38" s="861"/>
      <c r="N38" s="861"/>
      <c r="O38" s="861"/>
      <c r="P38" s="3060" t="s">
        <v>1279</v>
      </c>
      <c r="Q38" s="492" t="str">
        <f t="shared" si="11"/>
        <v>业态</v>
      </c>
      <c r="R38" s="904" t="s">
        <v>1254</v>
      </c>
      <c r="S38" s="905">
        <f t="shared" si="12"/>
        <v>100</v>
      </c>
      <c r="T38" s="904" t="s">
        <v>1254</v>
      </c>
      <c r="U38" s="905">
        <f t="shared" si="13"/>
        <v>100</v>
      </c>
      <c r="V38" s="904" t="s">
        <v>1254</v>
      </c>
      <c r="W38" s="905">
        <f t="shared" si="14"/>
        <v>100</v>
      </c>
      <c r="X38" s="898"/>
      <c r="Y38" s="3031" t="s">
        <v>1279</v>
      </c>
      <c r="Z38" s="833" t="str">
        <f t="shared" si="15"/>
        <v>业态</v>
      </c>
      <c r="AA38" s="915">
        <f t="shared" si="3"/>
        <v>1</v>
      </c>
      <c r="AB38" s="915">
        <f t="shared" si="4"/>
        <v>1</v>
      </c>
      <c r="AC38" s="915">
        <f t="shared" si="5"/>
        <v>1</v>
      </c>
    </row>
    <row r="39" spans="1:29" ht="15">
      <c r="A39" s="792"/>
      <c r="B39" s="741" t="s">
        <v>1291</v>
      </c>
      <c r="C39" s="796"/>
      <c r="D39" s="753">
        <v>100</v>
      </c>
      <c r="E39" s="796"/>
      <c r="F39" s="1103">
        <f>SUMIF(116:116,E39,117:117)-SUMIF(116:116,C39,117:117)+100</f>
        <v>100</v>
      </c>
      <c r="G39" s="796"/>
      <c r="H39" s="753">
        <f>SUMIF(116:116,G39,117:117)-SUMIF(116:116,C39,117:117)+100</f>
        <v>100</v>
      </c>
      <c r="I39" s="796"/>
      <c r="J39" s="753">
        <f>SUMIF(116:116,I39,117:117)-SUMIF(116:116,C39,117:117)+100</f>
        <v>100</v>
      </c>
      <c r="K39" s="879"/>
      <c r="L39" s="873"/>
      <c r="M39" s="861"/>
      <c r="N39" s="861"/>
      <c r="O39" s="861"/>
      <c r="P39" s="3060"/>
      <c r="Q39" s="492" t="str">
        <f t="shared" si="11"/>
        <v>层高</v>
      </c>
      <c r="R39" s="904" t="s">
        <v>1254</v>
      </c>
      <c r="S39" s="905">
        <f t="shared" si="12"/>
        <v>100</v>
      </c>
      <c r="T39" s="904" t="s">
        <v>1254</v>
      </c>
      <c r="U39" s="905">
        <f t="shared" si="13"/>
        <v>100</v>
      </c>
      <c r="V39" s="904" t="s">
        <v>1254</v>
      </c>
      <c r="W39" s="905">
        <f t="shared" si="14"/>
        <v>100</v>
      </c>
      <c r="X39" s="898"/>
      <c r="Y39" s="3031"/>
      <c r="Z39" s="833" t="str">
        <f t="shared" si="15"/>
        <v>层高</v>
      </c>
      <c r="AA39" s="915">
        <f t="shared" si="3"/>
        <v>1</v>
      </c>
      <c r="AB39" s="915">
        <f t="shared" si="4"/>
        <v>1</v>
      </c>
      <c r="AC39" s="915">
        <f t="shared" si="5"/>
        <v>1</v>
      </c>
    </row>
    <row r="40" spans="1:29" ht="15">
      <c r="A40" s="792"/>
      <c r="B40" s="741" t="s">
        <v>1329</v>
      </c>
      <c r="C40" s="1254"/>
      <c r="D40" s="753">
        <v>100</v>
      </c>
      <c r="E40" s="1255"/>
      <c r="F40" s="1103">
        <f>SUMIF(118:118,E40,119:119)-SUMIF(118:118,C40,119:119)+100</f>
        <v>100</v>
      </c>
      <c r="G40" s="1255"/>
      <c r="H40" s="753">
        <f>SUMIF(118:118,G40,119:119)-SUMIF(118:118,C40,119:119)+100</f>
        <v>100</v>
      </c>
      <c r="I40" s="1255"/>
      <c r="J40" s="753">
        <f>SUMIF(118:118,I40,119:119)-SUMIF(118:118,C40,119:119)+100</f>
        <v>100</v>
      </c>
      <c r="K40" s="878"/>
      <c r="L40" s="873"/>
      <c r="M40" s="861"/>
      <c r="N40" s="861"/>
      <c r="O40" s="861"/>
      <c r="P40" s="3060"/>
      <c r="Q40" s="492" t="str">
        <f t="shared" si="11"/>
        <v>单套建筑面积</v>
      </c>
      <c r="R40" s="904" t="s">
        <v>1254</v>
      </c>
      <c r="S40" s="905">
        <f t="shared" si="12"/>
        <v>100</v>
      </c>
      <c r="T40" s="904" t="s">
        <v>1254</v>
      </c>
      <c r="U40" s="905">
        <f t="shared" si="13"/>
        <v>100</v>
      </c>
      <c r="V40" s="904" t="s">
        <v>1254</v>
      </c>
      <c r="W40" s="905">
        <f t="shared" si="14"/>
        <v>100</v>
      </c>
      <c r="X40" s="898"/>
      <c r="Y40" s="3031"/>
      <c r="Z40" s="833" t="str">
        <f t="shared" si="15"/>
        <v>单套建筑面积</v>
      </c>
      <c r="AA40" s="915">
        <f t="shared" si="3"/>
        <v>1</v>
      </c>
      <c r="AB40" s="915">
        <f t="shared" si="4"/>
        <v>1</v>
      </c>
      <c r="AC40" s="915">
        <f t="shared" si="5"/>
        <v>1</v>
      </c>
    </row>
    <row r="41" spans="1:29" s="705" customFormat="1" ht="15">
      <c r="A41" s="800"/>
      <c r="B41" s="888" t="s">
        <v>1405</v>
      </c>
      <c r="C41" s="778"/>
      <c r="D41" s="753">
        <v>100</v>
      </c>
      <c r="E41" s="778"/>
      <c r="F41" s="1103">
        <f>SUMIF(120:120,E41,121:121)-SUMIF(120:120,C41,121:121)+100</f>
        <v>100</v>
      </c>
      <c r="G41" s="778"/>
      <c r="H41" s="753">
        <f>SUMIF(120:120,G41,121:121)-SUMIF(120:120,C41,121:121)+100</f>
        <v>100</v>
      </c>
      <c r="I41" s="778"/>
      <c r="J41" s="753">
        <f>SUMIF(120:120,I41,121:121)-SUMIF(120:120,C41,121:121)+100</f>
        <v>100</v>
      </c>
      <c r="K41" s="879"/>
      <c r="L41" s="871"/>
      <c r="M41" s="880"/>
      <c r="N41" s="880"/>
      <c r="O41" s="880"/>
      <c r="P41" s="3060"/>
      <c r="Q41" s="1147" t="str">
        <f t="shared" si="11"/>
        <v>进深比</v>
      </c>
      <c r="R41" s="906" t="s">
        <v>1254</v>
      </c>
      <c r="S41" s="907">
        <f t="shared" si="12"/>
        <v>100</v>
      </c>
      <c r="T41" s="906" t="s">
        <v>1254</v>
      </c>
      <c r="U41" s="907">
        <f t="shared" si="13"/>
        <v>100</v>
      </c>
      <c r="V41" s="906" t="s">
        <v>1254</v>
      </c>
      <c r="W41" s="907">
        <f t="shared" si="14"/>
        <v>100</v>
      </c>
      <c r="X41" s="908"/>
      <c r="Y41" s="3031"/>
      <c r="Z41" s="916" t="str">
        <f t="shared" si="15"/>
        <v>进深比</v>
      </c>
      <c r="AA41" s="915">
        <f t="shared" si="3"/>
        <v>1</v>
      </c>
      <c r="AB41" s="915">
        <f t="shared" si="4"/>
        <v>1</v>
      </c>
      <c r="AC41" s="915">
        <f t="shared" si="5"/>
        <v>1</v>
      </c>
    </row>
    <row r="42" spans="1:29" ht="15">
      <c r="A42" s="792"/>
      <c r="B42" s="741" t="s">
        <v>1293</v>
      </c>
      <c r="C42" s="796"/>
      <c r="D42" s="753">
        <v>100</v>
      </c>
      <c r="E42" s="796"/>
      <c r="F42" s="1103">
        <f>SUMIF(122:122,E42,123:123)-SUMIF(122:122,C42,123:123)+100</f>
        <v>100</v>
      </c>
      <c r="G42" s="796"/>
      <c r="H42" s="753">
        <f>SUMIF(122:122,G42,123:123)-SUMIF(122:122,C42,123:123)+100</f>
        <v>100</v>
      </c>
      <c r="I42" s="796"/>
      <c r="J42" s="753">
        <f>SUMIF(122:122,I42,123:123)-SUMIF(122:122,C42,123:123)+100</f>
        <v>100</v>
      </c>
      <c r="K42" s="879"/>
      <c r="L42" s="873"/>
      <c r="M42" s="861"/>
      <c r="N42" s="861"/>
      <c r="O42" s="861"/>
      <c r="P42" s="3060"/>
      <c r="Q42" s="492" t="str">
        <f t="shared" si="11"/>
        <v>内部装修</v>
      </c>
      <c r="R42" s="904" t="s">
        <v>1254</v>
      </c>
      <c r="S42" s="905">
        <f t="shared" si="12"/>
        <v>100</v>
      </c>
      <c r="T42" s="904" t="s">
        <v>1254</v>
      </c>
      <c r="U42" s="905">
        <f t="shared" si="13"/>
        <v>100</v>
      </c>
      <c r="V42" s="904" t="s">
        <v>1254</v>
      </c>
      <c r="W42" s="905">
        <f t="shared" si="14"/>
        <v>100</v>
      </c>
      <c r="X42" s="898"/>
      <c r="Y42" s="3031"/>
      <c r="Z42" s="833" t="str">
        <f t="shared" si="15"/>
        <v>内部装修</v>
      </c>
      <c r="AA42" s="915">
        <f t="shared" si="3"/>
        <v>1</v>
      </c>
      <c r="AB42" s="915">
        <f t="shared" si="4"/>
        <v>1</v>
      </c>
      <c r="AC42" s="915">
        <f t="shared" si="5"/>
        <v>1</v>
      </c>
    </row>
    <row r="43" spans="1:29" ht="15">
      <c r="A43" s="792"/>
      <c r="B43" s="741" t="s">
        <v>217</v>
      </c>
      <c r="C43" s="796"/>
      <c r="D43" s="753">
        <v>100</v>
      </c>
      <c r="E43" s="796"/>
      <c r="F43" s="1103">
        <f>SUMIF(124:124,E43,125:125)-SUMIF(124:124,C43,125:125)+100</f>
        <v>100</v>
      </c>
      <c r="G43" s="796"/>
      <c r="H43" s="753">
        <f>SUMIF(124:124,G43,125:125)-SUMIF(124:124,C43,125:125)+100</f>
        <v>100</v>
      </c>
      <c r="I43" s="796"/>
      <c r="J43" s="753">
        <f>SUMIF(124:124,I43,125:125)-SUMIF(124:124,C43,125:125)+100</f>
        <v>100</v>
      </c>
      <c r="K43" s="879"/>
      <c r="L43" s="873"/>
      <c r="M43" s="861"/>
      <c r="N43" s="861"/>
      <c r="O43" s="861"/>
      <c r="P43" s="3060"/>
      <c r="Q43" s="492" t="str">
        <f t="shared" si="11"/>
        <v>内部装修维护情况</v>
      </c>
      <c r="R43" s="904" t="s">
        <v>1254</v>
      </c>
      <c r="S43" s="905">
        <f t="shared" si="12"/>
        <v>100</v>
      </c>
      <c r="T43" s="904" t="s">
        <v>1254</v>
      </c>
      <c r="U43" s="905">
        <f t="shared" si="13"/>
        <v>100</v>
      </c>
      <c r="V43" s="904" t="s">
        <v>1254</v>
      </c>
      <c r="W43" s="905">
        <f t="shared" si="14"/>
        <v>100</v>
      </c>
      <c r="X43" s="898"/>
      <c r="Y43" s="3031"/>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752"/>
      <c r="F44" s="1240">
        <f>SUMIF(126:126,E44,127:127)-SUMIF(126:126,C44,127:127)+100</f>
        <v>100</v>
      </c>
      <c r="G44" s="752"/>
      <c r="H44" s="743">
        <f>SUMIF(126:126,G44,127:127)-SUMIF(126:126,C44,127:127)+100</f>
        <v>100</v>
      </c>
      <c r="I44" s="752"/>
      <c r="J44" s="743">
        <f>SUMIF(126:126,I44,127:127)-SUMIF(126:126,C44,127:127)+100</f>
        <v>100</v>
      </c>
      <c r="K44" s="878"/>
      <c r="L44" s="863"/>
      <c r="M44" s="864"/>
      <c r="N44" s="864"/>
      <c r="O44" s="864"/>
      <c r="P44" s="3060"/>
      <c r="Q44" s="903">
        <f t="shared" si="11"/>
        <v>111</v>
      </c>
      <c r="R44" s="900" t="s">
        <v>1254</v>
      </c>
      <c r="S44" s="901">
        <f t="shared" si="12"/>
        <v>100</v>
      </c>
      <c r="T44" s="900" t="s">
        <v>1254</v>
      </c>
      <c r="U44" s="901">
        <f t="shared" si="13"/>
        <v>100</v>
      </c>
      <c r="V44" s="900" t="s">
        <v>1254</v>
      </c>
      <c r="W44" s="901">
        <f t="shared" si="14"/>
        <v>100</v>
      </c>
      <c r="X44" s="902"/>
      <c r="Y44" s="3031"/>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878"/>
      <c r="L45" s="873"/>
      <c r="M45" s="861"/>
      <c r="N45" s="861"/>
      <c r="O45" s="861"/>
      <c r="P45" s="3060"/>
      <c r="Q45" s="492">
        <f t="shared" si="11"/>
        <v>111</v>
      </c>
      <c r="R45" s="904" t="s">
        <v>1254</v>
      </c>
      <c r="S45" s="905">
        <f t="shared" si="12"/>
        <v>100</v>
      </c>
      <c r="T45" s="904" t="s">
        <v>1254</v>
      </c>
      <c r="U45" s="905">
        <f t="shared" si="13"/>
        <v>100</v>
      </c>
      <c r="V45" s="904" t="s">
        <v>1254</v>
      </c>
      <c r="W45" s="905">
        <f t="shared" si="14"/>
        <v>100</v>
      </c>
      <c r="X45" s="898"/>
      <c r="Y45" s="3031"/>
      <c r="Z45" s="833">
        <f t="shared" si="15"/>
        <v>111</v>
      </c>
      <c r="AA45" s="915">
        <f t="shared" si="3"/>
        <v>1</v>
      </c>
      <c r="AB45" s="915">
        <f t="shared" si="4"/>
        <v>1</v>
      </c>
      <c r="AC45" s="915">
        <f t="shared" si="5"/>
        <v>1</v>
      </c>
    </row>
    <row r="46" spans="1:29" ht="15">
      <c r="A46" s="1115"/>
      <c r="B46" s="755">
        <v>111</v>
      </c>
      <c r="C46" s="756"/>
      <c r="D46" s="757">
        <v>100</v>
      </c>
      <c r="E46" s="752"/>
      <c r="F46" s="1117">
        <f>SUMIF(130:130,E46,131:131)-SUMIF(130:130,C46,131:131)+100</f>
        <v>100</v>
      </c>
      <c r="G46" s="752"/>
      <c r="H46" s="757">
        <f>SUMIF(130:130,G46,131:131)-SUMIF(130:130,C46,131:131)+100</f>
        <v>100</v>
      </c>
      <c r="I46" s="752"/>
      <c r="J46" s="757">
        <f>SUMIF(130:130,I46,131:131)-SUMIF(130:130,C46,131:131)+100</f>
        <v>100</v>
      </c>
      <c r="K46" s="878"/>
      <c r="L46" s="873"/>
      <c r="M46" s="861"/>
      <c r="N46" s="861"/>
      <c r="O46" s="861"/>
      <c r="P46" s="3061"/>
      <c r="Q46" s="492">
        <f t="shared" si="11"/>
        <v>111</v>
      </c>
      <c r="R46" s="904" t="s">
        <v>1254</v>
      </c>
      <c r="S46" s="905">
        <f t="shared" si="12"/>
        <v>100</v>
      </c>
      <c r="T46" s="904" t="s">
        <v>1254</v>
      </c>
      <c r="U46" s="905">
        <f t="shared" si="13"/>
        <v>100</v>
      </c>
      <c r="V46" s="904" t="s">
        <v>1254</v>
      </c>
      <c r="W46" s="905">
        <f t="shared" si="14"/>
        <v>100</v>
      </c>
      <c r="X46" s="898"/>
      <c r="Y46" s="3032"/>
      <c r="Z46" s="833">
        <f t="shared" si="15"/>
        <v>111</v>
      </c>
      <c r="AA46" s="915">
        <f t="shared" si="3"/>
        <v>1</v>
      </c>
      <c r="AB46" s="915">
        <f t="shared" si="4"/>
        <v>1</v>
      </c>
      <c r="AC46" s="915">
        <f t="shared" si="5"/>
        <v>1</v>
      </c>
    </row>
    <row r="47" spans="1:29" ht="15">
      <c r="A47" s="802" t="s">
        <v>1294</v>
      </c>
      <c r="B47" s="1118"/>
      <c r="C47" s="1119" t="s">
        <v>121</v>
      </c>
      <c r="D47" s="1120"/>
      <c r="E47" s="1121"/>
      <c r="F47" s="1122"/>
      <c r="G47" s="1123"/>
      <c r="H47" s="1124"/>
      <c r="I47" s="1121"/>
      <c r="J47" s="1124"/>
      <c r="K47" s="884"/>
      <c r="L47" s="885"/>
      <c r="M47" s="819"/>
      <c r="N47" s="861"/>
      <c r="O47" s="819"/>
      <c r="P47" s="3022" t="str">
        <f>A47</f>
        <v>成交单价（元/平方米）</v>
      </c>
      <c r="Q47" s="3022"/>
      <c r="R47" s="3023">
        <f>E47</f>
        <v>0</v>
      </c>
      <c r="S47" s="3023"/>
      <c r="T47" s="3023">
        <f>G47</f>
        <v>0</v>
      </c>
      <c r="U47" s="3023"/>
      <c r="V47" s="3023">
        <f>I47</f>
        <v>0</v>
      </c>
      <c r="W47" s="3023"/>
      <c r="X47" s="849"/>
      <c r="Y47" s="917"/>
      <c r="Z47" s="849"/>
      <c r="AA47" s="849"/>
      <c r="AB47" s="849"/>
      <c r="AC47" s="849"/>
    </row>
    <row r="48" spans="1:29" ht="15">
      <c r="A48" s="810" t="s">
        <v>1295</v>
      </c>
      <c r="B48" s="1125"/>
      <c r="C48" s="1126" t="e">
        <f>R49</f>
        <v>#DIV/0!</v>
      </c>
      <c r="D48" s="1127"/>
      <c r="E48" s="1128" t="e">
        <f>R48</f>
        <v>#DIV/0!</v>
      </c>
      <c r="F48" s="1128"/>
      <c r="G48" s="1126" t="e">
        <f>T48</f>
        <v>#DIV/0!</v>
      </c>
      <c r="H48" s="1127"/>
      <c r="I48" s="1128" t="e">
        <f>V48</f>
        <v>#DIV/0!</v>
      </c>
      <c r="J48" s="1127"/>
      <c r="K48" s="886"/>
      <c r="L48" s="885"/>
      <c r="M48" s="819"/>
      <c r="N48" s="861"/>
      <c r="O48" s="819"/>
      <c r="P48" s="3022" t="str">
        <f>A48</f>
        <v>比较价值（元/平方米）</v>
      </c>
      <c r="Q48" s="3022"/>
      <c r="R48" s="3023" t="e">
        <f>IF(E1="售价",ROUND(PRODUCT(R47,AA7:AA46),0),ROUND(PRODUCT(R47,AA7:AA46),1))</f>
        <v>#DIV/0!</v>
      </c>
      <c r="S48" s="3023"/>
      <c r="T48" s="3023" t="e">
        <f>IF(E1="售价",ROUND(PRODUCT(T47,AB7:AB46),0),ROUND(PRODUCT(T47,AB7:AB46),1))</f>
        <v>#DIV/0!</v>
      </c>
      <c r="U48" s="3023"/>
      <c r="V48" s="3023" t="e">
        <f>IF(E1="售价",ROUND(PRODUCT(V47,AC7:AC46),0),ROUND(PRODUCT(V47,AC7:AC46),1))</f>
        <v>#DIV/0!</v>
      </c>
      <c r="W48" s="3023"/>
      <c r="X48" s="849"/>
      <c r="Y48" s="849"/>
      <c r="Z48" s="849"/>
      <c r="AA48" s="849"/>
      <c r="AB48" s="849"/>
      <c r="AC48" s="849"/>
    </row>
    <row r="49" spans="1:29" ht="15">
      <c r="A49" s="816" t="s">
        <v>1406</v>
      </c>
      <c r="B49" s="817"/>
      <c r="C49" s="1129" t="e">
        <f>R49</f>
        <v>#DIV/0!</v>
      </c>
      <c r="D49" s="1129"/>
      <c r="E49" s="1129"/>
      <c r="F49" s="1129"/>
      <c r="G49" s="1129"/>
      <c r="H49" s="1129"/>
      <c r="I49" s="1129"/>
      <c r="J49" s="1129"/>
      <c r="K49" s="887"/>
      <c r="L49" s="885"/>
      <c r="M49" s="819"/>
      <c r="N49" s="861"/>
      <c r="O49" s="819"/>
      <c r="P49" s="3064" t="str">
        <f>A49</f>
        <v>估价对象XX用房的比较价值（楼面单价，元/平方米）</v>
      </c>
      <c r="Q49" s="3021"/>
      <c r="R49" s="3034" t="e">
        <f>IF(E1="售价",ROUND(AVERAGE(R48:V48),0),ROUND(AVERAGE(R48:V48),1))</f>
        <v>#DIV/0!</v>
      </c>
      <c r="S49" s="3034"/>
      <c r="T49" s="3034"/>
      <c r="U49" s="3034"/>
      <c r="V49" s="3034"/>
      <c r="W49" s="3034"/>
      <c r="X49" s="849"/>
      <c r="Y49" s="849"/>
      <c r="Z49" s="849"/>
      <c r="AA49" s="849"/>
      <c r="AB49" s="849"/>
      <c r="AC49" s="849"/>
    </row>
    <row r="50" spans="1:29">
      <c r="A50" s="819"/>
      <c r="B50" s="819"/>
      <c r="C50" s="819"/>
      <c r="D50" s="819"/>
      <c r="E50" s="819"/>
      <c r="F50" s="819"/>
      <c r="G50" s="820"/>
      <c r="H50" s="819"/>
      <c r="I50" s="819"/>
      <c r="J50" s="819"/>
      <c r="K50" s="889"/>
      <c r="L50" s="890"/>
      <c r="M50" s="819"/>
      <c r="N50" s="819"/>
      <c r="O50" s="819"/>
      <c r="P50" s="1259"/>
      <c r="Q50" s="819"/>
      <c r="R50" s="819"/>
      <c r="S50" s="819"/>
      <c r="T50" s="819"/>
      <c r="U50" s="819"/>
      <c r="V50" s="819"/>
      <c r="W50" s="819"/>
      <c r="X50" s="819"/>
      <c r="Y50" s="819"/>
      <c r="Z50" s="819"/>
      <c r="AA50" s="819"/>
      <c r="AB50" s="819"/>
      <c r="AC50" s="819"/>
    </row>
    <row r="51" spans="1:29">
      <c r="A51" s="819"/>
      <c r="B51" s="819"/>
      <c r="C51" s="819"/>
      <c r="D51" s="819"/>
      <c r="E51" s="819"/>
      <c r="F51" s="819"/>
      <c r="G51" s="819"/>
      <c r="H51" s="819"/>
      <c r="I51" s="819"/>
      <c r="J51" s="819"/>
      <c r="K51" s="889"/>
      <c r="L51" s="890"/>
      <c r="M51" s="819"/>
      <c r="N51" s="819"/>
      <c r="O51" s="819"/>
      <c r="P51" s="1259"/>
      <c r="Q51" s="819"/>
      <c r="R51" s="819"/>
      <c r="S51" s="819"/>
      <c r="T51" s="819"/>
      <c r="U51" s="819"/>
      <c r="V51" s="819"/>
      <c r="W51" s="819"/>
      <c r="X51" s="819"/>
      <c r="Y51" s="819"/>
      <c r="Z51" s="819"/>
      <c r="AA51" s="819"/>
      <c r="AB51" s="819"/>
      <c r="AC51" s="819"/>
    </row>
    <row r="52" spans="1:29" ht="13.5" customHeight="1">
      <c r="A52" s="819"/>
      <c r="B52" s="819"/>
      <c r="C52" s="821" t="s">
        <v>1297</v>
      </c>
      <c r="D52" s="533"/>
      <c r="E52" s="822" t="e">
        <f>IF(E47&lt;E48,E48/E47-1,E47/E48-1)</f>
        <v>#DIV/0!</v>
      </c>
      <c r="F52" s="823" t="e">
        <f>IF(OR(E52&gt;=0.3,E52&lt;=-0.3),"超过30%","")</f>
        <v>#DIV/0!</v>
      </c>
      <c r="G52" s="822" t="e">
        <f>IF(G47&lt;G48,G48/G47-1,G47/G48-1)</f>
        <v>#DIV/0!</v>
      </c>
      <c r="H52" s="823" t="e">
        <f>IF(OR(G52&gt;=0.3,G52&lt;=-0.3),"超过30%","")</f>
        <v>#DIV/0!</v>
      </c>
      <c r="I52" s="822" t="e">
        <f>IF(I47&lt;I48,I48/I47-1,I47/I48-1)</f>
        <v>#DIV/0!</v>
      </c>
      <c r="J52" s="823" t="e">
        <f>IF(OR(I52&gt;=0.3,I52&lt;=-0.3),"超过30%","")</f>
        <v>#DIV/0!</v>
      </c>
      <c r="K52" s="889"/>
      <c r="L52" s="890"/>
      <c r="M52" s="819"/>
      <c r="N52" s="819"/>
      <c r="O52" s="819"/>
      <c r="P52" s="1259"/>
      <c r="Q52" s="819"/>
      <c r="R52" s="819"/>
      <c r="S52" s="819"/>
      <c r="T52" s="819"/>
      <c r="U52" s="819"/>
      <c r="V52" s="819"/>
      <c r="W52" s="819"/>
      <c r="X52" s="819"/>
      <c r="Y52" s="819"/>
      <c r="Z52" s="819"/>
      <c r="AA52" s="819"/>
      <c r="AB52" s="819"/>
      <c r="AC52" s="819"/>
    </row>
    <row r="53" spans="1:29" ht="13.5" customHeight="1">
      <c r="A53" s="819"/>
      <c r="B53" s="819"/>
      <c r="C53" s="821" t="s">
        <v>1298</v>
      </c>
      <c r="D53" s="532"/>
      <c r="E53" s="822" t="e">
        <f>IF(E48&lt;G48,G48/E48-1,E48/G48-1)</f>
        <v>#DIV/0!</v>
      </c>
      <c r="F53" s="823" t="e">
        <f>IF(OR(E53&gt;=0.2,E53&lt;=-0.2),"超过20%","")</f>
        <v>#DIV/0!</v>
      </c>
      <c r="G53" s="822" t="e">
        <f>IF(G48&lt;I48,I48/G48-1,G48/I48-1)</f>
        <v>#DIV/0!</v>
      </c>
      <c r="H53" s="823" t="e">
        <f>IF(OR(G53&gt;=0.2,G53&lt;=-0.2),"超过20%","")</f>
        <v>#DIV/0!</v>
      </c>
      <c r="I53" s="822" t="e">
        <f>IF(I48&lt;E48,E48/I48-1,I48/E48-1)</f>
        <v>#DIV/0!</v>
      </c>
      <c r="J53" s="823" t="e">
        <f>IF(OR(I53&gt;=0.2,I53&lt;=-0.2),"超过20%","")</f>
        <v>#DIV/0!</v>
      </c>
      <c r="K53" s="889"/>
      <c r="L53" s="890"/>
      <c r="M53" s="819"/>
      <c r="N53" s="819"/>
      <c r="O53" s="819"/>
      <c r="P53" s="1259"/>
      <c r="Q53" s="819"/>
      <c r="R53" s="819"/>
      <c r="S53" s="819"/>
      <c r="T53" s="819"/>
      <c r="U53" s="819"/>
      <c r="V53" s="819"/>
      <c r="W53" s="819"/>
      <c r="X53" s="819"/>
      <c r="Y53" s="819"/>
      <c r="Z53" s="819"/>
      <c r="AA53" s="819"/>
      <c r="AB53" s="819"/>
      <c r="AC53" s="819"/>
    </row>
    <row r="54" spans="1:29" s="706" customFormat="1" ht="13.5" customHeight="1">
      <c r="A54" s="824"/>
      <c r="B54" s="824"/>
      <c r="C54" s="821" t="s">
        <v>1299</v>
      </c>
      <c r="D54" s="532"/>
      <c r="E54" s="822" t="e">
        <f>IF(E47&lt;G47,G47/E47-1,E47/G47-1)</f>
        <v>#DIV/0!</v>
      </c>
      <c r="F54" s="823" t="e">
        <f>IF(OR(E54&gt;=0.3,E54&lt;=-0.3),"超过30%","")</f>
        <v>#DIV/0!</v>
      </c>
      <c r="G54" s="822" t="e">
        <f>IF(G47&lt;I47,I47/G47-1,G47/I47-1)</f>
        <v>#DIV/0!</v>
      </c>
      <c r="H54" s="823" t="e">
        <f>IF(OR(G54&gt;=0.3,G54&lt;=-0.3),"超过30%","")</f>
        <v>#DIV/0!</v>
      </c>
      <c r="I54" s="822" t="e">
        <f>IF(I47&lt;E47,E47/I47-1,I47/E47-1)</f>
        <v>#DIV/0!</v>
      </c>
      <c r="J54" s="823" t="e">
        <f>IF(OR(I54&gt;=0.3,I54&lt;=-0.3),"超过30%","")</f>
        <v>#DIV/0!</v>
      </c>
      <c r="K54" s="891"/>
      <c r="L54" s="892"/>
      <c r="M54" s="824"/>
      <c r="N54" s="824"/>
      <c r="O54" s="824"/>
      <c r="P54" s="1260"/>
      <c r="Q54" s="824"/>
      <c r="R54" s="824"/>
      <c r="S54" s="824"/>
      <c r="T54" s="824"/>
      <c r="U54" s="824"/>
      <c r="V54" s="824"/>
      <c r="W54" s="824"/>
      <c r="X54" s="824"/>
      <c r="Y54" s="824"/>
      <c r="Z54" s="824"/>
      <c r="AA54" s="824"/>
      <c r="AB54" s="824"/>
      <c r="AC54" s="824"/>
    </row>
    <row r="55" spans="1:29" s="706" customFormat="1">
      <c r="A55" s="824"/>
      <c r="B55" s="825"/>
      <c r="C55" s="826"/>
      <c r="D55" s="824"/>
      <c r="E55" s="824"/>
      <c r="F55" s="824"/>
      <c r="G55" s="824"/>
      <c r="H55" s="824"/>
      <c r="I55" s="824"/>
      <c r="J55" s="824"/>
      <c r="K55" s="891"/>
      <c r="L55" s="892"/>
      <c r="M55" s="824"/>
      <c r="N55" s="824"/>
      <c r="O55" s="824"/>
      <c r="P55" s="1260"/>
      <c r="Q55" s="824"/>
      <c r="R55" s="824"/>
      <c r="S55" s="824"/>
      <c r="T55" s="824"/>
      <c r="U55" s="824"/>
      <c r="V55" s="824"/>
      <c r="W55" s="824"/>
      <c r="X55" s="824"/>
      <c r="Y55" s="824"/>
      <c r="Z55" s="824"/>
      <c r="AA55" s="824"/>
      <c r="AB55" s="824"/>
      <c r="AC55" s="824"/>
    </row>
    <row r="56" spans="1:29">
      <c r="A56" s="819"/>
      <c r="B56" s="825"/>
      <c r="C56" s="826"/>
      <c r="D56" s="819"/>
      <c r="E56" s="819"/>
      <c r="F56" s="819"/>
      <c r="G56" s="819"/>
      <c r="H56" s="819"/>
      <c r="I56" s="819"/>
      <c r="J56" s="819"/>
      <c r="K56" s="889"/>
      <c r="L56" s="890"/>
      <c r="M56" s="819"/>
      <c r="N56" s="819"/>
      <c r="O56" s="819"/>
      <c r="P56" s="1259"/>
      <c r="Q56" s="819"/>
      <c r="R56" s="819"/>
      <c r="S56" s="819"/>
      <c r="T56" s="819"/>
      <c r="U56" s="819"/>
      <c r="V56" s="819"/>
      <c r="W56" s="819"/>
      <c r="X56" s="819"/>
      <c r="Y56" s="819"/>
      <c r="Z56" s="819"/>
      <c r="AA56" s="819"/>
      <c r="AB56" s="819"/>
      <c r="AC56" s="819"/>
    </row>
    <row r="57" spans="1:29" ht="21">
      <c r="A57" s="848" t="s">
        <v>1300</v>
      </c>
      <c r="B57" s="849"/>
      <c r="C57" s="850"/>
      <c r="D57" s="850"/>
      <c r="E57" s="850"/>
      <c r="F57" s="851"/>
      <c r="G57" s="851"/>
      <c r="H57" s="850"/>
      <c r="I57" s="850"/>
      <c r="J57" s="850"/>
      <c r="K57" s="1143"/>
      <c r="L57" s="896"/>
      <c r="M57" s="894"/>
      <c r="N57" s="894"/>
      <c r="O57" s="894"/>
      <c r="P57" s="1261"/>
      <c r="Q57" s="1266"/>
      <c r="R57" s="819"/>
      <c r="S57" s="819"/>
      <c r="T57" s="819"/>
      <c r="U57" s="819"/>
      <c r="V57" s="819"/>
      <c r="W57" s="819"/>
      <c r="X57" s="819"/>
      <c r="Y57" s="819"/>
      <c r="Z57" s="819"/>
      <c r="AA57" s="819"/>
      <c r="AB57" s="819"/>
      <c r="AC57" s="819"/>
    </row>
    <row r="58" spans="1:29" s="708" customFormat="1" ht="15">
      <c r="A58" s="1130" t="s">
        <v>1252</v>
      </c>
      <c r="B58" s="1131"/>
      <c r="C58" s="1132" t="str">
        <f>YEAR(C7)&amp;"-"&amp;MONTH(C7)</f>
        <v>2019-6</v>
      </c>
      <c r="D58" s="1133">
        <f>EDATE(C58,-1)</f>
        <v>43586</v>
      </c>
      <c r="E58" s="1133">
        <f t="shared" ref="E58:O58" si="16">EDATE(D58,-1)</f>
        <v>43556</v>
      </c>
      <c r="F58" s="1133">
        <f t="shared" si="16"/>
        <v>43525</v>
      </c>
      <c r="G58" s="1133">
        <f t="shared" si="16"/>
        <v>43497</v>
      </c>
      <c r="H58" s="1133">
        <f t="shared" si="16"/>
        <v>43466</v>
      </c>
      <c r="I58" s="1133">
        <f t="shared" si="16"/>
        <v>43435</v>
      </c>
      <c r="J58" s="1133">
        <f t="shared" si="16"/>
        <v>43405</v>
      </c>
      <c r="K58" s="1133">
        <f t="shared" si="16"/>
        <v>43374</v>
      </c>
      <c r="L58" s="1133">
        <f t="shared" si="16"/>
        <v>43344</v>
      </c>
      <c r="M58" s="1133">
        <f t="shared" si="16"/>
        <v>43313</v>
      </c>
      <c r="N58" s="1133">
        <f t="shared" si="16"/>
        <v>43282</v>
      </c>
      <c r="O58" s="1133">
        <f t="shared" si="16"/>
        <v>43252</v>
      </c>
      <c r="P58" s="1262"/>
    </row>
    <row r="59" spans="1:29" s="703" customFormat="1" ht="15">
      <c r="A59" s="1134"/>
      <c r="B59" s="929"/>
      <c r="C59" s="932">
        <v>100</v>
      </c>
      <c r="D59" s="933"/>
      <c r="E59" s="933"/>
      <c r="F59" s="933"/>
      <c r="G59" s="933"/>
      <c r="H59" s="933"/>
      <c r="I59" s="933"/>
      <c r="J59" s="933"/>
      <c r="K59" s="933"/>
      <c r="L59" s="933"/>
      <c r="M59" s="1145"/>
      <c r="N59" s="933"/>
      <c r="O59" s="1145"/>
      <c r="P59" s="1263"/>
    </row>
    <row r="60" spans="1:29" s="703" customFormat="1" ht="15">
      <c r="A60" s="924" t="s">
        <v>1301</v>
      </c>
      <c r="B60" s="925"/>
      <c r="C60" s="926"/>
      <c r="D60" s="927"/>
      <c r="E60" s="927"/>
      <c r="F60" s="927"/>
      <c r="G60" s="927"/>
      <c r="H60" s="927"/>
      <c r="I60" s="927"/>
      <c r="J60" s="927"/>
      <c r="K60" s="927"/>
      <c r="L60" s="927"/>
      <c r="M60" s="976"/>
      <c r="N60" s="927"/>
      <c r="O60" s="976"/>
      <c r="P60" s="1263"/>
      <c r="Q60" s="909"/>
    </row>
    <row r="61" spans="1:29" s="703" customFormat="1" ht="15">
      <c r="A61" s="928" t="s">
        <v>1255</v>
      </c>
      <c r="B61" s="929"/>
      <c r="C61" s="930" t="s">
        <v>1256</v>
      </c>
      <c r="D61" s="931"/>
      <c r="E61" s="931"/>
      <c r="F61" s="931"/>
      <c r="G61" s="931"/>
      <c r="H61" s="931"/>
      <c r="I61" s="931"/>
      <c r="J61" s="931"/>
      <c r="K61" s="931"/>
      <c r="L61" s="978"/>
      <c r="M61" s="979"/>
      <c r="N61" s="980"/>
      <c r="O61" s="980"/>
      <c r="P61" s="1264"/>
      <c r="Q61" s="909"/>
    </row>
    <row r="62" spans="1:29" s="703" customFormat="1" ht="15">
      <c r="A62" s="928"/>
      <c r="B62" s="929"/>
      <c r="C62" s="1256">
        <v>100</v>
      </c>
      <c r="D62" s="933"/>
      <c r="E62" s="933"/>
      <c r="F62" s="933"/>
      <c r="G62" s="933"/>
      <c r="H62" s="933"/>
      <c r="I62" s="933"/>
      <c r="J62" s="933"/>
      <c r="K62" s="933"/>
      <c r="L62" s="933"/>
      <c r="M62" s="982"/>
      <c r="N62" s="980"/>
      <c r="O62" s="980"/>
      <c r="P62" s="1263"/>
      <c r="Q62" s="909"/>
    </row>
    <row r="63" spans="1:29">
      <c r="A63" s="934" t="s">
        <v>1302</v>
      </c>
      <c r="B63" s="935" t="s">
        <v>1260</v>
      </c>
      <c r="C63" s="957">
        <f>C9</f>
        <v>0</v>
      </c>
      <c r="D63" s="882"/>
      <c r="E63" s="882"/>
      <c r="F63" s="882"/>
      <c r="G63" s="882"/>
      <c r="H63" s="882"/>
      <c r="I63" s="882"/>
      <c r="J63" s="882"/>
      <c r="K63" s="983"/>
      <c r="L63" s="984"/>
      <c r="M63" s="985"/>
      <c r="N63" s="986"/>
      <c r="O63" s="986"/>
      <c r="P63" s="1265"/>
      <c r="Q63" s="909"/>
    </row>
    <row r="64" spans="1:29" ht="15">
      <c r="A64" s="936"/>
      <c r="B64" s="937"/>
      <c r="C64" s="938">
        <v>100</v>
      </c>
      <c r="D64" s="938"/>
      <c r="E64" s="938"/>
      <c r="F64" s="938"/>
      <c r="G64" s="938"/>
      <c r="H64" s="938"/>
      <c r="I64" s="938"/>
      <c r="J64" s="938"/>
      <c r="K64" s="938"/>
      <c r="L64" s="938"/>
      <c r="M64" s="988"/>
      <c r="N64" s="989"/>
      <c r="O64" s="989"/>
      <c r="P64" s="1265"/>
      <c r="Q64" s="909"/>
    </row>
    <row r="65" spans="1:17" ht="27">
      <c r="A65" s="936"/>
      <c r="B65" s="939" t="s">
        <v>1263</v>
      </c>
      <c r="C65" s="940" t="s">
        <v>1303</v>
      </c>
      <c r="D65" s="940" t="s">
        <v>1304</v>
      </c>
      <c r="E65" s="940" t="s">
        <v>1305</v>
      </c>
      <c r="F65" s="940" t="s">
        <v>1306</v>
      </c>
      <c r="G65" s="940" t="s">
        <v>1307</v>
      </c>
      <c r="H65" s="940" t="s">
        <v>1308</v>
      </c>
      <c r="I65" s="940" t="s">
        <v>1309</v>
      </c>
      <c r="J65" s="940"/>
      <c r="K65" s="990"/>
      <c r="L65" s="991"/>
      <c r="M65" s="992"/>
      <c r="N65" s="986"/>
      <c r="O65" s="986"/>
      <c r="P65" s="1265"/>
      <c r="Q65" s="909"/>
    </row>
    <row r="66" spans="1:17" ht="15">
      <c r="A66" s="936"/>
      <c r="B66" s="941"/>
      <c r="C66" s="942" t="s">
        <v>1310</v>
      </c>
      <c r="D66" s="942" t="s">
        <v>1310</v>
      </c>
      <c r="E66" s="942" t="s">
        <v>1310</v>
      </c>
      <c r="F66" s="942">
        <v>100</v>
      </c>
      <c r="G66" s="942">
        <f>F66-$K10</f>
        <v>100</v>
      </c>
      <c r="H66" s="942">
        <f>G66-$K10</f>
        <v>100</v>
      </c>
      <c r="I66" s="942">
        <f>H66-$K10</f>
        <v>100</v>
      </c>
      <c r="J66" s="942"/>
      <c r="K66" s="942"/>
      <c r="L66" s="942"/>
      <c r="M66" s="993"/>
      <c r="N66" s="989"/>
      <c r="O66" s="989"/>
      <c r="P66" s="1265"/>
      <c r="Q66" s="909"/>
    </row>
    <row r="67" spans="1:17" ht="15">
      <c r="A67" s="936"/>
      <c r="B67" s="943" t="s">
        <v>1265</v>
      </c>
      <c r="C67" s="944" t="str">
        <f>C68&amp;"（含）"&amp;"-"&amp;D68</f>
        <v>（含）-</v>
      </c>
      <c r="D67" s="944" t="str">
        <f t="shared" ref="D67:L67" si="17">D68&amp;"（含）"&amp;"-"&amp;E68</f>
        <v>（含）-</v>
      </c>
      <c r="E67" s="944" t="str">
        <f t="shared" si="17"/>
        <v>（含）-</v>
      </c>
      <c r="F67" s="944" t="str">
        <f t="shared" si="17"/>
        <v>（含）-</v>
      </c>
      <c r="G67" s="944" t="str">
        <f t="shared" si="17"/>
        <v>（含）-</v>
      </c>
      <c r="H67" s="944" t="str">
        <f t="shared" si="17"/>
        <v>（含）-</v>
      </c>
      <c r="I67" s="944" t="str">
        <f t="shared" si="17"/>
        <v>（含）-</v>
      </c>
      <c r="J67" s="944" t="str">
        <f t="shared" si="17"/>
        <v>（含）-</v>
      </c>
      <c r="K67" s="944" t="str">
        <f t="shared" si="17"/>
        <v>（含）-</v>
      </c>
      <c r="L67" s="944" t="str">
        <f t="shared" si="17"/>
        <v>（含）-</v>
      </c>
      <c r="M67" s="765" t="str">
        <f>M68&amp;"（含）"&amp;"-"&amp;P68</f>
        <v>（含）-</v>
      </c>
      <c r="N67" s="989"/>
      <c r="O67" s="989"/>
      <c r="P67" s="1265"/>
      <c r="Q67" s="909"/>
    </row>
    <row r="68" spans="1:17" ht="15">
      <c r="A68" s="936"/>
      <c r="B68" s="945"/>
      <c r="C68" s="750"/>
      <c r="D68" s="750"/>
      <c r="E68" s="750"/>
      <c r="F68" s="750"/>
      <c r="G68" s="750"/>
      <c r="H68" s="750"/>
      <c r="I68" s="750"/>
      <c r="J68" s="750"/>
      <c r="K68" s="994"/>
      <c r="L68" s="995"/>
      <c r="M68" s="996"/>
      <c r="N68" s="986"/>
      <c r="O68" s="986"/>
      <c r="P68" s="1265"/>
      <c r="Q68" s="909"/>
    </row>
    <row r="69" spans="1:17" ht="15">
      <c r="A69" s="936"/>
      <c r="B69" s="937"/>
      <c r="C69" s="942">
        <v>100</v>
      </c>
      <c r="D69" s="942">
        <f t="shared" ref="D69:M69" si="18">C69-$K11</f>
        <v>100</v>
      </c>
      <c r="E69" s="942">
        <f t="shared" si="18"/>
        <v>100</v>
      </c>
      <c r="F69" s="942">
        <f t="shared" si="18"/>
        <v>100</v>
      </c>
      <c r="G69" s="942">
        <f t="shared" si="18"/>
        <v>100</v>
      </c>
      <c r="H69" s="942">
        <f t="shared" si="18"/>
        <v>100</v>
      </c>
      <c r="I69" s="942">
        <f t="shared" si="18"/>
        <v>100</v>
      </c>
      <c r="J69" s="942">
        <f t="shared" si="18"/>
        <v>100</v>
      </c>
      <c r="K69" s="942">
        <f t="shared" si="18"/>
        <v>100</v>
      </c>
      <c r="L69" s="942">
        <f t="shared" si="18"/>
        <v>100</v>
      </c>
      <c r="M69" s="993">
        <f t="shared" si="18"/>
        <v>100</v>
      </c>
      <c r="N69" s="989"/>
      <c r="O69" s="989"/>
      <c r="P69" s="1265"/>
      <c r="Q69" s="909"/>
    </row>
    <row r="70" spans="1:17" s="705" customFormat="1" ht="15">
      <c r="A70" s="946"/>
      <c r="B70" s="939">
        <f>B12</f>
        <v>111</v>
      </c>
      <c r="C70" s="947"/>
      <c r="D70" s="947"/>
      <c r="E70" s="947"/>
      <c r="F70" s="947"/>
      <c r="G70" s="947"/>
      <c r="H70" s="948"/>
      <c r="I70" s="948"/>
      <c r="J70" s="948"/>
      <c r="K70" s="948"/>
      <c r="L70" s="997"/>
      <c r="M70" s="998"/>
      <c r="N70" s="999"/>
      <c r="O70" s="999"/>
      <c r="P70" s="1269"/>
      <c r="Q70" s="1030"/>
    </row>
    <row r="71" spans="1:17" s="705" customFormat="1" ht="15">
      <c r="A71" s="946"/>
      <c r="B71" s="941"/>
      <c r="C71" s="949"/>
      <c r="D71" s="938"/>
      <c r="E71" s="938"/>
      <c r="F71" s="938"/>
      <c r="G71" s="938"/>
      <c r="H71" s="938"/>
      <c r="I71" s="938"/>
      <c r="J71" s="938"/>
      <c r="K71" s="938"/>
      <c r="L71" s="938"/>
      <c r="M71" s="988"/>
      <c r="N71" s="989"/>
      <c r="O71" s="989"/>
      <c r="P71" s="1269"/>
      <c r="Q71" s="1030"/>
    </row>
    <row r="72" spans="1:17" s="705" customFormat="1" ht="15">
      <c r="A72" s="946"/>
      <c r="B72" s="939">
        <f>B13</f>
        <v>111</v>
      </c>
      <c r="C72" s="947"/>
      <c r="D72" s="947"/>
      <c r="E72" s="947"/>
      <c r="F72" s="947"/>
      <c r="G72" s="947"/>
      <c r="H72" s="948"/>
      <c r="I72" s="948"/>
      <c r="J72" s="948"/>
      <c r="K72" s="948"/>
      <c r="L72" s="997"/>
      <c r="M72" s="998"/>
      <c r="N72" s="999"/>
      <c r="O72" s="999"/>
      <c r="P72" s="1270"/>
      <c r="Q72" s="1031"/>
    </row>
    <row r="73" spans="1:17" s="705" customFormat="1" ht="15">
      <c r="A73" s="946"/>
      <c r="B73" s="941"/>
      <c r="C73" s="949"/>
      <c r="D73" s="938"/>
      <c r="E73" s="938"/>
      <c r="F73" s="938"/>
      <c r="G73" s="949"/>
      <c r="H73" s="950"/>
      <c r="I73" s="950"/>
      <c r="J73" s="950"/>
      <c r="K73" s="950"/>
      <c r="L73" s="950"/>
      <c r="M73" s="1002"/>
      <c r="N73" s="999"/>
      <c r="O73" s="999"/>
      <c r="P73" s="1269"/>
      <c r="Q73" s="1030"/>
    </row>
    <row r="74" spans="1:17" s="705" customFormat="1" ht="15">
      <c r="A74" s="946"/>
      <c r="B74" s="943">
        <f>B14</f>
        <v>111</v>
      </c>
      <c r="C74" s="947"/>
      <c r="D74" s="947"/>
      <c r="E74" s="947"/>
      <c r="F74" s="947"/>
      <c r="G74" s="931"/>
      <c r="H74" s="951"/>
      <c r="I74" s="951"/>
      <c r="J74" s="951"/>
      <c r="K74" s="951"/>
      <c r="L74" s="1003"/>
      <c r="M74" s="1004"/>
      <c r="N74" s="999"/>
      <c r="O74" s="999"/>
      <c r="P74" s="1271"/>
      <c r="Q74" s="1030"/>
    </row>
    <row r="75" spans="1:17" s="705" customFormat="1" ht="15">
      <c r="A75" s="952"/>
      <c r="B75" s="953"/>
      <c r="C75" s="954"/>
      <c r="D75" s="954"/>
      <c r="E75" s="954"/>
      <c r="F75" s="954"/>
      <c r="G75" s="954"/>
      <c r="H75" s="955"/>
      <c r="I75" s="955"/>
      <c r="J75" s="955"/>
      <c r="K75" s="955"/>
      <c r="L75" s="955"/>
      <c r="M75" s="1006"/>
      <c r="N75" s="999"/>
      <c r="O75" s="999"/>
      <c r="P75" s="1269"/>
      <c r="Q75" s="1030"/>
    </row>
    <row r="76" spans="1:17">
      <c r="A76" s="934" t="s">
        <v>1266</v>
      </c>
      <c r="B76" s="935" t="s">
        <v>207</v>
      </c>
      <c r="C76" s="956" t="s">
        <v>228</v>
      </c>
      <c r="D76" s="956" t="s">
        <v>240</v>
      </c>
      <c r="E76" s="956" t="s">
        <v>251</v>
      </c>
      <c r="F76" s="956" t="s">
        <v>261</v>
      </c>
      <c r="G76" s="956" t="s">
        <v>268</v>
      </c>
      <c r="H76" s="957"/>
      <c r="I76" s="957"/>
      <c r="J76" s="957"/>
      <c r="K76" s="1007"/>
      <c r="L76" s="1008"/>
      <c r="M76" s="1009"/>
      <c r="N76" s="986"/>
      <c r="O76" s="986"/>
      <c r="P76" s="1272"/>
      <c r="Q76" s="909"/>
    </row>
    <row r="77" spans="1:17" ht="15">
      <c r="A77" s="936"/>
      <c r="B77" s="941"/>
      <c r="C77" s="942">
        <v>100</v>
      </c>
      <c r="D77" s="942">
        <f>C77-$K15</f>
        <v>100</v>
      </c>
      <c r="E77" s="942">
        <f>D77-$K15</f>
        <v>100</v>
      </c>
      <c r="F77" s="942">
        <f>E77-$K15</f>
        <v>100</v>
      </c>
      <c r="G77" s="942">
        <f>F77-$K15</f>
        <v>100</v>
      </c>
      <c r="H77" s="942"/>
      <c r="I77" s="942"/>
      <c r="J77" s="942"/>
      <c r="K77" s="942"/>
      <c r="L77" s="942"/>
      <c r="M77" s="993"/>
      <c r="N77" s="989"/>
      <c r="O77" s="989"/>
      <c r="P77" s="1265"/>
      <c r="Q77" s="909"/>
    </row>
    <row r="78" spans="1:17" ht="15">
      <c r="A78" s="936"/>
      <c r="B78" s="939" t="s">
        <v>211</v>
      </c>
      <c r="C78" s="958" t="s">
        <v>228</v>
      </c>
      <c r="D78" s="958" t="s">
        <v>240</v>
      </c>
      <c r="E78" s="958" t="s">
        <v>251</v>
      </c>
      <c r="F78" s="958" t="s">
        <v>261</v>
      </c>
      <c r="G78" s="958" t="s">
        <v>268</v>
      </c>
      <c r="H78" s="940"/>
      <c r="I78" s="940"/>
      <c r="J78" s="940"/>
      <c r="K78" s="990"/>
      <c r="L78" s="991"/>
      <c r="M78" s="992"/>
      <c r="N78" s="986"/>
      <c r="O78" s="986"/>
      <c r="P78" s="1265"/>
      <c r="Q78" s="909"/>
    </row>
    <row r="79" spans="1:17" ht="15">
      <c r="A79" s="936"/>
      <c r="B79" s="941"/>
      <c r="C79" s="942">
        <v>100</v>
      </c>
      <c r="D79" s="942">
        <f>C79-$K17</f>
        <v>100</v>
      </c>
      <c r="E79" s="942">
        <f>D79-$K17</f>
        <v>100</v>
      </c>
      <c r="F79" s="942">
        <f>E79-$K17</f>
        <v>100</v>
      </c>
      <c r="G79" s="942">
        <f>F79-$K17</f>
        <v>100</v>
      </c>
      <c r="H79" s="942"/>
      <c r="I79" s="942"/>
      <c r="J79" s="942"/>
      <c r="K79" s="942"/>
      <c r="L79" s="942"/>
      <c r="M79" s="993"/>
      <c r="N79" s="989"/>
      <c r="O79" s="989"/>
      <c r="P79" s="1265"/>
      <c r="Q79" s="909"/>
    </row>
    <row r="80" spans="1:17" ht="15">
      <c r="A80" s="936"/>
      <c r="B80" s="939" t="s">
        <v>213</v>
      </c>
      <c r="C80" s="958" t="s">
        <v>228</v>
      </c>
      <c r="D80" s="958" t="s">
        <v>240</v>
      </c>
      <c r="E80" s="958" t="s">
        <v>251</v>
      </c>
      <c r="F80" s="958" t="s">
        <v>261</v>
      </c>
      <c r="G80" s="958" t="s">
        <v>268</v>
      </c>
      <c r="H80" s="940"/>
      <c r="I80" s="940"/>
      <c r="J80" s="940"/>
      <c r="K80" s="990"/>
      <c r="L80" s="991"/>
      <c r="M80" s="992"/>
      <c r="N80" s="986"/>
      <c r="O80" s="986"/>
      <c r="P80" s="1265"/>
      <c r="Q80" s="909"/>
    </row>
    <row r="81" spans="1:17" ht="15">
      <c r="A81" s="936"/>
      <c r="B81" s="941"/>
      <c r="C81" s="942">
        <v>100</v>
      </c>
      <c r="D81" s="942">
        <f>C81-$K19</f>
        <v>100</v>
      </c>
      <c r="E81" s="942">
        <f>D81-$K19</f>
        <v>100</v>
      </c>
      <c r="F81" s="942">
        <f>E81-$K19</f>
        <v>100</v>
      </c>
      <c r="G81" s="942">
        <f>F81-$K19</f>
        <v>100</v>
      </c>
      <c r="H81" s="942"/>
      <c r="I81" s="942"/>
      <c r="J81" s="942"/>
      <c r="K81" s="942"/>
      <c r="L81" s="942"/>
      <c r="M81" s="993"/>
      <c r="N81" s="989"/>
      <c r="O81" s="989"/>
      <c r="P81" s="1265"/>
      <c r="Q81" s="909"/>
    </row>
    <row r="82" spans="1:17" ht="15">
      <c r="A82" s="936"/>
      <c r="B82" s="943" t="s">
        <v>214</v>
      </c>
      <c r="C82" s="940" t="s">
        <v>1311</v>
      </c>
      <c r="D82" s="940" t="s">
        <v>1312</v>
      </c>
      <c r="E82" s="940" t="s">
        <v>1313</v>
      </c>
      <c r="F82" s="940" t="s">
        <v>1314</v>
      </c>
      <c r="G82" s="940" t="s">
        <v>1315</v>
      </c>
      <c r="H82" s="940"/>
      <c r="I82" s="940"/>
      <c r="J82" s="940"/>
      <c r="K82" s="940"/>
      <c r="L82" s="940"/>
      <c r="M82" s="1072"/>
      <c r="N82" s="989"/>
      <c r="O82" s="989"/>
      <c r="P82" s="1265"/>
      <c r="Q82" s="909"/>
    </row>
    <row r="83" spans="1:17" ht="15">
      <c r="A83" s="936"/>
      <c r="B83" s="943"/>
      <c r="C83" s="942">
        <v>100</v>
      </c>
      <c r="D83" s="942">
        <f>C83-$K21</f>
        <v>100</v>
      </c>
      <c r="E83" s="942">
        <f>D83-$K21</f>
        <v>100</v>
      </c>
      <c r="F83" s="942">
        <f>E83-$K21</f>
        <v>100</v>
      </c>
      <c r="G83" s="942">
        <f>F83-$K21</f>
        <v>100</v>
      </c>
      <c r="H83" s="1070"/>
      <c r="I83" s="1070"/>
      <c r="J83" s="1070"/>
      <c r="K83" s="1070"/>
      <c r="L83" s="1070"/>
      <c r="M83" s="767"/>
      <c r="N83" s="989"/>
      <c r="O83" s="989"/>
      <c r="P83" s="1265"/>
      <c r="Q83" s="909"/>
    </row>
    <row r="84" spans="1:17" ht="15">
      <c r="A84" s="936"/>
      <c r="B84" s="939" t="s">
        <v>570</v>
      </c>
      <c r="C84" s="958" t="s">
        <v>228</v>
      </c>
      <c r="D84" s="958" t="s">
        <v>240</v>
      </c>
      <c r="E84" s="958" t="s">
        <v>251</v>
      </c>
      <c r="F84" s="958" t="s">
        <v>261</v>
      </c>
      <c r="G84" s="958" t="s">
        <v>268</v>
      </c>
      <c r="H84" s="940"/>
      <c r="I84" s="940"/>
      <c r="J84" s="940"/>
      <c r="K84" s="990"/>
      <c r="L84" s="991"/>
      <c r="M84" s="992"/>
      <c r="N84" s="986"/>
      <c r="O84" s="986"/>
      <c r="P84" s="1265"/>
      <c r="Q84" s="909"/>
    </row>
    <row r="85" spans="1:17" ht="15">
      <c r="A85" s="936"/>
      <c r="B85" s="941"/>
      <c r="C85" s="942">
        <v>100</v>
      </c>
      <c r="D85" s="942">
        <f>C85-$K23</f>
        <v>100</v>
      </c>
      <c r="E85" s="942">
        <f>D85-$K23</f>
        <v>100</v>
      </c>
      <c r="F85" s="942">
        <f>E85-$K23</f>
        <v>100</v>
      </c>
      <c r="G85" s="942">
        <f>F85-$K23</f>
        <v>100</v>
      </c>
      <c r="H85" s="942"/>
      <c r="I85" s="942"/>
      <c r="J85" s="942"/>
      <c r="K85" s="942"/>
      <c r="L85" s="942"/>
      <c r="M85" s="993"/>
      <c r="N85" s="989"/>
      <c r="O85" s="989"/>
      <c r="P85" s="1265"/>
      <c r="Q85" s="909"/>
    </row>
    <row r="86" spans="1:17" s="703" customFormat="1" ht="15">
      <c r="A86" s="959"/>
      <c r="B86" s="939" t="s">
        <v>216</v>
      </c>
      <c r="C86" s="947"/>
      <c r="D86" s="947"/>
      <c r="E86" s="947"/>
      <c r="F86" s="947"/>
      <c r="G86" s="947"/>
      <c r="H86" s="947"/>
      <c r="I86" s="947"/>
      <c r="J86" s="947"/>
      <c r="K86" s="947"/>
      <c r="L86" s="1150"/>
      <c r="M86" s="1151"/>
      <c r="N86" s="980"/>
      <c r="O86" s="980"/>
      <c r="P86" s="1265"/>
      <c r="Q86" s="909"/>
    </row>
    <row r="87" spans="1:17" s="703" customFormat="1" ht="15">
      <c r="A87" s="959"/>
      <c r="B87" s="941"/>
      <c r="C87" s="960">
        <v>100</v>
      </c>
      <c r="D87" s="942">
        <f t="shared" ref="D87:M87" si="19">C87-$K25</f>
        <v>100</v>
      </c>
      <c r="E87" s="942">
        <f t="shared" si="19"/>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989"/>
      <c r="O87" s="989"/>
      <c r="P87" s="1265"/>
      <c r="Q87" s="909"/>
    </row>
    <row r="88" spans="1:17" s="703" customFormat="1" ht="15">
      <c r="A88" s="959"/>
      <c r="B88" s="939" t="str">
        <f>B26</f>
        <v>平面位置/可视性</v>
      </c>
      <c r="C88" s="947"/>
      <c r="D88" s="947"/>
      <c r="E88" s="947"/>
      <c r="F88" s="1267"/>
      <c r="G88" s="947"/>
      <c r="H88" s="947"/>
      <c r="I88" s="947"/>
      <c r="J88" s="947"/>
      <c r="K88" s="947"/>
      <c r="L88" s="947"/>
      <c r="M88" s="1151"/>
      <c r="N88" s="980"/>
      <c r="O88" s="980"/>
      <c r="P88" s="1265"/>
      <c r="Q88" s="909"/>
    </row>
    <row r="89" spans="1:17" s="703" customFormat="1" ht="15">
      <c r="A89" s="959"/>
      <c r="B89" s="941"/>
      <c r="C89" s="949"/>
      <c r="D89" s="938"/>
      <c r="E89" s="938"/>
      <c r="F89" s="938"/>
      <c r="G89" s="938"/>
      <c r="H89" s="938"/>
      <c r="I89" s="938"/>
      <c r="J89" s="938"/>
      <c r="K89" s="938"/>
      <c r="L89" s="938"/>
      <c r="M89" s="938"/>
      <c r="N89" s="989"/>
      <c r="O89" s="989"/>
      <c r="P89" s="1265"/>
      <c r="Q89" s="909"/>
    </row>
    <row r="90" spans="1:17" s="705" customFormat="1" ht="15">
      <c r="A90" s="946"/>
      <c r="B90" s="939" t="str">
        <f>B27</f>
        <v>人流量</v>
      </c>
      <c r="C90" s="947"/>
      <c r="D90" s="947"/>
      <c r="E90" s="947"/>
      <c r="F90" s="947"/>
      <c r="G90" s="947"/>
      <c r="H90" s="948"/>
      <c r="I90" s="948"/>
      <c r="J90" s="948"/>
      <c r="K90" s="948"/>
      <c r="L90" s="997"/>
      <c r="M90" s="998"/>
      <c r="N90" s="999"/>
      <c r="O90" s="999"/>
      <c r="P90" s="1269"/>
      <c r="Q90" s="1030"/>
    </row>
    <row r="91" spans="1:17" s="705" customFormat="1" ht="15">
      <c r="A91" s="946"/>
      <c r="B91" s="941"/>
      <c r="C91" s="960">
        <v>100</v>
      </c>
      <c r="D91" s="942">
        <f>C91-$K27</f>
        <v>100</v>
      </c>
      <c r="E91" s="942">
        <f t="shared" ref="E91:M91" si="20">D91-$K27</f>
        <v>100</v>
      </c>
      <c r="F91" s="942">
        <f t="shared" si="20"/>
        <v>100</v>
      </c>
      <c r="G91" s="942">
        <f t="shared" si="20"/>
        <v>100</v>
      </c>
      <c r="H91" s="942">
        <f t="shared" si="20"/>
        <v>100</v>
      </c>
      <c r="I91" s="942">
        <f t="shared" si="20"/>
        <v>100</v>
      </c>
      <c r="J91" s="942">
        <f t="shared" si="20"/>
        <v>100</v>
      </c>
      <c r="K91" s="942">
        <f t="shared" si="20"/>
        <v>100</v>
      </c>
      <c r="L91" s="942">
        <f t="shared" si="20"/>
        <v>100</v>
      </c>
      <c r="M91" s="942">
        <f t="shared" si="20"/>
        <v>100</v>
      </c>
      <c r="N91" s="999"/>
      <c r="O91" s="999"/>
      <c r="P91" s="1269"/>
      <c r="Q91" s="1030"/>
    </row>
    <row r="92" spans="1:17" ht="15">
      <c r="A92" s="936"/>
      <c r="B92" s="939" t="str">
        <f>B28</f>
        <v>楼层</v>
      </c>
      <c r="C92" s="947"/>
      <c r="D92" s="947"/>
      <c r="E92" s="947"/>
      <c r="F92" s="947"/>
      <c r="G92" s="947"/>
      <c r="H92" s="947"/>
      <c r="I92" s="947"/>
      <c r="J92" s="947"/>
      <c r="K92" s="947"/>
      <c r="L92" s="1150"/>
      <c r="M92" s="1151"/>
      <c r="N92" s="986"/>
      <c r="O92" s="986"/>
      <c r="P92" s="1265"/>
      <c r="Q92" s="909"/>
    </row>
    <row r="93" spans="1:17" ht="15">
      <c r="A93" s="936"/>
      <c r="B93" s="941"/>
      <c r="C93" s="938"/>
      <c r="D93" s="938"/>
      <c r="E93" s="938"/>
      <c r="F93" s="938"/>
      <c r="G93" s="938"/>
      <c r="H93" s="938"/>
      <c r="I93" s="938"/>
      <c r="J93" s="938"/>
      <c r="K93" s="938"/>
      <c r="L93" s="938"/>
      <c r="M93" s="988"/>
      <c r="N93" s="989"/>
      <c r="O93" s="989"/>
      <c r="P93" s="1265"/>
      <c r="Q93" s="909"/>
    </row>
    <row r="94" spans="1:17" ht="15">
      <c r="A94" s="936"/>
      <c r="B94" s="939">
        <f>B29</f>
        <v>111</v>
      </c>
      <c r="C94" s="947"/>
      <c r="D94" s="947"/>
      <c r="E94" s="947"/>
      <c r="F94" s="947"/>
      <c r="G94" s="963"/>
      <c r="H94" s="963"/>
      <c r="I94" s="963"/>
      <c r="J94" s="963"/>
      <c r="K94" s="1017"/>
      <c r="L94" s="1018"/>
      <c r="M94" s="1019"/>
      <c r="N94" s="986"/>
      <c r="O94" s="986"/>
      <c r="P94" s="1265"/>
      <c r="Q94" s="909"/>
    </row>
    <row r="95" spans="1:17" ht="15">
      <c r="A95" s="936"/>
      <c r="B95" s="941"/>
      <c r="C95" s="949"/>
      <c r="D95" s="938"/>
      <c r="E95" s="938"/>
      <c r="F95" s="938"/>
      <c r="G95" s="938"/>
      <c r="H95" s="938"/>
      <c r="I95" s="938"/>
      <c r="J95" s="938"/>
      <c r="K95" s="938"/>
      <c r="L95" s="938"/>
      <c r="M95" s="988"/>
      <c r="N95" s="989"/>
      <c r="O95" s="989"/>
      <c r="P95" s="1265"/>
      <c r="Q95" s="909"/>
    </row>
    <row r="96" spans="1:17" ht="15">
      <c r="A96" s="936"/>
      <c r="B96" s="939">
        <f>B30</f>
        <v>111</v>
      </c>
      <c r="C96" s="947"/>
      <c r="D96" s="947"/>
      <c r="E96" s="947"/>
      <c r="F96" s="947"/>
      <c r="G96" s="963"/>
      <c r="H96" s="963"/>
      <c r="I96" s="963"/>
      <c r="J96" s="963"/>
      <c r="K96" s="1017"/>
      <c r="L96" s="1018"/>
      <c r="M96" s="1019"/>
      <c r="N96" s="986"/>
      <c r="O96" s="986"/>
      <c r="P96" s="1265"/>
      <c r="Q96" s="909"/>
    </row>
    <row r="97" spans="1:17" ht="15">
      <c r="A97" s="936"/>
      <c r="B97" s="941"/>
      <c r="C97" s="949"/>
      <c r="D97" s="938"/>
      <c r="E97" s="938"/>
      <c r="F97" s="938"/>
      <c r="G97" s="938"/>
      <c r="H97" s="938"/>
      <c r="I97" s="938"/>
      <c r="J97" s="938"/>
      <c r="K97" s="938"/>
      <c r="L97" s="938"/>
      <c r="M97" s="988"/>
      <c r="N97" s="989"/>
      <c r="O97" s="989"/>
      <c r="P97" s="1265"/>
      <c r="Q97" s="909"/>
    </row>
    <row r="98" spans="1:17" ht="15">
      <c r="A98" s="936"/>
      <c r="B98" s="943">
        <f>B31</f>
        <v>111</v>
      </c>
      <c r="C98" s="947"/>
      <c r="D98" s="947"/>
      <c r="E98" s="947"/>
      <c r="F98" s="947"/>
      <c r="G98" s="964"/>
      <c r="H98" s="964"/>
      <c r="I98" s="964"/>
      <c r="J98" s="964"/>
      <c r="K98" s="1020"/>
      <c r="L98" s="1021"/>
      <c r="M98" s="1022"/>
      <c r="N98" s="986"/>
      <c r="O98" s="986"/>
      <c r="P98" s="1265"/>
      <c r="Q98" s="909"/>
    </row>
    <row r="99" spans="1:17" ht="15">
      <c r="A99" s="1242"/>
      <c r="B99" s="953"/>
      <c r="C99" s="954"/>
      <c r="D99" s="954"/>
      <c r="E99" s="954"/>
      <c r="F99" s="954"/>
      <c r="G99" s="965"/>
      <c r="H99" s="965"/>
      <c r="I99" s="965"/>
      <c r="J99" s="965"/>
      <c r="K99" s="965"/>
      <c r="L99" s="965"/>
      <c r="M99" s="1023"/>
      <c r="N99" s="989"/>
      <c r="O99" s="989"/>
      <c r="P99" s="1265"/>
      <c r="Q99" s="909"/>
    </row>
    <row r="100" spans="1:17">
      <c r="A100" s="934" t="s">
        <v>1276</v>
      </c>
      <c r="B100" s="935" t="s">
        <v>1403</v>
      </c>
      <c r="C100" s="882"/>
      <c r="D100" s="882"/>
      <c r="E100" s="882"/>
      <c r="F100" s="882"/>
      <c r="G100" s="882"/>
      <c r="H100" s="882"/>
      <c r="I100" s="882"/>
      <c r="J100" s="882"/>
      <c r="K100" s="983"/>
      <c r="L100" s="984"/>
      <c r="M100" s="985"/>
      <c r="N100" s="986"/>
      <c r="O100" s="986"/>
      <c r="P100" s="1265"/>
      <c r="Q100" s="909"/>
    </row>
    <row r="101" spans="1:17" ht="15">
      <c r="A101" s="936"/>
      <c r="B101" s="941"/>
      <c r="C101" s="942">
        <v>100</v>
      </c>
      <c r="D101" s="942">
        <f t="shared" ref="D101:M101" si="21">C101-$K32</f>
        <v>100</v>
      </c>
      <c r="E101" s="942">
        <f t="shared" si="21"/>
        <v>100</v>
      </c>
      <c r="F101" s="942">
        <f t="shared" si="21"/>
        <v>100</v>
      </c>
      <c r="G101" s="942">
        <f t="shared" si="21"/>
        <v>100</v>
      </c>
      <c r="H101" s="942">
        <f t="shared" si="21"/>
        <v>100</v>
      </c>
      <c r="I101" s="942">
        <f t="shared" si="21"/>
        <v>100</v>
      </c>
      <c r="J101" s="942">
        <f t="shared" si="21"/>
        <v>100</v>
      </c>
      <c r="K101" s="942">
        <f t="shared" si="21"/>
        <v>100</v>
      </c>
      <c r="L101" s="942">
        <f t="shared" si="21"/>
        <v>100</v>
      </c>
      <c r="M101" s="993">
        <f t="shared" si="21"/>
        <v>100</v>
      </c>
      <c r="N101" s="989"/>
      <c r="O101" s="989"/>
      <c r="P101" s="1265"/>
      <c r="Q101" s="909"/>
    </row>
    <row r="102" spans="1:17" ht="15">
      <c r="A102" s="936"/>
      <c r="B102" s="939" t="s">
        <v>1280</v>
      </c>
      <c r="C102" s="958" t="str">
        <f>C103&amp;"(含)"&amp;"-"&amp;D103</f>
        <v>(含)-</v>
      </c>
      <c r="D102" s="958" t="str">
        <f t="shared" ref="D102:L102" si="22">D103&amp;"(含)"&amp;"-"&amp;E103</f>
        <v>(含)-</v>
      </c>
      <c r="E102" s="958" t="str">
        <f t="shared" si="22"/>
        <v>(含)-</v>
      </c>
      <c r="F102" s="958" t="str">
        <f t="shared" si="22"/>
        <v>(含)-</v>
      </c>
      <c r="G102" s="958" t="str">
        <f t="shared" si="22"/>
        <v>(含)-</v>
      </c>
      <c r="H102" s="958" t="str">
        <f t="shared" si="22"/>
        <v>(含)-</v>
      </c>
      <c r="I102" s="958" t="str">
        <f t="shared" si="22"/>
        <v>(含)-</v>
      </c>
      <c r="J102" s="958" t="str">
        <f t="shared" si="22"/>
        <v>(含)-</v>
      </c>
      <c r="K102" s="958" t="str">
        <f t="shared" si="22"/>
        <v>(含)-</v>
      </c>
      <c r="L102" s="958" t="str">
        <f t="shared" si="22"/>
        <v>(含)-</v>
      </c>
      <c r="M102" s="1012" t="str">
        <f>M103&amp;"(含)"&amp;"-"&amp;P103</f>
        <v>(含)-</v>
      </c>
      <c r="N102" s="980"/>
      <c r="O102" s="980"/>
      <c r="P102" s="1265"/>
      <c r="Q102" s="909"/>
    </row>
    <row r="103" spans="1:17" s="705" customFormat="1">
      <c r="A103" s="966"/>
      <c r="B103" s="967"/>
      <c r="C103" s="923"/>
      <c r="D103" s="923"/>
      <c r="E103" s="923"/>
      <c r="F103" s="923"/>
      <c r="G103" s="923"/>
      <c r="H103" s="923"/>
      <c r="I103" s="923"/>
      <c r="J103" s="1024"/>
      <c r="K103" s="1024"/>
      <c r="L103" s="1025"/>
      <c r="M103" s="1026"/>
      <c r="N103" s="999"/>
      <c r="O103" s="999"/>
      <c r="P103" s="1269"/>
      <c r="Q103" s="1030"/>
    </row>
    <row r="104" spans="1:17" s="705" customFormat="1" ht="15">
      <c r="A104" s="946"/>
      <c r="B104" s="941"/>
      <c r="C104" s="949"/>
      <c r="D104" s="938"/>
      <c r="E104" s="938"/>
      <c r="F104" s="938"/>
      <c r="G104" s="938"/>
      <c r="H104" s="938"/>
      <c r="I104" s="938"/>
      <c r="J104" s="938"/>
      <c r="K104" s="938"/>
      <c r="L104" s="938"/>
      <c r="M104" s="988"/>
      <c r="N104" s="989"/>
      <c r="O104" s="989"/>
      <c r="P104" s="1269"/>
      <c r="Q104" s="1030"/>
    </row>
    <row r="105" spans="1:17">
      <c r="A105" s="970"/>
      <c r="B105" s="939" t="s">
        <v>1281</v>
      </c>
      <c r="C105" s="947"/>
      <c r="D105" s="947"/>
      <c r="E105" s="963"/>
      <c r="F105" s="963"/>
      <c r="G105" s="963"/>
      <c r="H105" s="963"/>
      <c r="I105" s="963"/>
      <c r="J105" s="963"/>
      <c r="K105" s="1017"/>
      <c r="L105" s="1018"/>
      <c r="M105" s="1019"/>
      <c r="N105" s="986"/>
      <c r="O105" s="986"/>
      <c r="P105" s="1265"/>
      <c r="Q105" s="909"/>
    </row>
    <row r="106" spans="1:17" ht="15">
      <c r="A106" s="936"/>
      <c r="B106" s="941"/>
      <c r="C106" s="942">
        <v>100</v>
      </c>
      <c r="D106" s="942">
        <f t="shared" ref="D106:M106" si="23">C106-$K34</f>
        <v>100</v>
      </c>
      <c r="E106" s="942">
        <f t="shared" si="23"/>
        <v>100</v>
      </c>
      <c r="F106" s="942">
        <f t="shared" si="23"/>
        <v>100</v>
      </c>
      <c r="G106" s="942">
        <f t="shared" si="23"/>
        <v>100</v>
      </c>
      <c r="H106" s="942">
        <f t="shared" si="23"/>
        <v>100</v>
      </c>
      <c r="I106" s="942">
        <f t="shared" si="23"/>
        <v>100</v>
      </c>
      <c r="J106" s="942">
        <f t="shared" si="23"/>
        <v>100</v>
      </c>
      <c r="K106" s="942">
        <f t="shared" si="23"/>
        <v>100</v>
      </c>
      <c r="L106" s="942">
        <f t="shared" si="23"/>
        <v>100</v>
      </c>
      <c r="M106" s="993">
        <f t="shared" si="23"/>
        <v>100</v>
      </c>
      <c r="N106" s="989"/>
      <c r="O106" s="989"/>
      <c r="P106" s="1265"/>
      <c r="Q106" s="909"/>
    </row>
    <row r="107" spans="1:17">
      <c r="A107" s="970"/>
      <c r="B107" s="939" t="s">
        <v>1282</v>
      </c>
      <c r="C107" s="947"/>
      <c r="D107" s="947"/>
      <c r="E107" s="947"/>
      <c r="F107" s="963"/>
      <c r="G107" s="963"/>
      <c r="H107" s="963"/>
      <c r="I107" s="963"/>
      <c r="J107" s="963"/>
      <c r="K107" s="1017"/>
      <c r="L107" s="1018"/>
      <c r="M107" s="1019"/>
      <c r="N107" s="986"/>
      <c r="O107" s="986"/>
      <c r="P107" s="1265"/>
      <c r="Q107" s="909"/>
    </row>
    <row r="108" spans="1:17" ht="15">
      <c r="A108" s="936"/>
      <c r="B108" s="941"/>
      <c r="C108" s="942">
        <v>100</v>
      </c>
      <c r="D108" s="942">
        <f t="shared" ref="D108:M108" si="24">C108-$K35</f>
        <v>100</v>
      </c>
      <c r="E108" s="942">
        <f t="shared" si="24"/>
        <v>100</v>
      </c>
      <c r="F108" s="942">
        <f t="shared" si="24"/>
        <v>100</v>
      </c>
      <c r="G108" s="942">
        <f t="shared" si="24"/>
        <v>100</v>
      </c>
      <c r="H108" s="942">
        <f t="shared" si="24"/>
        <v>100</v>
      </c>
      <c r="I108" s="942">
        <f t="shared" si="24"/>
        <v>100</v>
      </c>
      <c r="J108" s="942">
        <f t="shared" si="24"/>
        <v>100</v>
      </c>
      <c r="K108" s="942">
        <f t="shared" si="24"/>
        <v>100</v>
      </c>
      <c r="L108" s="942">
        <f t="shared" si="24"/>
        <v>100</v>
      </c>
      <c r="M108" s="993">
        <f t="shared" si="24"/>
        <v>100</v>
      </c>
      <c r="N108" s="989"/>
      <c r="O108" s="989"/>
      <c r="P108" s="1265"/>
      <c r="Q108" s="909"/>
    </row>
    <row r="109" spans="1:17">
      <c r="A109" s="970"/>
      <c r="B109" s="939" t="s">
        <v>1284</v>
      </c>
      <c r="C109" s="958" t="str">
        <f>C110&amp;"(含)"&amp;"-"&amp;D110</f>
        <v>0.5(含)-0.6</v>
      </c>
      <c r="D109" s="958" t="str">
        <f>D110&amp;"(含)"&amp;"-"&amp;E110</f>
        <v>0.6(含)-0.7</v>
      </c>
      <c r="E109" s="958" t="str">
        <f>E110&amp;"(含)"&amp;"-"&amp;F110</f>
        <v>0.7(含)-0.8</v>
      </c>
      <c r="F109" s="958" t="str">
        <f>F110&amp;"(含)"&amp;"-"&amp;G110</f>
        <v>0.8(含)-0.9</v>
      </c>
      <c r="G109" s="958" t="str">
        <f>G110&amp;"(含)"&amp;"-"&amp;H110</f>
        <v>0.9(含)-1</v>
      </c>
      <c r="H109" s="958"/>
      <c r="I109" s="963"/>
      <c r="J109" s="963"/>
      <c r="K109" s="1017"/>
      <c r="L109" s="1018"/>
      <c r="M109" s="1019"/>
      <c r="N109" s="986"/>
      <c r="O109" s="986"/>
      <c r="P109" s="1265"/>
      <c r="Q109" s="909"/>
    </row>
    <row r="110" spans="1:17">
      <c r="A110" s="970"/>
      <c r="B110" s="943"/>
      <c r="C110" s="365">
        <v>0.5</v>
      </c>
      <c r="D110" s="365">
        <v>0.6</v>
      </c>
      <c r="E110" s="365">
        <v>0.7</v>
      </c>
      <c r="F110" s="365">
        <v>0.8</v>
      </c>
      <c r="G110" s="365">
        <v>0.9</v>
      </c>
      <c r="H110" s="365">
        <v>1</v>
      </c>
      <c r="I110" s="1229"/>
      <c r="J110" s="1229"/>
      <c r="K110" s="1230"/>
      <c r="L110" s="1231"/>
      <c r="M110" s="1232"/>
      <c r="N110" s="986"/>
      <c r="O110" s="986"/>
      <c r="P110" s="1265"/>
      <c r="Q110" s="909"/>
    </row>
    <row r="111" spans="1:17" ht="15">
      <c r="A111" s="936"/>
      <c r="B111" s="941"/>
      <c r="C111" s="960">
        <v>100</v>
      </c>
      <c r="D111" s="942">
        <f>C111+$K36</f>
        <v>100</v>
      </c>
      <c r="E111" s="942">
        <f t="shared" ref="E111:M111" si="25">D111+$K36</f>
        <v>100</v>
      </c>
      <c r="F111" s="942">
        <f t="shared" si="25"/>
        <v>100</v>
      </c>
      <c r="G111" s="942">
        <f t="shared" si="25"/>
        <v>100</v>
      </c>
      <c r="H111" s="942">
        <f t="shared" si="25"/>
        <v>100</v>
      </c>
      <c r="I111" s="942">
        <f t="shared" si="25"/>
        <v>100</v>
      </c>
      <c r="J111" s="942">
        <f t="shared" si="25"/>
        <v>100</v>
      </c>
      <c r="K111" s="942">
        <f t="shared" si="25"/>
        <v>100</v>
      </c>
      <c r="L111" s="942">
        <f t="shared" si="25"/>
        <v>100</v>
      </c>
      <c r="M111" s="942">
        <f t="shared" si="25"/>
        <v>100</v>
      </c>
      <c r="N111" s="989"/>
      <c r="O111" s="989"/>
      <c r="P111" s="1265"/>
      <c r="Q111" s="909"/>
    </row>
    <row r="112" spans="1:17" s="705" customFormat="1">
      <c r="A112" s="966"/>
      <c r="B112" s="939" t="s">
        <v>1289</v>
      </c>
      <c r="C112" s="947"/>
      <c r="D112" s="947"/>
      <c r="E112" s="947"/>
      <c r="F112" s="947"/>
      <c r="G112" s="947"/>
      <c r="H112" s="963"/>
      <c r="I112" s="963"/>
      <c r="J112" s="963"/>
      <c r="K112" s="1017"/>
      <c r="L112" s="1018"/>
      <c r="M112" s="1019"/>
      <c r="N112" s="999"/>
      <c r="O112" s="999"/>
      <c r="P112" s="1269"/>
      <c r="Q112" s="1030"/>
    </row>
    <row r="113" spans="1:17" s="705" customFormat="1" ht="15">
      <c r="A113" s="946"/>
      <c r="B113" s="941"/>
      <c r="C113" s="942">
        <v>100</v>
      </c>
      <c r="D113" s="942">
        <f>C113-$K37</f>
        <v>100</v>
      </c>
      <c r="E113" s="942">
        <f t="shared" ref="E113:M113" si="26">D113-$K37</f>
        <v>100</v>
      </c>
      <c r="F113" s="942">
        <f t="shared" si="26"/>
        <v>100</v>
      </c>
      <c r="G113" s="942">
        <f t="shared" si="26"/>
        <v>100</v>
      </c>
      <c r="H113" s="942">
        <f t="shared" si="26"/>
        <v>100</v>
      </c>
      <c r="I113" s="942">
        <f t="shared" si="26"/>
        <v>100</v>
      </c>
      <c r="J113" s="942">
        <f t="shared" si="26"/>
        <v>100</v>
      </c>
      <c r="K113" s="942">
        <f t="shared" si="26"/>
        <v>100</v>
      </c>
      <c r="L113" s="942">
        <f t="shared" si="26"/>
        <v>100</v>
      </c>
      <c r="M113" s="942">
        <f t="shared" si="26"/>
        <v>100</v>
      </c>
      <c r="N113" s="999"/>
      <c r="O113" s="999"/>
      <c r="P113" s="1269"/>
      <c r="Q113" s="1030"/>
    </row>
    <row r="114" spans="1:17">
      <c r="A114" s="970"/>
      <c r="B114" s="939" t="s">
        <v>1404</v>
      </c>
      <c r="C114" s="947"/>
      <c r="D114" s="947"/>
      <c r="E114" s="963"/>
      <c r="F114" s="963"/>
      <c r="G114" s="963"/>
      <c r="H114" s="963"/>
      <c r="I114" s="963"/>
      <c r="J114" s="963"/>
      <c r="K114" s="1017"/>
      <c r="L114" s="1018"/>
      <c r="M114" s="1019"/>
      <c r="N114" s="986"/>
      <c r="O114" s="986"/>
      <c r="P114" s="1265"/>
      <c r="Q114" s="909"/>
    </row>
    <row r="115" spans="1:17" ht="15">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93">
        <f t="shared" si="27"/>
        <v>100</v>
      </c>
      <c r="N115" s="989"/>
      <c r="O115" s="989"/>
      <c r="P115" s="1265"/>
      <c r="Q115" s="909"/>
    </row>
    <row r="116" spans="1:17">
      <c r="A116" s="970"/>
      <c r="B116" s="939" t="s">
        <v>1291</v>
      </c>
      <c r="C116" s="947"/>
      <c r="D116" s="947"/>
      <c r="E116" s="947"/>
      <c r="F116" s="947"/>
      <c r="G116" s="947"/>
      <c r="H116" s="963"/>
      <c r="I116" s="963"/>
      <c r="J116" s="963"/>
      <c r="K116" s="1017"/>
      <c r="L116" s="1018"/>
      <c r="M116" s="1019"/>
      <c r="N116" s="986"/>
      <c r="O116" s="986"/>
      <c r="P116" s="1265"/>
      <c r="Q116" s="909"/>
    </row>
    <row r="117" spans="1:17" ht="15">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65"/>
      <c r="Q117" s="909"/>
    </row>
    <row r="118" spans="1:17">
      <c r="A118" s="970"/>
      <c r="B118" s="939" t="s">
        <v>1329</v>
      </c>
      <c r="C118" s="1268"/>
      <c r="D118" s="1268"/>
      <c r="E118" s="1268"/>
      <c r="F118" s="1268"/>
      <c r="G118" s="1268"/>
      <c r="H118" s="948"/>
      <c r="I118" s="948"/>
      <c r="J118" s="948"/>
      <c r="K118" s="948"/>
      <c r="L118" s="997"/>
      <c r="M118" s="998"/>
      <c r="N118" s="986"/>
      <c r="O118" s="986"/>
      <c r="P118" s="1265"/>
      <c r="Q118" s="909"/>
    </row>
    <row r="119" spans="1:17" ht="15">
      <c r="A119" s="936"/>
      <c r="B119" s="941"/>
      <c r="C119" s="949"/>
      <c r="D119" s="938"/>
      <c r="E119" s="938"/>
      <c r="F119" s="938"/>
      <c r="G119" s="938"/>
      <c r="H119" s="938"/>
      <c r="I119" s="938"/>
      <c r="J119" s="938"/>
      <c r="K119" s="938"/>
      <c r="L119" s="938"/>
      <c r="M119" s="988"/>
      <c r="N119" s="989"/>
      <c r="O119" s="989"/>
      <c r="P119" s="1265"/>
      <c r="Q119" s="909"/>
    </row>
    <row r="120" spans="1:17" s="705" customFormat="1">
      <c r="A120" s="966"/>
      <c r="B120" s="939" t="s">
        <v>1407</v>
      </c>
      <c r="C120" s="963"/>
      <c r="D120" s="963"/>
      <c r="E120" s="963"/>
      <c r="F120" s="963"/>
      <c r="G120" s="948"/>
      <c r="H120" s="948"/>
      <c r="I120" s="948"/>
      <c r="J120" s="948"/>
      <c r="K120" s="948"/>
      <c r="L120" s="997"/>
      <c r="M120" s="998"/>
      <c r="N120" s="999"/>
      <c r="O120" s="999"/>
      <c r="P120" s="1269"/>
      <c r="Q120" s="1030"/>
    </row>
    <row r="121" spans="1:17" s="705" customFormat="1" ht="15">
      <c r="A121" s="946"/>
      <c r="B121" s="937"/>
      <c r="C121" s="960">
        <v>100</v>
      </c>
      <c r="D121" s="942">
        <f>C121-$K41</f>
        <v>100</v>
      </c>
      <c r="E121" s="942">
        <f t="shared" ref="E121:M121" si="28">D121-$K41</f>
        <v>100</v>
      </c>
      <c r="F121" s="942">
        <f t="shared" si="28"/>
        <v>100</v>
      </c>
      <c r="G121" s="942">
        <f t="shared" si="28"/>
        <v>100</v>
      </c>
      <c r="H121" s="942">
        <f t="shared" si="28"/>
        <v>100</v>
      </c>
      <c r="I121" s="942">
        <f t="shared" si="28"/>
        <v>100</v>
      </c>
      <c r="J121" s="942">
        <f t="shared" si="28"/>
        <v>100</v>
      </c>
      <c r="K121" s="942">
        <f t="shared" si="28"/>
        <v>100</v>
      </c>
      <c r="L121" s="942">
        <f t="shared" si="28"/>
        <v>100</v>
      </c>
      <c r="M121" s="993">
        <f t="shared" si="28"/>
        <v>100</v>
      </c>
      <c r="N121" s="999"/>
      <c r="O121" s="999"/>
      <c r="P121" s="1269"/>
      <c r="Q121" s="1030"/>
    </row>
    <row r="122" spans="1:17">
      <c r="A122" s="970"/>
      <c r="B122" s="939" t="s">
        <v>1293</v>
      </c>
      <c r="C122" s="947"/>
      <c r="D122" s="947"/>
      <c r="E122" s="947"/>
      <c r="F122" s="963"/>
      <c r="G122" s="963"/>
      <c r="H122" s="963"/>
      <c r="I122" s="963"/>
      <c r="J122" s="963"/>
      <c r="K122" s="1017"/>
      <c r="L122" s="1018"/>
      <c r="M122" s="1019"/>
      <c r="N122" s="986"/>
      <c r="O122" s="986"/>
      <c r="P122" s="1265"/>
      <c r="Q122" s="909"/>
    </row>
    <row r="123" spans="1:17" ht="15">
      <c r="A123" s="936"/>
      <c r="B123" s="941"/>
      <c r="C123" s="942">
        <v>100</v>
      </c>
      <c r="D123" s="942">
        <f t="shared" ref="D123:M123" si="29">C123-$K42</f>
        <v>100</v>
      </c>
      <c r="E123" s="942">
        <f t="shared" si="29"/>
        <v>100</v>
      </c>
      <c r="F123" s="942">
        <f t="shared" si="29"/>
        <v>100</v>
      </c>
      <c r="G123" s="942">
        <f t="shared" si="29"/>
        <v>100</v>
      </c>
      <c r="H123" s="942">
        <f t="shared" si="29"/>
        <v>100</v>
      </c>
      <c r="I123" s="942">
        <f t="shared" si="29"/>
        <v>100</v>
      </c>
      <c r="J123" s="942">
        <f t="shared" si="29"/>
        <v>100</v>
      </c>
      <c r="K123" s="942">
        <f t="shared" si="29"/>
        <v>100</v>
      </c>
      <c r="L123" s="942">
        <f t="shared" si="29"/>
        <v>100</v>
      </c>
      <c r="M123" s="993">
        <f t="shared" si="29"/>
        <v>100</v>
      </c>
      <c r="N123" s="989"/>
      <c r="O123" s="989"/>
      <c r="P123" s="1265"/>
      <c r="Q123" s="909"/>
    </row>
    <row r="124" spans="1:17">
      <c r="A124" s="970"/>
      <c r="B124" s="939" t="s">
        <v>217</v>
      </c>
      <c r="C124" s="958" t="s">
        <v>228</v>
      </c>
      <c r="D124" s="958" t="s">
        <v>240</v>
      </c>
      <c r="E124" s="958" t="s">
        <v>251</v>
      </c>
      <c r="F124" s="958" t="s">
        <v>261</v>
      </c>
      <c r="G124" s="958" t="s">
        <v>268</v>
      </c>
      <c r="H124" s="940"/>
      <c r="I124" s="940"/>
      <c r="J124" s="940"/>
      <c r="K124" s="990"/>
      <c r="L124" s="991"/>
      <c r="M124" s="992"/>
      <c r="N124" s="986"/>
      <c r="O124" s="986"/>
      <c r="P124" s="1269"/>
      <c r="Q124" s="909"/>
    </row>
    <row r="125" spans="1:17" ht="15">
      <c r="A125" s="936"/>
      <c r="B125" s="941"/>
      <c r="C125" s="942">
        <v>100</v>
      </c>
      <c r="D125" s="942">
        <f>C125-$K43</f>
        <v>100</v>
      </c>
      <c r="E125" s="942">
        <f>D125-$K43</f>
        <v>100</v>
      </c>
      <c r="F125" s="942">
        <f>E125-$K43</f>
        <v>100</v>
      </c>
      <c r="G125" s="942">
        <f>F125-$K43</f>
        <v>100</v>
      </c>
      <c r="H125" s="942"/>
      <c r="I125" s="942"/>
      <c r="J125" s="942"/>
      <c r="K125" s="942"/>
      <c r="L125" s="942"/>
      <c r="M125" s="993"/>
      <c r="N125" s="989"/>
      <c r="O125" s="989"/>
      <c r="P125" s="1265"/>
      <c r="Q125" s="909"/>
    </row>
    <row r="126" spans="1:17" s="705" customFormat="1">
      <c r="A126" s="966"/>
      <c r="B126" s="939">
        <f>B44</f>
        <v>111</v>
      </c>
      <c r="C126" s="947"/>
      <c r="D126" s="947"/>
      <c r="E126" s="947"/>
      <c r="F126" s="947"/>
      <c r="G126" s="947"/>
      <c r="H126" s="948"/>
      <c r="I126" s="948"/>
      <c r="J126" s="948"/>
      <c r="K126" s="948"/>
      <c r="L126" s="997"/>
      <c r="M126" s="998"/>
      <c r="N126" s="999"/>
      <c r="O126" s="999"/>
      <c r="P126" s="1269"/>
      <c r="Q126" s="1030"/>
    </row>
    <row r="127" spans="1:17" s="705" customFormat="1" ht="15">
      <c r="A127" s="946"/>
      <c r="B127" s="941"/>
      <c r="C127" s="949"/>
      <c r="D127" s="938"/>
      <c r="E127" s="938"/>
      <c r="F127" s="938"/>
      <c r="G127" s="949"/>
      <c r="H127" s="950"/>
      <c r="I127" s="950"/>
      <c r="J127" s="950"/>
      <c r="K127" s="950"/>
      <c r="L127" s="950"/>
      <c r="M127" s="1002"/>
      <c r="N127" s="999"/>
      <c r="O127" s="999"/>
      <c r="P127" s="1269"/>
      <c r="Q127" s="1030"/>
    </row>
    <row r="128" spans="1:17">
      <c r="A128" s="970"/>
      <c r="B128" s="939">
        <f>B45</f>
        <v>111</v>
      </c>
      <c r="C128" s="947"/>
      <c r="D128" s="947"/>
      <c r="E128" s="947"/>
      <c r="F128" s="947"/>
      <c r="G128" s="963"/>
      <c r="H128" s="963"/>
      <c r="I128" s="963"/>
      <c r="J128" s="963"/>
      <c r="K128" s="1017"/>
      <c r="L128" s="1018"/>
      <c r="M128" s="1019"/>
      <c r="N128" s="986"/>
      <c r="O128" s="986"/>
      <c r="P128" s="1265"/>
      <c r="Q128" s="909"/>
    </row>
    <row r="129" spans="1:17" ht="15">
      <c r="A129" s="936"/>
      <c r="B129" s="941"/>
      <c r="C129" s="949"/>
      <c r="D129" s="938"/>
      <c r="E129" s="938"/>
      <c r="F129" s="938"/>
      <c r="G129" s="938"/>
      <c r="H129" s="938"/>
      <c r="I129" s="938"/>
      <c r="J129" s="938"/>
      <c r="K129" s="938"/>
      <c r="L129" s="938"/>
      <c r="M129" s="988"/>
      <c r="N129" s="989"/>
      <c r="O129" s="989"/>
      <c r="P129" s="1265"/>
      <c r="Q129" s="909"/>
    </row>
    <row r="130" spans="1:17">
      <c r="A130" s="970"/>
      <c r="B130" s="943">
        <f>B46</f>
        <v>111</v>
      </c>
      <c r="C130" s="947"/>
      <c r="D130" s="947"/>
      <c r="E130" s="947"/>
      <c r="F130" s="947"/>
      <c r="G130" s="964"/>
      <c r="H130" s="964"/>
      <c r="I130" s="964"/>
      <c r="J130" s="964"/>
      <c r="K130" s="931"/>
      <c r="L130" s="978"/>
      <c r="M130" s="1022"/>
      <c r="N130" s="986"/>
      <c r="O130" s="986"/>
      <c r="P130" s="1265"/>
      <c r="Q130" s="909"/>
    </row>
    <row r="131" spans="1:17" ht="15">
      <c r="A131" s="1242"/>
      <c r="B131" s="953"/>
      <c r="C131" s="954"/>
      <c r="D131" s="954"/>
      <c r="E131" s="954"/>
      <c r="F131" s="954"/>
      <c r="G131" s="965"/>
      <c r="H131" s="965"/>
      <c r="I131" s="965"/>
      <c r="J131" s="965"/>
      <c r="K131" s="965"/>
      <c r="L131" s="965"/>
      <c r="M131" s="1023"/>
      <c r="N131" s="989"/>
      <c r="O131" s="989"/>
      <c r="P131" s="1265"/>
      <c r="Q131"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52">
    <cfRule type="expression" dxfId="95" priority="12" stopIfTrue="1">
      <formula>$F$52="超过30%"</formula>
    </cfRule>
  </conditionalFormatting>
  <conditionalFormatting sqref="G52">
    <cfRule type="expression" dxfId="94" priority="8" stopIfTrue="1">
      <formula>$H$52="超过30%"</formula>
    </cfRule>
  </conditionalFormatting>
  <conditionalFormatting sqref="I52">
    <cfRule type="expression" dxfId="93" priority="3" stopIfTrue="1">
      <formula>$J$52="超过30%"</formula>
    </cfRule>
  </conditionalFormatting>
  <conditionalFormatting sqref="J52">
    <cfRule type="containsText" dxfId="92" priority="6" stopIfTrue="1" operator="containsText" text="超过">
      <formula>NOT(ISERROR(SEARCH("超过",J52)))</formula>
    </cfRule>
  </conditionalFormatting>
  <conditionalFormatting sqref="E53">
    <cfRule type="expression" dxfId="91" priority="11" stopIfTrue="1">
      <formula>$F$53="超过20%"</formula>
    </cfRule>
  </conditionalFormatting>
  <conditionalFormatting sqref="G53">
    <cfRule type="expression" dxfId="90" priority="7" stopIfTrue="1">
      <formula>$H$53="超过20%"</formula>
    </cfRule>
  </conditionalFormatting>
  <conditionalFormatting sqref="I53">
    <cfRule type="expression" dxfId="89" priority="2" stopIfTrue="1">
      <formula>$J$53="超过20%"</formula>
    </cfRule>
  </conditionalFormatting>
  <conditionalFormatting sqref="J53">
    <cfRule type="containsText" dxfId="88" priority="4" stopIfTrue="1" operator="containsText" text="超过">
      <formula>NOT(ISERROR(SEARCH("超过",J53)))</formula>
    </cfRule>
  </conditionalFormatting>
  <conditionalFormatting sqref="E54">
    <cfRule type="expression" dxfId="87" priority="10" stopIfTrue="1">
      <formula>$F$54="超过30%"</formula>
    </cfRule>
  </conditionalFormatting>
  <conditionalFormatting sqref="F54">
    <cfRule type="containsText" dxfId="86" priority="14" stopIfTrue="1" operator="containsText" text="超过">
      <formula>NOT(ISERROR(SEARCH("超过",F54)))</formula>
    </cfRule>
  </conditionalFormatting>
  <conditionalFormatting sqref="G54">
    <cfRule type="expression" dxfId="85" priority="9" stopIfTrue="1">
      <formula>$H$54="超过30%"</formula>
    </cfRule>
  </conditionalFormatting>
  <conditionalFormatting sqref="H54">
    <cfRule type="containsText" dxfId="84" priority="15" stopIfTrue="1" operator="containsText" text="超过">
      <formula>NOT(ISERROR(SEARCH("超过",H54)))</formula>
    </cfRule>
  </conditionalFormatting>
  <conditionalFormatting sqref="I54">
    <cfRule type="expression" dxfId="83" priority="1" stopIfTrue="1">
      <formula>$J$54="超过30%"</formula>
    </cfRule>
  </conditionalFormatting>
  <conditionalFormatting sqref="J54">
    <cfRule type="containsText" dxfId="82" priority="5" stopIfTrue="1" operator="containsText" text="超过">
      <formula>NOT(ISERROR(SEARCH("超过",J54)))</formula>
    </cfRule>
  </conditionalFormatting>
  <conditionalFormatting sqref="F52 H52">
    <cfRule type="containsText" dxfId="81" priority="17" stopIfTrue="1" operator="containsText" text="超过">
      <formula>NOT(ISERROR(SEARCH("超过",F52)))</formula>
    </cfRule>
  </conditionalFormatting>
  <conditionalFormatting sqref="F53 H53">
    <cfRule type="containsText" dxfId="80" priority="13" stopIfTrue="1" operator="containsText" text="超过">
      <formula>NOT(ISERROR(SEARCH("超过",F53)))</formula>
    </cfRule>
  </conditionalFormatting>
  <dataValidations count="26">
    <dataValidation type="list" allowBlank="1" showInputMessage="1" showErrorMessage="1" sqref="D1">
      <formula1>项目类型汇总</formula1>
    </dataValidation>
    <dataValidation type="list" allowBlank="1" showInputMessage="1" showErrorMessage="1" sqref="E34 G34 I34">
      <formula1>住宅建筑结构</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34">
      <formula1>商业建筑结构</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42 E42 G42 I42">
      <formula1>商业内部装修</formula1>
    </dataValidation>
    <dataValidation type="list" allowBlank="1" showInputMessage="1" showErrorMessage="1" sqref="C18 E18 G18 I18">
      <formula1>交通便捷度</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sqref="A1:XFD1048576"/>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1235</v>
      </c>
      <c r="B1" s="1138" t="s">
        <v>1408</v>
      </c>
      <c r="C1" s="1233"/>
      <c r="D1" s="1078"/>
      <c r="E1" s="1079"/>
      <c r="F1" s="1080" t="s">
        <v>1238</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832</v>
      </c>
      <c r="B2" s="1082" t="e">
        <f ca="1">IF(D2="——",IF(C2="元",ROUND(C43*D3,0),ROUND(C43*D3/10000,0)),IF(C2="元",ROUND(C43*D3,0),ROUND(C43*D3/10000,0))-E2)</f>
        <v>#DIV/0!</v>
      </c>
      <c r="C2" s="1083" t="str">
        <f>'数据-取费表'!B3</f>
        <v>万元</v>
      </c>
      <c r="D2" s="1084"/>
      <c r="E2" s="1234"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855"/>
      <c r="AC2" s="912"/>
    </row>
    <row r="3" spans="1:29" s="702" customFormat="1" ht="28.5" customHeight="1">
      <c r="A3" s="407" t="s">
        <v>833</v>
      </c>
      <c r="B3" s="721" t="e">
        <f ca="1">ROUND(IF(D2="——",C43,IF(C2="万元",B2*10000/D3,B2/D3)),0)</f>
        <v>#DIV/0!</v>
      </c>
      <c r="C3" s="1088" t="s">
        <v>1239</v>
      </c>
      <c r="D3" s="1089">
        <f>IF(C1="仅计算典型户型",'数据-取费表'!E5,'数据-取费表'!B5)</f>
        <v>1024.48</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1240</v>
      </c>
      <c r="B4" s="723"/>
      <c r="C4" s="3004" t="s">
        <v>1241</v>
      </c>
      <c r="D4" s="3005"/>
      <c r="E4" s="3006" t="s">
        <v>1242</v>
      </c>
      <c r="F4" s="3007"/>
      <c r="G4" s="3004" t="s">
        <v>1243</v>
      </c>
      <c r="H4" s="3005"/>
      <c r="I4" s="3004" t="s">
        <v>1244</v>
      </c>
      <c r="J4" s="3005"/>
      <c r="K4" s="859" t="s">
        <v>1245</v>
      </c>
      <c r="L4" s="860"/>
      <c r="M4" s="861"/>
      <c r="N4" s="861"/>
      <c r="O4" s="861"/>
      <c r="P4" s="3065" t="s">
        <v>1246</v>
      </c>
      <c r="Q4" s="3024"/>
      <c r="R4" s="3038" t="s">
        <v>1242</v>
      </c>
      <c r="S4" s="3039"/>
      <c r="T4" s="3038" t="s">
        <v>1243</v>
      </c>
      <c r="U4" s="3039"/>
      <c r="V4" s="3048" t="s">
        <v>1244</v>
      </c>
      <c r="W4" s="3048"/>
      <c r="X4" s="898"/>
      <c r="Y4" s="3038" t="s">
        <v>1246</v>
      </c>
      <c r="Z4" s="3039"/>
      <c r="AA4" s="3035" t="s">
        <v>1242</v>
      </c>
      <c r="AB4" s="3036" t="s">
        <v>1243</v>
      </c>
      <c r="AC4" s="3035" t="s">
        <v>1244</v>
      </c>
    </row>
    <row r="5" spans="1:29" ht="15">
      <c r="A5" s="724"/>
      <c r="B5" s="725"/>
      <c r="C5" s="3008" t="s">
        <v>1371</v>
      </c>
      <c r="D5" s="3009"/>
      <c r="E5" s="3055" t="s">
        <v>1372</v>
      </c>
      <c r="F5" s="3011"/>
      <c r="G5" s="3008" t="s">
        <v>1373</v>
      </c>
      <c r="H5" s="3009"/>
      <c r="I5" s="3008" t="s">
        <v>1374</v>
      </c>
      <c r="J5" s="3009"/>
      <c r="K5" s="859"/>
      <c r="L5" s="860"/>
      <c r="M5" s="861"/>
      <c r="N5" s="861"/>
      <c r="O5" s="861"/>
      <c r="P5" s="3066"/>
      <c r="Q5" s="3025"/>
      <c r="R5" s="3040"/>
      <c r="S5" s="3041"/>
      <c r="T5" s="3040"/>
      <c r="U5" s="3041"/>
      <c r="V5" s="3048"/>
      <c r="W5" s="3048"/>
      <c r="X5" s="898"/>
      <c r="Y5" s="3040"/>
      <c r="Z5" s="3041"/>
      <c r="AA5" s="3036"/>
      <c r="AB5" s="3036"/>
      <c r="AC5" s="3036"/>
    </row>
    <row r="6" spans="1:29" ht="15">
      <c r="A6" s="726"/>
      <c r="B6" s="727"/>
      <c r="C6" s="3017" t="s">
        <v>1250</v>
      </c>
      <c r="D6" s="3014"/>
      <c r="E6" s="3015" t="s">
        <v>1250</v>
      </c>
      <c r="F6" s="3016"/>
      <c r="G6" s="3017" t="s">
        <v>1250</v>
      </c>
      <c r="H6" s="3014"/>
      <c r="I6" s="3017" t="s">
        <v>1250</v>
      </c>
      <c r="J6" s="3014"/>
      <c r="K6" s="859" t="s">
        <v>1251</v>
      </c>
      <c r="L6" s="860"/>
      <c r="M6" s="861"/>
      <c r="N6" s="861"/>
      <c r="O6" s="861"/>
      <c r="P6" s="3067"/>
      <c r="Q6" s="3047"/>
      <c r="R6" s="3040"/>
      <c r="S6" s="3041"/>
      <c r="T6" s="3042"/>
      <c r="U6" s="3043"/>
      <c r="V6" s="3048"/>
      <c r="W6" s="3048"/>
      <c r="X6" s="898"/>
      <c r="Y6" s="3042"/>
      <c r="Z6" s="3043"/>
      <c r="AA6" s="3037"/>
      <c r="AB6" s="3037"/>
      <c r="AC6" s="3037"/>
    </row>
    <row r="7" spans="1:29" s="703" customFormat="1" ht="15">
      <c r="A7" s="728" t="s">
        <v>1252</v>
      </c>
      <c r="B7" s="729"/>
      <c r="C7" s="730">
        <f>'数据-取费表'!B2</f>
        <v>43646</v>
      </c>
      <c r="D7" s="731">
        <v>100</v>
      </c>
      <c r="E7" s="732"/>
      <c r="F7" s="733">
        <f>SUMIF(52:52,YEAR(E7)&amp;"-"&amp;MONTH(E7),53:53)</f>
        <v>0</v>
      </c>
      <c r="G7" s="732"/>
      <c r="H7" s="731">
        <f>SUMIF(52:52,YEAR(G7)&amp;"-"&amp;MONTH(G7),53:53)</f>
        <v>0</v>
      </c>
      <c r="I7" s="732"/>
      <c r="J7" s="731">
        <f>SUMIF(52:52,YEAR(I7)&amp;"-"&amp;MONTH(I7),53:53)</f>
        <v>0</v>
      </c>
      <c r="K7" s="862"/>
      <c r="L7" s="863"/>
      <c r="M7" s="864"/>
      <c r="N7" s="864"/>
      <c r="O7" s="864"/>
      <c r="P7" s="3019" t="s">
        <v>1253</v>
      </c>
      <c r="Q7" s="3018"/>
      <c r="R7" s="900" t="s">
        <v>1254</v>
      </c>
      <c r="S7" s="901">
        <f t="shared" ref="S7:S15" si="0">F7</f>
        <v>0</v>
      </c>
      <c r="T7" s="900" t="s">
        <v>1254</v>
      </c>
      <c r="U7" s="901">
        <f t="shared" ref="U7:U15" si="1">H7</f>
        <v>0</v>
      </c>
      <c r="V7" s="900" t="s">
        <v>1254</v>
      </c>
      <c r="W7" s="901">
        <f t="shared" ref="W7:W15" si="2">J7</f>
        <v>0</v>
      </c>
      <c r="X7" s="902"/>
      <c r="Y7" s="3019" t="s">
        <v>1253</v>
      </c>
      <c r="Z7" s="3020"/>
      <c r="AA7" s="913" t="e">
        <f>D7/F7</f>
        <v>#DIV/0!</v>
      </c>
      <c r="AB7" s="913" t="e">
        <f>D7/H7</f>
        <v>#DIV/0!</v>
      </c>
      <c r="AC7" s="913" t="e">
        <f>D7/J7</f>
        <v>#DIV/0!</v>
      </c>
    </row>
    <row r="8" spans="1:29" s="703" customFormat="1" ht="15">
      <c r="A8" s="728" t="s">
        <v>1255</v>
      </c>
      <c r="B8" s="729"/>
      <c r="C8" s="735"/>
      <c r="D8" s="731">
        <v>100</v>
      </c>
      <c r="E8" s="735"/>
      <c r="F8" s="733">
        <f>SUMIF(55:55,E8,56:56)-SUMIF(55:55,C8,56:56)+100</f>
        <v>100</v>
      </c>
      <c r="G8" s="735"/>
      <c r="H8" s="731">
        <f>SUMIF(55:55,G8,56:56)-SUMIF(55:55,C8,56:56)+100</f>
        <v>100</v>
      </c>
      <c r="I8" s="735"/>
      <c r="J8" s="731">
        <f>SUMIF(55:55,I8,56:56)-SUMIF(55:55,C8,56:56)+100</f>
        <v>100</v>
      </c>
      <c r="K8" s="862"/>
      <c r="L8" s="863"/>
      <c r="M8" s="864"/>
      <c r="N8" s="864"/>
      <c r="O8" s="864"/>
      <c r="P8" s="3019" t="s">
        <v>1258</v>
      </c>
      <c r="Q8" s="3020"/>
      <c r="R8" s="900" t="s">
        <v>1254</v>
      </c>
      <c r="S8" s="901">
        <f t="shared" si="0"/>
        <v>100</v>
      </c>
      <c r="T8" s="900" t="s">
        <v>1254</v>
      </c>
      <c r="U8" s="901">
        <f t="shared" si="1"/>
        <v>100</v>
      </c>
      <c r="V8" s="900" t="s">
        <v>1254</v>
      </c>
      <c r="W8" s="901">
        <f t="shared" si="2"/>
        <v>100</v>
      </c>
      <c r="X8" s="902"/>
      <c r="Y8" s="3019" t="s">
        <v>1258</v>
      </c>
      <c r="Z8" s="3020"/>
      <c r="AA8" s="913">
        <f t="shared" ref="AA8:AA40" si="3">D8/F8</f>
        <v>1</v>
      </c>
      <c r="AB8" s="913">
        <f t="shared" ref="AB8:AB40" si="4">D8/H8</f>
        <v>1</v>
      </c>
      <c r="AC8" s="913">
        <f t="shared" ref="AC8:AC40" si="5">D8/J8</f>
        <v>1</v>
      </c>
    </row>
    <row r="9" spans="1:29" s="703" customFormat="1">
      <c r="A9" s="736" t="s">
        <v>1259</v>
      </c>
      <c r="B9" s="737" t="s">
        <v>1260</v>
      </c>
      <c r="C9" s="1090"/>
      <c r="D9" s="739">
        <v>100</v>
      </c>
      <c r="E9" s="1091"/>
      <c r="F9" s="739">
        <f>SUMIF(57:57,E9,58:58)-SUMIF(57:57,C9,58:58)+100</f>
        <v>100</v>
      </c>
      <c r="G9" s="1163"/>
      <c r="H9" s="739">
        <f>SUMIF(57:57,G9,58:58)-SUMIF(57:57,C9,58:58)+100</f>
        <v>100</v>
      </c>
      <c r="I9" s="1163"/>
      <c r="J9" s="739">
        <f>SUMIF(57:57,I9,58:58)-SUMIF(57:57,C9,58:58)+100</f>
        <v>100</v>
      </c>
      <c r="K9" s="862"/>
      <c r="L9" s="863"/>
      <c r="M9" s="864"/>
      <c r="N9" s="864"/>
      <c r="O9" s="865"/>
      <c r="P9" s="3022" t="s">
        <v>1261</v>
      </c>
      <c r="Q9" s="903" t="str">
        <f t="shared" ref="Q9:Q15" si="6">B9</f>
        <v>用途</v>
      </c>
      <c r="R9" s="900" t="s">
        <v>1254</v>
      </c>
      <c r="S9" s="901">
        <f t="shared" si="0"/>
        <v>100</v>
      </c>
      <c r="T9" s="900" t="s">
        <v>1254</v>
      </c>
      <c r="U9" s="901">
        <f t="shared" si="1"/>
        <v>100</v>
      </c>
      <c r="V9" s="900" t="s">
        <v>1254</v>
      </c>
      <c r="W9" s="901">
        <f t="shared" si="2"/>
        <v>100</v>
      </c>
      <c r="X9" s="902"/>
      <c r="Y9" s="2900" t="s">
        <v>1262</v>
      </c>
      <c r="Z9" s="914" t="str">
        <f t="shared" ref="Z9:Z15" si="7">Q9</f>
        <v>用途</v>
      </c>
      <c r="AA9" s="913">
        <f t="shared" si="3"/>
        <v>1</v>
      </c>
      <c r="AB9" s="913">
        <f t="shared" si="4"/>
        <v>1</v>
      </c>
      <c r="AC9" s="913">
        <f t="shared" si="5"/>
        <v>1</v>
      </c>
    </row>
    <row r="10" spans="1:29" s="704" customFormat="1" ht="27">
      <c r="A10" s="740"/>
      <c r="B10" s="741" t="s">
        <v>1263</v>
      </c>
      <c r="C10" s="1092"/>
      <c r="D10" s="743">
        <v>100</v>
      </c>
      <c r="E10" s="1092"/>
      <c r="F10" s="743">
        <f>SUMIF(59:59,E10,60:60)-SUMIF(59:59,C10,60:60)+100</f>
        <v>100</v>
      </c>
      <c r="G10" s="1093"/>
      <c r="H10" s="743">
        <f>SUMIF(59:59,G10,60:60)-SUMIF(59:59,C10,60:60)+100</f>
        <v>100</v>
      </c>
      <c r="I10" s="1092"/>
      <c r="J10" s="743">
        <f>SUMIF(59:59,I10,60:60)-SUMIF(59:59,C10,60:60)+100</f>
        <v>100</v>
      </c>
      <c r="K10" s="879"/>
      <c r="L10" s="867"/>
      <c r="M10" s="868"/>
      <c r="N10" s="868"/>
      <c r="O10" s="869"/>
      <c r="P10" s="3022"/>
      <c r="Q10" s="903" t="str">
        <f t="shared" si="6"/>
        <v>土地使用年限（年）</v>
      </c>
      <c r="R10" s="900" t="s">
        <v>1254</v>
      </c>
      <c r="S10" s="901">
        <f t="shared" si="0"/>
        <v>100</v>
      </c>
      <c r="T10" s="900" t="s">
        <v>1254</v>
      </c>
      <c r="U10" s="901">
        <f t="shared" si="1"/>
        <v>100</v>
      </c>
      <c r="V10" s="900" t="s">
        <v>1254</v>
      </c>
      <c r="W10" s="901">
        <f t="shared" si="2"/>
        <v>100</v>
      </c>
      <c r="X10" s="902"/>
      <c r="Y10" s="2900"/>
      <c r="Z10" s="914" t="str">
        <f t="shared" si="7"/>
        <v>土地使用年限（年）</v>
      </c>
      <c r="AA10" s="913">
        <f t="shared" si="3"/>
        <v>1</v>
      </c>
      <c r="AB10" s="913">
        <f t="shared" si="4"/>
        <v>1</v>
      </c>
      <c r="AC10" s="913">
        <f t="shared" si="5"/>
        <v>1</v>
      </c>
    </row>
    <row r="11" spans="1:29" ht="15">
      <c r="A11" s="744"/>
      <c r="B11" s="741" t="s">
        <v>1265</v>
      </c>
      <c r="C11" s="745"/>
      <c r="D11" s="743">
        <v>100</v>
      </c>
      <c r="E11" s="745"/>
      <c r="F11" s="743" t="e">
        <f>LOOKUP(E11,62:62,63:63)-LOOKUP(C11,62:62,63:63)+100</f>
        <v>#N/A</v>
      </c>
      <c r="G11" s="746"/>
      <c r="H11" s="743" t="e">
        <f>LOOKUP(G11,62:62,63:63)-LOOKUP(C11,62:62,63:63)+100</f>
        <v>#N/A</v>
      </c>
      <c r="I11" s="745"/>
      <c r="J11" s="743" t="e">
        <f>LOOKUP(I11,62:62,63:63)-LOOKUP(C11,62:62,63:63)+100</f>
        <v>#N/A</v>
      </c>
      <c r="K11" s="879"/>
      <c r="L11" s="871"/>
      <c r="M11" s="861"/>
      <c r="N11" s="861"/>
      <c r="O11" s="872"/>
      <c r="P11" s="3022"/>
      <c r="Q11" s="903" t="str">
        <f t="shared" si="6"/>
        <v>容积率</v>
      </c>
      <c r="R11" s="900" t="s">
        <v>1254</v>
      </c>
      <c r="S11" s="901" t="e">
        <f t="shared" si="0"/>
        <v>#N/A</v>
      </c>
      <c r="T11" s="900" t="s">
        <v>1254</v>
      </c>
      <c r="U11" s="901" t="e">
        <f t="shared" si="1"/>
        <v>#N/A</v>
      </c>
      <c r="V11" s="900" t="s">
        <v>1254</v>
      </c>
      <c r="W11" s="901" t="e">
        <f t="shared" si="2"/>
        <v>#N/A</v>
      </c>
      <c r="X11" s="902"/>
      <c r="Y11" s="2900"/>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743">
        <f>SUMIF(64:64,E12,65:65)-SUMIF(64:64,C12,65:65)+100</f>
        <v>100</v>
      </c>
      <c r="G12" s="1235"/>
      <c r="H12" s="743">
        <f>SUMIF(64:64,G12,65:65)-SUMIF(64:64,C12,65:65)+100</f>
        <v>100</v>
      </c>
      <c r="I12" s="1094"/>
      <c r="J12" s="743">
        <f>SUMIF(64:64,I12,65:65)-SUMIF(64:64,C12,65:65)+100</f>
        <v>100</v>
      </c>
      <c r="K12" s="878"/>
      <c r="L12" s="863"/>
      <c r="M12" s="864"/>
      <c r="N12" s="864"/>
      <c r="O12" s="865"/>
      <c r="P12" s="3022"/>
      <c r="Q12" s="903">
        <f t="shared" si="6"/>
        <v>111</v>
      </c>
      <c r="R12" s="900" t="s">
        <v>1254</v>
      </c>
      <c r="S12" s="901">
        <f t="shared" si="0"/>
        <v>100</v>
      </c>
      <c r="T12" s="900" t="s">
        <v>1254</v>
      </c>
      <c r="U12" s="901">
        <f t="shared" si="1"/>
        <v>100</v>
      </c>
      <c r="V12" s="900" t="s">
        <v>1254</v>
      </c>
      <c r="W12" s="901">
        <f t="shared" si="2"/>
        <v>100</v>
      </c>
      <c r="X12" s="902"/>
      <c r="Y12" s="2900"/>
      <c r="Z12" s="914">
        <f t="shared" si="7"/>
        <v>111</v>
      </c>
      <c r="AA12" s="913">
        <f t="shared" si="3"/>
        <v>1</v>
      </c>
      <c r="AB12" s="913">
        <f t="shared" si="4"/>
        <v>1</v>
      </c>
      <c r="AC12" s="913">
        <f t="shared" si="5"/>
        <v>1</v>
      </c>
    </row>
    <row r="13" spans="1:29" ht="15">
      <c r="A13" s="744"/>
      <c r="B13" s="748">
        <v>111</v>
      </c>
      <c r="C13" s="752"/>
      <c r="D13" s="753">
        <v>100</v>
      </c>
      <c r="E13" s="752"/>
      <c r="F13" s="743">
        <f>SUMIF(66:66,E13,67:67)-SUMIF(66:66,C13,67:67)+100</f>
        <v>100</v>
      </c>
      <c r="G13" s="1235"/>
      <c r="H13" s="753">
        <f>SUMIF(66:66,G13,67:67)-SUMIF(66:66,C13,67:67)+100</f>
        <v>100</v>
      </c>
      <c r="I13" s="1094"/>
      <c r="J13" s="753">
        <f>SUMIF(66:66,I13,67:67)-SUMIF(66:66,C13,67:67)+100</f>
        <v>100</v>
      </c>
      <c r="K13" s="878"/>
      <c r="L13" s="873"/>
      <c r="M13" s="861"/>
      <c r="N13" s="861"/>
      <c r="O13" s="872"/>
      <c r="P13" s="3022"/>
      <c r="Q13" s="903">
        <f t="shared" si="6"/>
        <v>111</v>
      </c>
      <c r="R13" s="900" t="s">
        <v>1254</v>
      </c>
      <c r="S13" s="901">
        <f t="shared" si="0"/>
        <v>100</v>
      </c>
      <c r="T13" s="900" t="s">
        <v>1254</v>
      </c>
      <c r="U13" s="901">
        <f t="shared" si="1"/>
        <v>100</v>
      </c>
      <c r="V13" s="900" t="s">
        <v>1254</v>
      </c>
      <c r="W13" s="901">
        <f t="shared" si="2"/>
        <v>100</v>
      </c>
      <c r="X13" s="902"/>
      <c r="Y13" s="2900"/>
      <c r="Z13" s="914">
        <f t="shared" si="7"/>
        <v>111</v>
      </c>
      <c r="AA13" s="913">
        <f t="shared" si="3"/>
        <v>1</v>
      </c>
      <c r="AB13" s="913">
        <f t="shared" si="4"/>
        <v>1</v>
      </c>
      <c r="AC13" s="913">
        <f t="shared" si="5"/>
        <v>1</v>
      </c>
    </row>
    <row r="14" spans="1:29" ht="15">
      <c r="A14" s="754"/>
      <c r="B14" s="755">
        <v>111</v>
      </c>
      <c r="C14" s="756"/>
      <c r="D14" s="757">
        <v>100</v>
      </c>
      <c r="E14" s="756"/>
      <c r="F14" s="757">
        <f>SUMIF(68:68,E14,69:69)-SUMIF(68:68,C14,69:69)+100</f>
        <v>100</v>
      </c>
      <c r="G14" s="1235"/>
      <c r="H14" s="757">
        <f>SUMIF(68:68,G14,69:69)-SUMIF(68:68,C14,69:69)+100</f>
        <v>100</v>
      </c>
      <c r="I14" s="1094"/>
      <c r="J14" s="757">
        <f>SUMIF(68:68,I14,69:69)-SUMIF(68:68,C14,69:69)+100</f>
        <v>100</v>
      </c>
      <c r="K14" s="878"/>
      <c r="L14" s="873"/>
      <c r="M14" s="861"/>
      <c r="N14" s="861"/>
      <c r="O14" s="872"/>
      <c r="P14" s="3022"/>
      <c r="Q14" s="903">
        <f t="shared" si="6"/>
        <v>111</v>
      </c>
      <c r="R14" s="900" t="s">
        <v>1254</v>
      </c>
      <c r="S14" s="901">
        <f t="shared" si="0"/>
        <v>100</v>
      </c>
      <c r="T14" s="900" t="s">
        <v>1254</v>
      </c>
      <c r="U14" s="901">
        <f t="shared" si="1"/>
        <v>100</v>
      </c>
      <c r="V14" s="900" t="s">
        <v>1254</v>
      </c>
      <c r="W14" s="901">
        <f t="shared" si="2"/>
        <v>100</v>
      </c>
      <c r="X14" s="902"/>
      <c r="Y14" s="2900"/>
      <c r="Z14" s="914">
        <f t="shared" si="7"/>
        <v>111</v>
      </c>
      <c r="AA14" s="913">
        <f t="shared" si="3"/>
        <v>1</v>
      </c>
      <c r="AB14" s="913">
        <f t="shared" si="4"/>
        <v>1</v>
      </c>
      <c r="AC14" s="913">
        <f t="shared" si="5"/>
        <v>1</v>
      </c>
    </row>
    <row r="15" spans="1:29" ht="57">
      <c r="A15" s="758" t="s">
        <v>1266</v>
      </c>
      <c r="B15" s="1095" t="s">
        <v>210</v>
      </c>
      <c r="C15" s="760" t="str">
        <f>估价对象房地状况!G3</f>
        <v>估价对象位于XX开发区，园区建设成熟度XX，产业集聚程度XX</v>
      </c>
      <c r="D15" s="761">
        <v>100</v>
      </c>
      <c r="E15" s="762"/>
      <c r="F15" s="1096">
        <f>SUMIF(70:70,E16,71:71)-SUMIF(70:70,C16,71:71)+100</f>
        <v>100</v>
      </c>
      <c r="G15" s="874"/>
      <c r="H15" s="761">
        <f>SUMIF(70:70,G16,71:71)-SUMIF(70:70,C16,71:71)+100</f>
        <v>100</v>
      </c>
      <c r="I15" s="762"/>
      <c r="J15" s="761">
        <f>SUMIF(70:70,I16,71:71)-SUMIF(70:70,C16,71:71)+100</f>
        <v>100</v>
      </c>
      <c r="K15" s="1140"/>
      <c r="L15" s="873"/>
      <c r="M15" s="861"/>
      <c r="N15" s="861"/>
      <c r="O15" s="872"/>
      <c r="P15" s="3029" t="s">
        <v>1267</v>
      </c>
      <c r="Q15" s="492" t="str">
        <f t="shared" si="6"/>
        <v>产业集聚程度</v>
      </c>
      <c r="R15" s="904" t="s">
        <v>1254</v>
      </c>
      <c r="S15" s="905">
        <f t="shared" si="0"/>
        <v>100</v>
      </c>
      <c r="T15" s="904" t="s">
        <v>1254</v>
      </c>
      <c r="U15" s="905">
        <f t="shared" si="1"/>
        <v>100</v>
      </c>
      <c r="V15" s="904" t="s">
        <v>1254</v>
      </c>
      <c r="W15" s="905">
        <f t="shared" si="2"/>
        <v>100</v>
      </c>
      <c r="X15" s="898"/>
      <c r="Y15" s="3029" t="s">
        <v>1267</v>
      </c>
      <c r="Z15" s="833" t="str">
        <f t="shared" si="7"/>
        <v>产业集聚程度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72"/>
      <c r="P16" s="3030"/>
      <c r="Q16" s="492"/>
      <c r="R16" s="904"/>
      <c r="S16" s="905"/>
      <c r="T16" s="904"/>
      <c r="U16" s="905"/>
      <c r="V16" s="904"/>
      <c r="W16" s="905"/>
      <c r="X16" s="898"/>
      <c r="Y16" s="3030"/>
      <c r="Z16" s="833"/>
      <c r="AA16" s="915">
        <v>1</v>
      </c>
      <c r="AB16" s="915">
        <v>1</v>
      </c>
      <c r="AC16" s="915">
        <v>1</v>
      </c>
    </row>
    <row r="17" spans="1:29" ht="85.5">
      <c r="A17" s="744"/>
      <c r="B17" s="1101" t="s">
        <v>211</v>
      </c>
      <c r="C17" s="769" t="str">
        <f>估价对象房地状况!G4</f>
        <v>估价对象周边道路状况、公共交通通达情况、停车便捷程度，综合评价交通便捷度较好</v>
      </c>
      <c r="D17" s="767">
        <v>100</v>
      </c>
      <c r="E17" s="770"/>
      <c r="F17" s="1099">
        <f>SUMIF(72:72,E18,73:73)-SUMIF(72:72,C18,73:73)+100</f>
        <v>100</v>
      </c>
      <c r="G17" s="875"/>
      <c r="H17" s="771">
        <f>SUMIF(72:72,G18,73:73)-SUMIF(72:72,C18,73:73)+100</f>
        <v>100</v>
      </c>
      <c r="I17" s="770"/>
      <c r="J17" s="771">
        <f>SUMIF(72:72,I18,73:73)-SUMIF(72:72,C18,73:73)+100</f>
        <v>100</v>
      </c>
      <c r="K17" s="1140"/>
      <c r="L17" s="873"/>
      <c r="M17" s="861"/>
      <c r="N17" s="861"/>
      <c r="O17" s="872"/>
      <c r="P17" s="3030"/>
      <c r="Q17" s="492" t="str">
        <f>B17</f>
        <v>交通便捷度</v>
      </c>
      <c r="R17" s="904" t="s">
        <v>1254</v>
      </c>
      <c r="S17" s="905">
        <f>F17</f>
        <v>100</v>
      </c>
      <c r="T17" s="904" t="s">
        <v>1254</v>
      </c>
      <c r="U17" s="905">
        <f>H17</f>
        <v>100</v>
      </c>
      <c r="V17" s="904" t="s">
        <v>1254</v>
      </c>
      <c r="W17" s="905">
        <f>J17</f>
        <v>100</v>
      </c>
      <c r="X17" s="898"/>
      <c r="Y17" s="3030"/>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72"/>
      <c r="P18" s="3030"/>
      <c r="Q18" s="492"/>
      <c r="R18" s="904"/>
      <c r="S18" s="905"/>
      <c r="T18" s="904"/>
      <c r="U18" s="905"/>
      <c r="V18" s="904"/>
      <c r="W18" s="905"/>
      <c r="X18" s="898"/>
      <c r="Y18" s="3030"/>
      <c r="Z18" s="833"/>
      <c r="AA18" s="915">
        <v>1</v>
      </c>
      <c r="AB18" s="915">
        <v>1</v>
      </c>
      <c r="AC18" s="915">
        <v>1</v>
      </c>
    </row>
    <row r="19" spans="1:29" ht="42.75">
      <c r="A19" s="744"/>
      <c r="B19" s="768" t="s">
        <v>213</v>
      </c>
      <c r="C19" s="769" t="str">
        <f>估价对象房地状况!G5</f>
        <v>估价对象所在区域公共配套设施齐备情况</v>
      </c>
      <c r="D19" s="771">
        <v>100</v>
      </c>
      <c r="E19" s="1045"/>
      <c r="F19" s="1102">
        <f>SUMIF(74:74,E20,75:75)-SUMIF(74:74,C20,75:75)+100</f>
        <v>100</v>
      </c>
      <c r="G19" s="1062"/>
      <c r="H19" s="767">
        <f>SUMIF(74:74,G20,75:75)-SUMIF(74:74,C20,75:75)+100</f>
        <v>100</v>
      </c>
      <c r="I19" s="1045"/>
      <c r="J19" s="767">
        <f>SUMIF(74:74,I20,75:75)-SUMIF(74:74,C20,75:75)+100</f>
        <v>100</v>
      </c>
      <c r="K19" s="1140"/>
      <c r="L19" s="873"/>
      <c r="M19" s="861"/>
      <c r="N19" s="861"/>
      <c r="O19" s="872"/>
      <c r="P19" s="3030"/>
      <c r="Q19" s="492" t="str">
        <f>B19</f>
        <v>公共配套设施</v>
      </c>
      <c r="R19" s="904" t="s">
        <v>1254</v>
      </c>
      <c r="S19" s="905">
        <f>F19</f>
        <v>100</v>
      </c>
      <c r="T19" s="904" t="s">
        <v>1254</v>
      </c>
      <c r="U19" s="905">
        <f>H19</f>
        <v>100</v>
      </c>
      <c r="V19" s="904" t="s">
        <v>1254</v>
      </c>
      <c r="W19" s="905">
        <f>J19</f>
        <v>100</v>
      </c>
      <c r="X19" s="898"/>
      <c r="Y19" s="3030"/>
      <c r="Z19" s="833" t="str">
        <f>Q19</f>
        <v>公共配套设施</v>
      </c>
      <c r="AA19" s="915">
        <f t="shared" si="3"/>
        <v>1</v>
      </c>
      <c r="AB19" s="915">
        <f t="shared" si="4"/>
        <v>1</v>
      </c>
      <c r="AC19" s="915">
        <f t="shared" si="5"/>
        <v>1</v>
      </c>
    </row>
    <row r="20" spans="1:29" ht="15">
      <c r="A20" s="744"/>
      <c r="B20" s="772"/>
      <c r="C20" s="764"/>
      <c r="D20" s="765"/>
      <c r="E20" s="773"/>
      <c r="F20" s="1098"/>
      <c r="G20" s="876"/>
      <c r="H20" s="765"/>
      <c r="I20" s="773"/>
      <c r="J20" s="765"/>
      <c r="K20" s="1141"/>
      <c r="L20" s="873"/>
      <c r="M20" s="861"/>
      <c r="N20" s="861"/>
      <c r="O20" s="872"/>
      <c r="P20" s="3030"/>
      <c r="Q20" s="492"/>
      <c r="R20" s="904"/>
      <c r="S20" s="905"/>
      <c r="T20" s="904"/>
      <c r="U20" s="905"/>
      <c r="V20" s="904"/>
      <c r="W20" s="905"/>
      <c r="X20" s="898"/>
      <c r="Y20" s="3030"/>
      <c r="Z20" s="833"/>
      <c r="AA20" s="915">
        <v>1</v>
      </c>
      <c r="AB20" s="915">
        <v>1</v>
      </c>
      <c r="AC20" s="915">
        <v>1</v>
      </c>
    </row>
    <row r="21" spans="1:29" ht="28.5">
      <c r="A21" s="744"/>
      <c r="B21" s="776" t="s">
        <v>214</v>
      </c>
      <c r="C21" s="769" t="str">
        <f>估价对象房地状况!G6</f>
        <v>估价对象所在区域基础设施水平</v>
      </c>
      <c r="D21" s="771">
        <v>100</v>
      </c>
      <c r="E21" s="1045"/>
      <c r="F21" s="1102">
        <f>SUMIF(76:76,E22,77:77)-SUMIF(76:76,C22,77:77)+100</f>
        <v>100</v>
      </c>
      <c r="G21" s="1062"/>
      <c r="H21" s="767">
        <f>SUMIF(76:76,G22,77:77)-SUMIF(76:76,C22,77:77)+100</f>
        <v>100</v>
      </c>
      <c r="I21" s="1045"/>
      <c r="J21" s="767">
        <f>SUMIF(76:76,I22,77:77)-SUMIF(76:76,C22,77:77)+100</f>
        <v>100</v>
      </c>
      <c r="K21" s="1140"/>
      <c r="L21" s="873"/>
      <c r="M21" s="861"/>
      <c r="N21" s="861"/>
      <c r="O21" s="872"/>
      <c r="P21" s="3030"/>
      <c r="Q21" s="492" t="str">
        <f>B21</f>
        <v>基础设施水平</v>
      </c>
      <c r="R21" s="904" t="s">
        <v>1254</v>
      </c>
      <c r="S21" s="905">
        <f>F21</f>
        <v>100</v>
      </c>
      <c r="T21" s="904" t="s">
        <v>1254</v>
      </c>
      <c r="U21" s="905">
        <f>H21</f>
        <v>100</v>
      </c>
      <c r="V21" s="904" t="s">
        <v>1254</v>
      </c>
      <c r="W21" s="905">
        <f>J21</f>
        <v>100</v>
      </c>
      <c r="X21" s="898"/>
      <c r="Y21" s="3030"/>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72"/>
      <c r="P22" s="3030"/>
      <c r="Q22" s="492"/>
      <c r="R22" s="904"/>
      <c r="S22" s="905"/>
      <c r="T22" s="904"/>
      <c r="U22" s="905"/>
      <c r="V22" s="904"/>
      <c r="W22" s="905"/>
      <c r="X22" s="898"/>
      <c r="Y22" s="3030"/>
      <c r="Z22" s="833"/>
      <c r="AA22" s="915">
        <v>1</v>
      </c>
      <c r="AB22" s="915">
        <v>1</v>
      </c>
      <c r="AC22" s="915">
        <v>1</v>
      </c>
    </row>
    <row r="23" spans="1:29" ht="71.25">
      <c r="A23" s="744"/>
      <c r="B23" s="1101" t="s">
        <v>215</v>
      </c>
      <c r="C23" s="769" t="str">
        <f>估价对象房地状况!G7</f>
        <v>该园区内是否有污染型企业，绿化情况，卫生条件，整体环境状况判断</v>
      </c>
      <c r="D23" s="767">
        <v>100</v>
      </c>
      <c r="E23" s="770"/>
      <c r="F23" s="1099">
        <f>SUMIF(78:78,E24,79:79)-SUMIF(78:78,C24,79:79)+100</f>
        <v>100</v>
      </c>
      <c r="G23" s="875"/>
      <c r="H23" s="767">
        <f>SUMIF(78:78,G24,79:79)-SUMIF(78:78,C24,79:79)+100</f>
        <v>100</v>
      </c>
      <c r="I23" s="770"/>
      <c r="J23" s="767">
        <f>SUMIF(78:78,I24,79:79)-SUMIF(78:78,C24,79:79)+100</f>
        <v>100</v>
      </c>
      <c r="K23" s="1140"/>
      <c r="L23" s="873"/>
      <c r="M23" s="861"/>
      <c r="N23" s="861"/>
      <c r="O23" s="872"/>
      <c r="P23" s="3030"/>
      <c r="Q23" s="492" t="str">
        <f>B23</f>
        <v>环境质量</v>
      </c>
      <c r="R23" s="904" t="s">
        <v>1254</v>
      </c>
      <c r="S23" s="905">
        <f>F23</f>
        <v>100</v>
      </c>
      <c r="T23" s="904" t="s">
        <v>1254</v>
      </c>
      <c r="U23" s="905">
        <f>H23</f>
        <v>100</v>
      </c>
      <c r="V23" s="904" t="s">
        <v>1254</v>
      </c>
      <c r="W23" s="905">
        <f>J23</f>
        <v>100</v>
      </c>
      <c r="X23" s="898"/>
      <c r="Y23" s="3030"/>
      <c r="Z23" s="833" t="str">
        <f>Q23</f>
        <v>环境质量</v>
      </c>
      <c r="AA23" s="915">
        <f t="shared" si="3"/>
        <v>1</v>
      </c>
      <c r="AB23" s="915">
        <f t="shared" si="4"/>
        <v>1</v>
      </c>
      <c r="AC23" s="915">
        <f t="shared" si="5"/>
        <v>1</v>
      </c>
    </row>
    <row r="24" spans="1:29" ht="15">
      <c r="A24" s="744"/>
      <c r="B24" s="1236"/>
      <c r="C24" s="764"/>
      <c r="D24" s="765"/>
      <c r="E24" s="773"/>
      <c r="F24" s="1098"/>
      <c r="G24" s="876"/>
      <c r="H24" s="765"/>
      <c r="I24" s="773"/>
      <c r="J24" s="765"/>
      <c r="K24" s="1141"/>
      <c r="L24" s="873"/>
      <c r="M24" s="861"/>
      <c r="N24" s="861"/>
      <c r="O24" s="872"/>
      <c r="P24" s="3030"/>
      <c r="Q24" s="492"/>
      <c r="R24" s="904"/>
      <c r="S24" s="905"/>
      <c r="T24" s="904"/>
      <c r="U24" s="905"/>
      <c r="V24" s="904"/>
      <c r="W24" s="905"/>
      <c r="X24" s="898"/>
      <c r="Y24" s="3030"/>
      <c r="Z24" s="833"/>
      <c r="AA24" s="915">
        <v>1</v>
      </c>
      <c r="AB24" s="915">
        <v>1</v>
      </c>
      <c r="AC24" s="915">
        <v>1</v>
      </c>
    </row>
    <row r="25" spans="1:29" ht="15">
      <c r="A25" s="724"/>
      <c r="B25" s="1237">
        <v>111</v>
      </c>
      <c r="C25" s="752"/>
      <c r="D25" s="753">
        <v>100</v>
      </c>
      <c r="E25" s="752"/>
      <c r="F25" s="1103">
        <f>SUMIF(80:80,E25,81:81)-SUMIF(80:80,C25,81:81)+100</f>
        <v>100</v>
      </c>
      <c r="G25" s="752"/>
      <c r="H25" s="753">
        <f>SUMIF(80:80,G25,81:81)-SUMIF(80:80,C25,81:81)+100</f>
        <v>100</v>
      </c>
      <c r="I25" s="752"/>
      <c r="J25" s="753">
        <f>SUMIF(80:80,I25,81:81)-SUMIF(80:80,C25,81:81)+100</f>
        <v>100</v>
      </c>
      <c r="K25" s="878"/>
      <c r="L25" s="873"/>
      <c r="M25" s="861"/>
      <c r="N25" s="861"/>
      <c r="O25" s="872"/>
      <c r="P25" s="3030"/>
      <c r="Q25" s="492">
        <f>B25</f>
        <v>111</v>
      </c>
      <c r="R25" s="904" t="s">
        <v>1254</v>
      </c>
      <c r="S25" s="905">
        <f>F25</f>
        <v>100</v>
      </c>
      <c r="T25" s="904" t="s">
        <v>1254</v>
      </c>
      <c r="U25" s="905">
        <f>H25</f>
        <v>100</v>
      </c>
      <c r="V25" s="904" t="s">
        <v>1254</v>
      </c>
      <c r="W25" s="905">
        <f>J25</f>
        <v>100</v>
      </c>
      <c r="X25" s="898"/>
      <c r="Y25" s="3030"/>
      <c r="Z25" s="833">
        <f>Q25</f>
        <v>111</v>
      </c>
      <c r="AA25" s="915">
        <f t="shared" si="3"/>
        <v>1</v>
      </c>
      <c r="AB25" s="915">
        <f t="shared" si="4"/>
        <v>1</v>
      </c>
      <c r="AC25" s="915">
        <f t="shared" si="5"/>
        <v>1</v>
      </c>
    </row>
    <row r="26" spans="1:29" ht="15">
      <c r="A26" s="744"/>
      <c r="B26" s="1237">
        <v>111</v>
      </c>
      <c r="C26" s="752"/>
      <c r="D26" s="753">
        <v>100</v>
      </c>
      <c r="E26" s="752"/>
      <c r="F26" s="1103">
        <f>SUMIF(82:82,E26,83:83)-SUMIF(82:82,C26,83:83)+100</f>
        <v>100</v>
      </c>
      <c r="G26" s="752"/>
      <c r="H26" s="753">
        <f>SUMIF(82:82,G26,83:83)-SUMIF(82:82,C26,83:83)+100</f>
        <v>100</v>
      </c>
      <c r="I26" s="752"/>
      <c r="J26" s="753">
        <f>SUMIF(82:82,I26,83:83)-SUMIF(82:82,C26,83:83)+100</f>
        <v>100</v>
      </c>
      <c r="K26" s="878"/>
      <c r="L26" s="873"/>
      <c r="M26" s="861"/>
      <c r="N26" s="861"/>
      <c r="O26" s="872"/>
      <c r="P26" s="3030"/>
      <c r="Q26" s="492">
        <f t="shared" ref="Q26:Q40" si="11">B26</f>
        <v>111</v>
      </c>
      <c r="R26" s="904" t="s">
        <v>1254</v>
      </c>
      <c r="S26" s="905">
        <f>F26</f>
        <v>100</v>
      </c>
      <c r="T26" s="904" t="s">
        <v>1254</v>
      </c>
      <c r="U26" s="905">
        <f>H26</f>
        <v>100</v>
      </c>
      <c r="V26" s="904" t="s">
        <v>1254</v>
      </c>
      <c r="W26" s="905">
        <f>J26</f>
        <v>100</v>
      </c>
      <c r="X26" s="898"/>
      <c r="Y26" s="3030"/>
      <c r="Z26" s="833">
        <f>Q26</f>
        <v>111</v>
      </c>
      <c r="AA26" s="915">
        <f t="shared" si="3"/>
        <v>1</v>
      </c>
      <c r="AB26" s="915">
        <f t="shared" si="4"/>
        <v>1</v>
      </c>
      <c r="AC26" s="915">
        <f t="shared" si="5"/>
        <v>1</v>
      </c>
    </row>
    <row r="27" spans="1:29" s="703" customFormat="1" ht="15">
      <c r="A27" s="747"/>
      <c r="B27" s="1237">
        <v>111</v>
      </c>
      <c r="C27" s="752"/>
      <c r="D27" s="1238">
        <v>100</v>
      </c>
      <c r="E27" s="752"/>
      <c r="F27" s="1239">
        <f>SUMIF(84:84,E27,85:85)-SUMIF(84:84,C27,85:85)+100</f>
        <v>100</v>
      </c>
      <c r="G27" s="752"/>
      <c r="H27" s="1238">
        <f>SUMIF(84:84,G27,85:85)-SUMIF(84:84,C27,85:85)+100</f>
        <v>100</v>
      </c>
      <c r="I27" s="752"/>
      <c r="J27" s="1238">
        <f>SUMIF(84:84,I27,85:85)-SUMIF(84:84,C27,85:85)+100</f>
        <v>100</v>
      </c>
      <c r="K27" s="878"/>
      <c r="L27" s="863"/>
      <c r="M27" s="864"/>
      <c r="N27" s="864"/>
      <c r="O27" s="865"/>
      <c r="P27" s="3030"/>
      <c r="Q27" s="903">
        <f t="shared" si="11"/>
        <v>111</v>
      </c>
      <c r="R27" s="900" t="s">
        <v>1254</v>
      </c>
      <c r="S27" s="901">
        <f>F27</f>
        <v>100</v>
      </c>
      <c r="T27" s="900" t="s">
        <v>1254</v>
      </c>
      <c r="U27" s="901">
        <f>H27</f>
        <v>100</v>
      </c>
      <c r="V27" s="900" t="s">
        <v>1254</v>
      </c>
      <c r="W27" s="901">
        <f>J27</f>
        <v>100</v>
      </c>
      <c r="X27" s="902"/>
      <c r="Y27" s="3030"/>
      <c r="Z27" s="914">
        <f>Q27</f>
        <v>111</v>
      </c>
      <c r="AA27" s="915">
        <f t="shared" si="3"/>
        <v>1</v>
      </c>
      <c r="AB27" s="915">
        <f t="shared" si="4"/>
        <v>1</v>
      </c>
      <c r="AC27" s="915">
        <f t="shared" si="5"/>
        <v>1</v>
      </c>
    </row>
    <row r="28" spans="1:29" ht="15">
      <c r="A28" s="754"/>
      <c r="B28" s="1237">
        <v>111</v>
      </c>
      <c r="C28" s="756"/>
      <c r="D28" s="757">
        <v>100</v>
      </c>
      <c r="E28" s="752"/>
      <c r="F28" s="1117">
        <f>SUMIF(86:86,E28,87:87)-SUMIF(86:86,C28,87:87)+100</f>
        <v>100</v>
      </c>
      <c r="G28" s="1094"/>
      <c r="H28" s="757">
        <f>SUMIF(86:86,G28,87:87)-SUMIF(86:86,C28,87:87)+100</f>
        <v>100</v>
      </c>
      <c r="I28" s="1094"/>
      <c r="J28" s="757">
        <f>SUMIF(86:86,I28,87:87)-SUMIF(86:86,C28,87:87)+100</f>
        <v>100</v>
      </c>
      <c r="K28" s="878"/>
      <c r="L28" s="873"/>
      <c r="M28" s="861"/>
      <c r="N28" s="861"/>
      <c r="O28" s="872"/>
      <c r="P28" s="3030"/>
      <c r="Q28" s="492">
        <f t="shared" si="11"/>
        <v>111</v>
      </c>
      <c r="R28" s="904" t="s">
        <v>1254</v>
      </c>
      <c r="S28" s="905">
        <f t="shared" ref="S28:S40" si="12">F28</f>
        <v>100</v>
      </c>
      <c r="T28" s="904" t="s">
        <v>1254</v>
      </c>
      <c r="U28" s="905">
        <f t="shared" ref="U28:U40" si="13">H28</f>
        <v>100</v>
      </c>
      <c r="V28" s="904" t="s">
        <v>1254</v>
      </c>
      <c r="W28" s="905">
        <f t="shared" ref="W28:W40" si="14">J28</f>
        <v>100</v>
      </c>
      <c r="X28" s="898"/>
      <c r="Y28" s="3030"/>
      <c r="Z28" s="833">
        <f t="shared" ref="Z28:Z40" si="15">Q28</f>
        <v>111</v>
      </c>
      <c r="AA28" s="915">
        <f t="shared" si="3"/>
        <v>1</v>
      </c>
      <c r="AB28" s="915">
        <f t="shared" si="4"/>
        <v>1</v>
      </c>
      <c r="AC28" s="915">
        <f t="shared" si="5"/>
        <v>1</v>
      </c>
    </row>
    <row r="29" spans="1:29" ht="28.5">
      <c r="A29" s="1107" t="s">
        <v>1276</v>
      </c>
      <c r="B29" s="737" t="s">
        <v>1277</v>
      </c>
      <c r="C29" s="1108" t="s">
        <v>1409</v>
      </c>
      <c r="D29" s="795">
        <v>100</v>
      </c>
      <c r="E29" s="1108"/>
      <c r="F29" s="1103">
        <f>SUMIF(88:88,E29,89:89)-SUMIF(88:88,C29,89:89)+100</f>
        <v>100</v>
      </c>
      <c r="G29" s="1108"/>
      <c r="H29" s="753">
        <f>SUMIF(88:88,G29,89:89)-SUMIF(88:88,C29,89:89)+100</f>
        <v>100</v>
      </c>
      <c r="I29" s="1108"/>
      <c r="J29" s="795">
        <f>SUMIF(88:88,I29,89:89)-SUMIF(88:88,C29,89:89)+100</f>
        <v>100</v>
      </c>
      <c r="K29" s="879"/>
      <c r="L29" s="873"/>
      <c r="M29" s="861"/>
      <c r="N29" s="861"/>
      <c r="O29" s="872"/>
      <c r="P29" s="3068" t="s">
        <v>1279</v>
      </c>
      <c r="Q29" s="492" t="str">
        <f t="shared" si="11"/>
        <v>建筑类型</v>
      </c>
      <c r="R29" s="904" t="s">
        <v>1254</v>
      </c>
      <c r="S29" s="905">
        <f t="shared" si="12"/>
        <v>100</v>
      </c>
      <c r="T29" s="904" t="s">
        <v>1254</v>
      </c>
      <c r="U29" s="905">
        <f t="shared" si="13"/>
        <v>100</v>
      </c>
      <c r="V29" s="904" t="s">
        <v>1254</v>
      </c>
      <c r="W29" s="905">
        <f t="shared" si="14"/>
        <v>100</v>
      </c>
      <c r="X29" s="898"/>
      <c r="Y29" s="3031" t="s">
        <v>1279</v>
      </c>
      <c r="Z29" s="833" t="str">
        <f t="shared" si="15"/>
        <v>建筑类型</v>
      </c>
      <c r="AA29" s="915">
        <f t="shared" si="3"/>
        <v>1</v>
      </c>
      <c r="AB29" s="915">
        <f t="shared" si="4"/>
        <v>1</v>
      </c>
      <c r="AC29" s="915">
        <f t="shared" si="5"/>
        <v>1</v>
      </c>
    </row>
    <row r="30" spans="1:29" s="705" customFormat="1" ht="15">
      <c r="A30" s="800"/>
      <c r="B30" s="741" t="s">
        <v>1280</v>
      </c>
      <c r="C30" s="1094">
        <v>10000</v>
      </c>
      <c r="D30" s="743">
        <v>100</v>
      </c>
      <c r="E30" s="746"/>
      <c r="F30" s="1240" t="e">
        <f>LOOKUP(E30,91:91,92:92)-LOOKUP(C30,91:91,92:92)+100</f>
        <v>#N/A</v>
      </c>
      <c r="G30" s="745"/>
      <c r="H30" s="743" t="e">
        <f>LOOKUP(G30,91:91,92:92)-LOOKUP(C30,91:91,92:92)+100</f>
        <v>#N/A</v>
      </c>
      <c r="I30" s="745"/>
      <c r="J30" s="743" t="e">
        <f>LOOKUP(I30,91:91,92:92)-LOOKUP(C30,91:91,92:92)+100</f>
        <v>#N/A</v>
      </c>
      <c r="K30" s="878"/>
      <c r="L30" s="871"/>
      <c r="M30" s="880"/>
      <c r="N30" s="880"/>
      <c r="O30" s="881"/>
      <c r="P30" s="3031"/>
      <c r="Q30" s="1147" t="str">
        <f t="shared" si="11"/>
        <v>项目建筑规模</v>
      </c>
      <c r="R30" s="906" t="s">
        <v>1254</v>
      </c>
      <c r="S30" s="907" t="e">
        <f t="shared" si="12"/>
        <v>#N/A</v>
      </c>
      <c r="T30" s="906" t="s">
        <v>1254</v>
      </c>
      <c r="U30" s="907" t="e">
        <f t="shared" si="13"/>
        <v>#N/A</v>
      </c>
      <c r="V30" s="906" t="s">
        <v>1254</v>
      </c>
      <c r="W30" s="907" t="e">
        <f t="shared" si="14"/>
        <v>#N/A</v>
      </c>
      <c r="X30" s="908"/>
      <c r="Y30" s="3031"/>
      <c r="Z30" s="916" t="str">
        <f t="shared" si="15"/>
        <v>项目建筑规模</v>
      </c>
      <c r="AA30" s="915" t="e">
        <f t="shared" si="3"/>
        <v>#N/A</v>
      </c>
      <c r="AB30" s="915" t="e">
        <f t="shared" si="4"/>
        <v>#N/A</v>
      </c>
      <c r="AC30" s="915" t="e">
        <f t="shared" si="5"/>
        <v>#N/A</v>
      </c>
    </row>
    <row r="31" spans="1:29" ht="15">
      <c r="A31" s="792"/>
      <c r="B31" s="741" t="s">
        <v>1281</v>
      </c>
      <c r="C31" s="1113" t="s">
        <v>1410</v>
      </c>
      <c r="D31" s="753">
        <v>100</v>
      </c>
      <c r="E31" s="1113"/>
      <c r="F31" s="1103">
        <f>SUMIF(93:93,E31,94:94)-SUMIF(93:93,C31,94:94)+100</f>
        <v>100</v>
      </c>
      <c r="G31" s="1113"/>
      <c r="H31" s="753">
        <f>SUMIF(93:93,G31,94:94)-SUMIF(93:93,C31,94:94)+100</f>
        <v>100</v>
      </c>
      <c r="I31" s="1113"/>
      <c r="J31" s="753">
        <f>SUMIF(93:93,I31,94:94)-SUMIF(93:93,C31,94:94)+100</f>
        <v>100</v>
      </c>
      <c r="K31" s="879"/>
      <c r="L31" s="873"/>
      <c r="M31" s="861"/>
      <c r="N31" s="861"/>
      <c r="O31" s="872"/>
      <c r="P31" s="3031"/>
      <c r="Q31" s="492" t="str">
        <f t="shared" si="11"/>
        <v>建筑结构</v>
      </c>
      <c r="R31" s="904" t="s">
        <v>1254</v>
      </c>
      <c r="S31" s="905">
        <f t="shared" si="12"/>
        <v>100</v>
      </c>
      <c r="T31" s="904" t="s">
        <v>1254</v>
      </c>
      <c r="U31" s="905">
        <f t="shared" si="13"/>
        <v>100</v>
      </c>
      <c r="V31" s="904" t="s">
        <v>1254</v>
      </c>
      <c r="W31" s="905">
        <f t="shared" si="14"/>
        <v>100</v>
      </c>
      <c r="X31" s="898"/>
      <c r="Y31" s="3031"/>
      <c r="Z31" s="833" t="str">
        <f t="shared" si="15"/>
        <v>建筑结构</v>
      </c>
      <c r="AA31" s="915">
        <f t="shared" si="3"/>
        <v>1</v>
      </c>
      <c r="AB31" s="915">
        <f t="shared" si="4"/>
        <v>1</v>
      </c>
      <c r="AC31" s="915">
        <f t="shared" si="5"/>
        <v>1</v>
      </c>
    </row>
    <row r="32" spans="1:29" ht="15">
      <c r="A32" s="792"/>
      <c r="B32" s="741" t="s">
        <v>1282</v>
      </c>
      <c r="C32" s="1113" t="s">
        <v>1411</v>
      </c>
      <c r="D32" s="753">
        <v>100</v>
      </c>
      <c r="E32" s="1113"/>
      <c r="F32" s="1103">
        <f>SUMIF(95:95,E32,96:96)-SUMIF(95:95,C32,96:96)+100</f>
        <v>100</v>
      </c>
      <c r="G32" s="1113"/>
      <c r="H32" s="753">
        <f>SUMIF(95:95,G32,96:96)-SUMIF(95:95,C32,96:96)+100</f>
        <v>100</v>
      </c>
      <c r="I32" s="1113"/>
      <c r="J32" s="753">
        <f>SUMIF(95:95,I32,96:96)-SUMIF(95:95,C32,96:96)+100</f>
        <v>100</v>
      </c>
      <c r="K32" s="879"/>
      <c r="L32" s="873"/>
      <c r="M32" s="861"/>
      <c r="N32" s="861"/>
      <c r="O32" s="872"/>
      <c r="P32" s="3031"/>
      <c r="Q32" s="492" t="str">
        <f t="shared" si="11"/>
        <v>公共部分装修</v>
      </c>
      <c r="R32" s="904" t="s">
        <v>1254</v>
      </c>
      <c r="S32" s="905">
        <f t="shared" si="12"/>
        <v>100</v>
      </c>
      <c r="T32" s="904" t="s">
        <v>1254</v>
      </c>
      <c r="U32" s="905">
        <f t="shared" si="13"/>
        <v>100</v>
      </c>
      <c r="V32" s="904" t="s">
        <v>1254</v>
      </c>
      <c r="W32" s="905">
        <f t="shared" si="14"/>
        <v>100</v>
      </c>
      <c r="X32" s="898"/>
      <c r="Y32" s="3031"/>
      <c r="Z32" s="833" t="str">
        <f t="shared" si="15"/>
        <v>公共部分装修</v>
      </c>
      <c r="AA32" s="915">
        <f t="shared" si="3"/>
        <v>1</v>
      </c>
      <c r="AB32" s="915">
        <f t="shared" si="4"/>
        <v>1</v>
      </c>
      <c r="AC32" s="915">
        <f t="shared" si="5"/>
        <v>1</v>
      </c>
    </row>
    <row r="33" spans="1:29" ht="15">
      <c r="A33" s="792"/>
      <c r="B33" s="741" t="s">
        <v>1284</v>
      </c>
      <c r="C33" s="1094">
        <v>0.97</v>
      </c>
      <c r="D33" s="753">
        <v>100</v>
      </c>
      <c r="E33" s="1110"/>
      <c r="F33" s="1103" t="e">
        <f>LOOKUP(E33,98:98,99:99)-LOOKUP(C33,98:98,99:99)+100</f>
        <v>#N/A</v>
      </c>
      <c r="G33" s="1110"/>
      <c r="H33" s="1103" t="e">
        <f>LOOKUP(G33,98:98,99:99)-LOOKUP(C33,98:98,99:99)+100</f>
        <v>#N/A</v>
      </c>
      <c r="I33" s="1110"/>
      <c r="J33" s="753" t="e">
        <f>LOOKUP(I33,98:98,99:99)-LOOKUP(C33,98:98,99:99)+100</f>
        <v>#N/A</v>
      </c>
      <c r="K33" s="879"/>
      <c r="L33" s="873"/>
      <c r="M33" s="861"/>
      <c r="N33" s="861"/>
      <c r="O33" s="872"/>
      <c r="P33" s="3031"/>
      <c r="Q33" s="492" t="str">
        <f t="shared" si="11"/>
        <v>成新度</v>
      </c>
      <c r="R33" s="904" t="s">
        <v>1254</v>
      </c>
      <c r="S33" s="905" t="e">
        <f t="shared" si="12"/>
        <v>#N/A</v>
      </c>
      <c r="T33" s="904" t="s">
        <v>1254</v>
      </c>
      <c r="U33" s="905" t="e">
        <f t="shared" si="13"/>
        <v>#N/A</v>
      </c>
      <c r="V33" s="904" t="s">
        <v>1254</v>
      </c>
      <c r="W33" s="905" t="e">
        <f t="shared" si="14"/>
        <v>#N/A</v>
      </c>
      <c r="X33" s="898"/>
      <c r="Y33" s="3031"/>
      <c r="Z33" s="833" t="str">
        <f t="shared" si="15"/>
        <v>成新度</v>
      </c>
      <c r="AA33" s="915" t="e">
        <f t="shared" si="3"/>
        <v>#N/A</v>
      </c>
      <c r="AB33" s="915" t="e">
        <f t="shared" si="4"/>
        <v>#N/A</v>
      </c>
      <c r="AC33" s="915" t="e">
        <f t="shared" si="5"/>
        <v>#N/A</v>
      </c>
    </row>
    <row r="34" spans="1:29" s="703" customFormat="1" ht="15">
      <c r="A34" s="797"/>
      <c r="B34" s="741" t="s">
        <v>1287</v>
      </c>
      <c r="C34" s="1113" t="s">
        <v>1412</v>
      </c>
      <c r="D34" s="743">
        <v>100</v>
      </c>
      <c r="E34" s="1113"/>
      <c r="F34" s="1103">
        <f>SUMIF(100:100,E34,101:101)-SUMIF(100:100,C34,101:101)+100</f>
        <v>100</v>
      </c>
      <c r="G34" s="1113"/>
      <c r="H34" s="753">
        <f>SUMIF(100:100,G34,101:101)-SUMIF(100:100,C34,101:101)+100</f>
        <v>100</v>
      </c>
      <c r="I34" s="1113"/>
      <c r="J34" s="753">
        <f>SUMIF(100:100,I34,101:101)-SUMIF(100:100,C34,101:101)+100</f>
        <v>100</v>
      </c>
      <c r="K34" s="879"/>
      <c r="L34" s="863"/>
      <c r="M34" s="864"/>
      <c r="N34" s="864"/>
      <c r="O34" s="865"/>
      <c r="P34" s="3031"/>
      <c r="Q34" s="903" t="str">
        <f t="shared" si="11"/>
        <v>物业管理</v>
      </c>
      <c r="R34" s="900" t="s">
        <v>1254</v>
      </c>
      <c r="S34" s="901">
        <f t="shared" si="12"/>
        <v>100</v>
      </c>
      <c r="T34" s="900" t="s">
        <v>1254</v>
      </c>
      <c r="U34" s="901">
        <f t="shared" si="13"/>
        <v>100</v>
      </c>
      <c r="V34" s="900" t="s">
        <v>1254</v>
      </c>
      <c r="W34" s="901">
        <f t="shared" si="14"/>
        <v>100</v>
      </c>
      <c r="X34" s="902"/>
      <c r="Y34" s="3031"/>
      <c r="Z34" s="914" t="str">
        <f t="shared" si="15"/>
        <v>物业管理</v>
      </c>
      <c r="AA34" s="913">
        <f t="shared" si="3"/>
        <v>1</v>
      </c>
      <c r="AB34" s="913">
        <f t="shared" si="4"/>
        <v>1</v>
      </c>
      <c r="AC34" s="913">
        <f t="shared" si="5"/>
        <v>1</v>
      </c>
    </row>
    <row r="35" spans="1:29" ht="15">
      <c r="A35" s="792"/>
      <c r="B35" s="741" t="s">
        <v>1289</v>
      </c>
      <c r="C35" s="1113" t="s">
        <v>1312</v>
      </c>
      <c r="D35" s="753">
        <v>100</v>
      </c>
      <c r="E35" s="1113"/>
      <c r="F35" s="1103">
        <f>SUMIF(102:102,E35,103:103)-SUMIF(102:102,C35,103:103)+100</f>
        <v>100</v>
      </c>
      <c r="G35" s="1113"/>
      <c r="H35" s="753">
        <f>SUMIF(102:102,G35,103:103)-SUMIF(102:102,C35,103:103)+100</f>
        <v>100</v>
      </c>
      <c r="I35" s="1113"/>
      <c r="J35" s="753">
        <f>SUMIF(102:102,I35,103:103)-SUMIF(102:102,C35,103:103)+100</f>
        <v>100</v>
      </c>
      <c r="K35" s="879"/>
      <c r="L35" s="873"/>
      <c r="M35" s="861"/>
      <c r="N35" s="861"/>
      <c r="O35" s="872"/>
      <c r="P35" s="3031" t="s">
        <v>1279</v>
      </c>
      <c r="Q35" s="492" t="str">
        <f t="shared" si="11"/>
        <v>市政基础设施</v>
      </c>
      <c r="R35" s="904" t="s">
        <v>1254</v>
      </c>
      <c r="S35" s="905">
        <f t="shared" si="12"/>
        <v>100</v>
      </c>
      <c r="T35" s="904" t="s">
        <v>1254</v>
      </c>
      <c r="U35" s="905">
        <f t="shared" si="13"/>
        <v>100</v>
      </c>
      <c r="V35" s="904" t="s">
        <v>1254</v>
      </c>
      <c r="W35" s="905">
        <f t="shared" si="14"/>
        <v>100</v>
      </c>
      <c r="X35" s="898"/>
      <c r="Y35" s="3031" t="s">
        <v>1279</v>
      </c>
      <c r="Z35" s="833" t="str">
        <f t="shared" si="15"/>
        <v>市政基础设施</v>
      </c>
      <c r="AA35" s="915">
        <f t="shared" si="3"/>
        <v>1</v>
      </c>
      <c r="AB35" s="915">
        <f t="shared" si="4"/>
        <v>1</v>
      </c>
      <c r="AC35" s="915">
        <f t="shared" si="5"/>
        <v>1</v>
      </c>
    </row>
    <row r="36" spans="1:29" ht="15">
      <c r="A36" s="792"/>
      <c r="B36" s="741" t="s">
        <v>1293</v>
      </c>
      <c r="C36" s="1113" t="s">
        <v>1411</v>
      </c>
      <c r="D36" s="753">
        <v>100</v>
      </c>
      <c r="E36" s="1113"/>
      <c r="F36" s="1103">
        <f>SUMIF(104:104,E36,105:105)-SUMIF(104:104,C36,105:105)+100</f>
        <v>100</v>
      </c>
      <c r="G36" s="1113"/>
      <c r="H36" s="753">
        <f>SUMIF(104:104,G36,105:105)-SUMIF(104:104,C36,105:105)+100</f>
        <v>100</v>
      </c>
      <c r="I36" s="1113"/>
      <c r="J36" s="753">
        <f>SUMIF(104:104,I36,105:105)-SUMIF(104:104,C36,105:105)+100</f>
        <v>100</v>
      </c>
      <c r="K36" s="879"/>
      <c r="L36" s="873"/>
      <c r="M36" s="861"/>
      <c r="N36" s="861"/>
      <c r="O36" s="872"/>
      <c r="P36" s="3031"/>
      <c r="Q36" s="492" t="str">
        <f t="shared" si="11"/>
        <v>内部装修</v>
      </c>
      <c r="R36" s="904" t="s">
        <v>1254</v>
      </c>
      <c r="S36" s="905">
        <f t="shared" si="12"/>
        <v>100</v>
      </c>
      <c r="T36" s="904" t="s">
        <v>1254</v>
      </c>
      <c r="U36" s="905">
        <f t="shared" si="13"/>
        <v>100</v>
      </c>
      <c r="V36" s="904" t="s">
        <v>1254</v>
      </c>
      <c r="W36" s="905">
        <f t="shared" si="14"/>
        <v>100</v>
      </c>
      <c r="X36" s="898"/>
      <c r="Y36" s="3031"/>
      <c r="Z36" s="833" t="str">
        <f t="shared" si="15"/>
        <v>内部装修</v>
      </c>
      <c r="AA36" s="915">
        <f t="shared" si="3"/>
        <v>1</v>
      </c>
      <c r="AB36" s="915">
        <f t="shared" si="4"/>
        <v>1</v>
      </c>
      <c r="AC36" s="915">
        <f t="shared" si="5"/>
        <v>1</v>
      </c>
    </row>
    <row r="37" spans="1:29" ht="15">
      <c r="A37" s="792"/>
      <c r="B37" s="741" t="s">
        <v>1413</v>
      </c>
      <c r="C37" s="778" t="s">
        <v>1414</v>
      </c>
      <c r="D37" s="753">
        <v>100</v>
      </c>
      <c r="E37" s="778"/>
      <c r="F37" s="1103">
        <f>SUMIF(106:106,E37,107:107)-SUMIF(106:106,C37,107:107)+100</f>
        <v>0</v>
      </c>
      <c r="G37" s="778"/>
      <c r="H37" s="753">
        <f>SUMIF(106:106,G37,107:107)-SUMIF(106:106,C37,107:107)+100</f>
        <v>0</v>
      </c>
      <c r="I37" s="778"/>
      <c r="J37" s="753">
        <f>SUMIF(106:106,I37,107:107)-SUMIF(106:106,C37,107:107)+100</f>
        <v>0</v>
      </c>
      <c r="K37" s="879"/>
      <c r="L37" s="873"/>
      <c r="M37" s="861"/>
      <c r="N37" s="861"/>
      <c r="O37" s="872"/>
      <c r="P37" s="3031"/>
      <c r="Q37" s="492" t="str">
        <f t="shared" si="11"/>
        <v>内部装修状况</v>
      </c>
      <c r="R37" s="904" t="s">
        <v>1254</v>
      </c>
      <c r="S37" s="905">
        <f t="shared" si="12"/>
        <v>0</v>
      </c>
      <c r="T37" s="904" t="s">
        <v>1254</v>
      </c>
      <c r="U37" s="905">
        <f t="shared" si="13"/>
        <v>0</v>
      </c>
      <c r="V37" s="904" t="s">
        <v>1254</v>
      </c>
      <c r="W37" s="905">
        <f t="shared" si="14"/>
        <v>0</v>
      </c>
      <c r="X37" s="898"/>
      <c r="Y37" s="3031"/>
      <c r="Z37" s="833" t="str">
        <f t="shared" si="15"/>
        <v>内部装修状况</v>
      </c>
      <c r="AA37" s="915" t="e">
        <f t="shared" si="3"/>
        <v>#DIV/0!</v>
      </c>
      <c r="AB37" s="915" t="e">
        <f t="shared" si="4"/>
        <v>#DIV/0!</v>
      </c>
      <c r="AC37" s="915" t="e">
        <f t="shared" si="5"/>
        <v>#DIV/0!</v>
      </c>
    </row>
    <row r="38" spans="1:29" s="705" customFormat="1" ht="15">
      <c r="A38" s="800"/>
      <c r="B38" s="1237">
        <v>111</v>
      </c>
      <c r="C38" s="1094">
        <v>111</v>
      </c>
      <c r="D38" s="753">
        <v>100</v>
      </c>
      <c r="E38" s="752"/>
      <c r="F38" s="1103">
        <f>SUMIF(108:108,E38,109:109)-SUMIF(108:108,C38,109:109)+100</f>
        <v>100</v>
      </c>
      <c r="G38" s="1094"/>
      <c r="H38" s="753">
        <f>SUMIF(108:108,G38,109:109)-SUMIF(108:108,C38,109:109)+100</f>
        <v>100</v>
      </c>
      <c r="I38" s="1094"/>
      <c r="J38" s="753">
        <f>SUMIF(108:108,I38,109:1038)-SUMIF(108:108,C38,109:109)+100</f>
        <v>100</v>
      </c>
      <c r="K38" s="878"/>
      <c r="L38" s="871"/>
      <c r="M38" s="880"/>
      <c r="N38" s="880"/>
      <c r="O38" s="881"/>
      <c r="P38" s="3031"/>
      <c r="Q38" s="1147">
        <f t="shared" si="11"/>
        <v>111</v>
      </c>
      <c r="R38" s="906" t="s">
        <v>1254</v>
      </c>
      <c r="S38" s="907">
        <f t="shared" si="12"/>
        <v>100</v>
      </c>
      <c r="T38" s="906" t="s">
        <v>1254</v>
      </c>
      <c r="U38" s="907">
        <f t="shared" si="13"/>
        <v>100</v>
      </c>
      <c r="V38" s="906" t="s">
        <v>1254</v>
      </c>
      <c r="W38" s="907">
        <f t="shared" si="14"/>
        <v>100</v>
      </c>
      <c r="X38" s="908"/>
      <c r="Y38" s="3031"/>
      <c r="Z38" s="916">
        <f t="shared" si="15"/>
        <v>111</v>
      </c>
      <c r="AA38" s="915">
        <f t="shared" si="3"/>
        <v>1</v>
      </c>
      <c r="AB38" s="915">
        <f t="shared" si="4"/>
        <v>1</v>
      </c>
      <c r="AC38" s="915">
        <f t="shared" si="5"/>
        <v>1</v>
      </c>
    </row>
    <row r="39" spans="1:29" ht="15">
      <c r="A39" s="792"/>
      <c r="B39" s="1237">
        <v>111</v>
      </c>
      <c r="C39" s="1094">
        <v>111</v>
      </c>
      <c r="D39" s="753">
        <v>100</v>
      </c>
      <c r="E39" s="752"/>
      <c r="F39" s="1103">
        <f>SUMIF(110:110,E39,111:111)-SUMIF(110:110,C39,111:111)+100</f>
        <v>100</v>
      </c>
      <c r="G39" s="1094"/>
      <c r="H39" s="753">
        <f>SUMIF(110:110,G39,111:111)-SUMIF(110:110,C39,111:111)+100</f>
        <v>100</v>
      </c>
      <c r="I39" s="1094"/>
      <c r="J39" s="753">
        <f>SUMIF(110:110,I39,111:111)-SUMIF(110:110,C39,111:111)+100</f>
        <v>100</v>
      </c>
      <c r="K39" s="878"/>
      <c r="L39" s="873"/>
      <c r="M39" s="861"/>
      <c r="N39" s="861"/>
      <c r="O39" s="872"/>
      <c r="P39" s="3031"/>
      <c r="Q39" s="492">
        <f t="shared" si="11"/>
        <v>111</v>
      </c>
      <c r="R39" s="904" t="s">
        <v>1254</v>
      </c>
      <c r="S39" s="905">
        <f t="shared" si="12"/>
        <v>100</v>
      </c>
      <c r="T39" s="904" t="s">
        <v>1254</v>
      </c>
      <c r="U39" s="905">
        <f t="shared" si="13"/>
        <v>100</v>
      </c>
      <c r="V39" s="904" t="s">
        <v>1254</v>
      </c>
      <c r="W39" s="905">
        <f t="shared" si="14"/>
        <v>100</v>
      </c>
      <c r="X39" s="898"/>
      <c r="Y39" s="3031"/>
      <c r="Z39" s="833">
        <f t="shared" si="15"/>
        <v>111</v>
      </c>
      <c r="AA39" s="915">
        <f t="shared" si="3"/>
        <v>1</v>
      </c>
      <c r="AB39" s="915">
        <f t="shared" si="4"/>
        <v>1</v>
      </c>
      <c r="AC39" s="915">
        <f t="shared" si="5"/>
        <v>1</v>
      </c>
    </row>
    <row r="40" spans="1:29" ht="15">
      <c r="A40" s="1115"/>
      <c r="B40" s="755">
        <v>111</v>
      </c>
      <c r="C40" s="756">
        <v>111</v>
      </c>
      <c r="D40" s="757">
        <v>100</v>
      </c>
      <c r="E40" s="752"/>
      <c r="F40" s="1117">
        <f>SUMIF(112:112,E40,113:113)-SUMIF(112:112,C40,113:113)+100</f>
        <v>100</v>
      </c>
      <c r="G40" s="1094"/>
      <c r="H40" s="757">
        <f>SUMIF(112:112,G40,113:113)-SUMIF(112:112,C40,113:113)+100</f>
        <v>100</v>
      </c>
      <c r="I40" s="1094"/>
      <c r="J40" s="757">
        <f>SUMIF(112:112,I40,113:113)-SUMIF(112:112,C40,113:113)+100</f>
        <v>100</v>
      </c>
      <c r="K40" s="878"/>
      <c r="L40" s="873"/>
      <c r="M40" s="861"/>
      <c r="N40" s="861"/>
      <c r="O40" s="872"/>
      <c r="P40" s="3032"/>
      <c r="Q40" s="492">
        <f t="shared" si="11"/>
        <v>111</v>
      </c>
      <c r="R40" s="904" t="s">
        <v>1254</v>
      </c>
      <c r="S40" s="905">
        <f t="shared" si="12"/>
        <v>100</v>
      </c>
      <c r="T40" s="904" t="s">
        <v>1254</v>
      </c>
      <c r="U40" s="905">
        <f t="shared" si="13"/>
        <v>100</v>
      </c>
      <c r="V40" s="904" t="s">
        <v>1254</v>
      </c>
      <c r="W40" s="905">
        <f t="shared" si="14"/>
        <v>100</v>
      </c>
      <c r="X40" s="898"/>
      <c r="Y40" s="3032"/>
      <c r="Z40" s="833">
        <f t="shared" si="15"/>
        <v>111</v>
      </c>
      <c r="AA40" s="915">
        <f t="shared" si="3"/>
        <v>1</v>
      </c>
      <c r="AB40" s="915">
        <f t="shared" si="4"/>
        <v>1</v>
      </c>
      <c r="AC40" s="915">
        <f t="shared" si="5"/>
        <v>1</v>
      </c>
    </row>
    <row r="41" spans="1:29" ht="15">
      <c r="A41" s="802" t="s">
        <v>1294</v>
      </c>
      <c r="B41" s="1118"/>
      <c r="C41" s="1119" t="s">
        <v>121</v>
      </c>
      <c r="D41" s="1120"/>
      <c r="E41" s="1121"/>
      <c r="F41" s="1122"/>
      <c r="G41" s="1123"/>
      <c r="H41" s="1124"/>
      <c r="I41" s="1121"/>
      <c r="J41" s="1124"/>
      <c r="K41" s="884"/>
      <c r="L41" s="885"/>
      <c r="M41" s="819"/>
      <c r="N41" s="861"/>
      <c r="O41" s="819"/>
      <c r="P41" s="3022" t="str">
        <f>A41</f>
        <v>成交单价（元/平方米）</v>
      </c>
      <c r="Q41" s="3022"/>
      <c r="R41" s="3023">
        <f>E41</f>
        <v>0</v>
      </c>
      <c r="S41" s="3023"/>
      <c r="T41" s="3023">
        <f>G41</f>
        <v>0</v>
      </c>
      <c r="U41" s="3023"/>
      <c r="V41" s="3023">
        <f>I41</f>
        <v>0</v>
      </c>
      <c r="W41" s="3023"/>
      <c r="X41" s="849"/>
      <c r="Y41" s="917"/>
      <c r="Z41" s="849"/>
      <c r="AA41" s="849"/>
      <c r="AB41" s="849"/>
      <c r="AC41" s="849"/>
    </row>
    <row r="42" spans="1:29" ht="15">
      <c r="A42" s="810" t="s">
        <v>1295</v>
      </c>
      <c r="B42" s="1125"/>
      <c r="C42" s="1126" t="e">
        <f>R43</f>
        <v>#DIV/0!</v>
      </c>
      <c r="D42" s="1127"/>
      <c r="E42" s="1128" t="e">
        <f>R42</f>
        <v>#DIV/0!</v>
      </c>
      <c r="F42" s="1128"/>
      <c r="G42" s="1126" t="e">
        <f>T42</f>
        <v>#DIV/0!</v>
      </c>
      <c r="H42" s="1127"/>
      <c r="I42" s="1128" t="e">
        <f>V42</f>
        <v>#DIV/0!</v>
      </c>
      <c r="J42" s="1127"/>
      <c r="K42" s="886"/>
      <c r="L42" s="885"/>
      <c r="M42" s="819"/>
      <c r="N42" s="861"/>
      <c r="O42" s="819"/>
      <c r="P42" s="3022" t="str">
        <f>A42</f>
        <v>比较价值（元/平方米）</v>
      </c>
      <c r="Q42" s="3022"/>
      <c r="R42" s="3023" t="e">
        <f>IF(E1="售价",ROUND(PRODUCT(R41,AA7:AA40),0),ROUND(PRODUCT(R41,AA7:AA40),1))</f>
        <v>#DIV/0!</v>
      </c>
      <c r="S42" s="3023"/>
      <c r="T42" s="3023" t="e">
        <f>IF(E1="售价",ROUND(PRODUCT(T41,AB7:AB40),0),ROUND(PRODUCT(T41,AB7:AB40),1))</f>
        <v>#DIV/0!</v>
      </c>
      <c r="U42" s="3023"/>
      <c r="V42" s="3023" t="e">
        <f>IF(E1="售价",ROUND(PRODUCT(V41,AC7:AC40),0),ROUND(PRODUCT(V41,AC7:AC40),1))</f>
        <v>#DIV/0!</v>
      </c>
      <c r="W42" s="3023"/>
      <c r="X42" s="849"/>
      <c r="Y42" s="849"/>
      <c r="Z42" s="849"/>
      <c r="AA42" s="849"/>
      <c r="AB42" s="849"/>
      <c r="AC42" s="849"/>
    </row>
    <row r="43" spans="1:29" ht="15">
      <c r="A43" s="816" t="s">
        <v>1296</v>
      </c>
      <c r="B43" s="817"/>
      <c r="C43" s="1129" t="e">
        <f>R43</f>
        <v>#DIV/0!</v>
      </c>
      <c r="D43" s="1129"/>
      <c r="E43" s="1129"/>
      <c r="F43" s="1129"/>
      <c r="G43" s="1129"/>
      <c r="H43" s="1129"/>
      <c r="I43" s="1129"/>
      <c r="J43" s="1129"/>
      <c r="K43" s="887"/>
      <c r="L43" s="885"/>
      <c r="M43" s="819"/>
      <c r="N43" s="819"/>
      <c r="O43" s="819"/>
      <c r="P43" s="3064" t="str">
        <f>A43</f>
        <v>估价对象XX用房的比较价值（楼面单价，元/平方米）</v>
      </c>
      <c r="Q43" s="3021"/>
      <c r="R43" s="3034" t="e">
        <f>IF(E1="售价",ROUND(AVERAGE(R42:V42),0),ROUND(AVERAGE(R42:V42),1))</f>
        <v>#DIV/0!</v>
      </c>
      <c r="S43" s="3034"/>
      <c r="T43" s="3034"/>
      <c r="U43" s="3034"/>
      <c r="V43" s="3034"/>
      <c r="W43" s="3034"/>
      <c r="X43" s="849"/>
      <c r="Y43" s="849"/>
      <c r="Z43" s="849"/>
      <c r="AA43" s="849"/>
      <c r="AB43" s="849"/>
      <c r="AC43" s="849"/>
    </row>
    <row r="44" spans="1:29">
      <c r="A44" s="819"/>
      <c r="B44" s="819"/>
      <c r="C44" s="819"/>
      <c r="D44" s="819"/>
      <c r="E44" s="819"/>
      <c r="F44" s="819"/>
      <c r="G44" s="820"/>
      <c r="H44" s="819"/>
      <c r="I44" s="819"/>
      <c r="J44" s="819"/>
      <c r="K44" s="889"/>
      <c r="L44" s="890"/>
      <c r="M44" s="819"/>
      <c r="N44" s="819"/>
      <c r="O44" s="819"/>
    </row>
    <row r="45" spans="1:29">
      <c r="A45" s="819"/>
      <c r="B45" s="819"/>
      <c r="C45" s="819"/>
      <c r="D45" s="819"/>
      <c r="E45" s="819"/>
      <c r="F45" s="819"/>
      <c r="G45" s="819"/>
      <c r="H45" s="819"/>
      <c r="I45" s="819"/>
      <c r="J45" s="819"/>
      <c r="K45" s="889"/>
      <c r="L45" s="890"/>
      <c r="M45" s="819"/>
      <c r="N45" s="819"/>
      <c r="O45" s="819"/>
    </row>
    <row r="46" spans="1:29" ht="13.5" customHeight="1">
      <c r="A46" s="819"/>
      <c r="B46" s="819"/>
      <c r="C46" s="821" t="s">
        <v>1297</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19"/>
      <c r="N46" s="819"/>
      <c r="O46" s="819"/>
    </row>
    <row r="47" spans="1:29" ht="13.5" customHeight="1">
      <c r="A47" s="819"/>
      <c r="B47" s="819"/>
      <c r="C47" s="821" t="s">
        <v>1298</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1299</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c r="A50" s="819"/>
      <c r="B50" s="825"/>
      <c r="C50" s="826"/>
      <c r="D50" s="819"/>
      <c r="E50" s="819"/>
      <c r="F50" s="819"/>
      <c r="G50" s="819"/>
      <c r="H50" s="819"/>
      <c r="I50" s="819"/>
      <c r="J50" s="819"/>
      <c r="K50" s="889"/>
      <c r="L50" s="890"/>
      <c r="M50" s="819"/>
      <c r="N50" s="819"/>
      <c r="O50" s="819"/>
    </row>
    <row r="51" spans="1:17" ht="21">
      <c r="A51" s="848" t="s">
        <v>1300</v>
      </c>
      <c r="B51" s="849"/>
      <c r="C51" s="850"/>
      <c r="D51" s="850"/>
      <c r="E51" s="850"/>
      <c r="F51" s="851"/>
      <c r="G51" s="851"/>
      <c r="H51" s="850"/>
      <c r="I51" s="850"/>
      <c r="J51" s="850"/>
      <c r="K51" s="1143"/>
      <c r="L51" s="1144"/>
      <c r="M51" s="850"/>
      <c r="N51" s="850"/>
      <c r="O51" s="850"/>
      <c r="P51" s="897"/>
      <c r="Q51" s="909"/>
    </row>
    <row r="52" spans="1:17" s="708" customFormat="1" ht="15">
      <c r="A52" s="1130" t="s">
        <v>1252</v>
      </c>
      <c r="B52" s="1131"/>
      <c r="C52" s="1132" t="str">
        <f>YEAR(C7)&amp;"-"&amp;MONTH(C7)</f>
        <v>2019-6</v>
      </c>
      <c r="D52" s="1133">
        <f>EDATE(C52,-1)</f>
        <v>43586</v>
      </c>
      <c r="E52" s="1241">
        <f t="shared" ref="E52:O52" si="16">EDATE(D52,-1)</f>
        <v>43556</v>
      </c>
      <c r="F52" s="1241">
        <f t="shared" si="16"/>
        <v>43525</v>
      </c>
      <c r="G52" s="1241">
        <f t="shared" si="16"/>
        <v>43497</v>
      </c>
      <c r="H52" s="1241">
        <f t="shared" si="16"/>
        <v>43466</v>
      </c>
      <c r="I52" s="1241">
        <f t="shared" si="16"/>
        <v>43435</v>
      </c>
      <c r="J52" s="1241">
        <f t="shared" si="16"/>
        <v>43405</v>
      </c>
      <c r="K52" s="1241">
        <f t="shared" si="16"/>
        <v>43374</v>
      </c>
      <c r="L52" s="1241">
        <f t="shared" si="16"/>
        <v>43344</v>
      </c>
      <c r="M52" s="1241">
        <f t="shared" si="16"/>
        <v>43313</v>
      </c>
      <c r="N52" s="1241">
        <f t="shared" si="16"/>
        <v>43282</v>
      </c>
      <c r="O52" s="1241">
        <f t="shared" si="16"/>
        <v>43252</v>
      </c>
      <c r="P52" s="973"/>
    </row>
    <row r="53" spans="1:17" s="703" customFormat="1" ht="15">
      <c r="A53" s="1134"/>
      <c r="B53" s="929"/>
      <c r="C53" s="932">
        <v>100</v>
      </c>
      <c r="D53" s="933"/>
      <c r="E53" s="933"/>
      <c r="F53" s="933"/>
      <c r="G53" s="933"/>
      <c r="H53" s="933"/>
      <c r="I53" s="933"/>
      <c r="J53" s="933"/>
      <c r="K53" s="933"/>
      <c r="L53" s="933"/>
      <c r="M53" s="1145"/>
      <c r="N53" s="933"/>
      <c r="O53" s="982"/>
      <c r="P53" s="909"/>
    </row>
    <row r="54" spans="1:17" s="703" customFormat="1" ht="15">
      <c r="A54" s="924" t="s">
        <v>1301</v>
      </c>
      <c r="B54" s="925"/>
      <c r="C54" s="926"/>
      <c r="D54" s="927"/>
      <c r="E54" s="927"/>
      <c r="F54" s="927"/>
      <c r="G54" s="927"/>
      <c r="H54" s="927"/>
      <c r="I54" s="927"/>
      <c r="J54" s="927"/>
      <c r="K54" s="927"/>
      <c r="L54" s="927"/>
      <c r="M54" s="976"/>
      <c r="N54" s="927"/>
      <c r="O54" s="1146"/>
      <c r="P54" s="909"/>
      <c r="Q54" s="909"/>
    </row>
    <row r="55" spans="1:17" s="703" customFormat="1" ht="15">
      <c r="A55" s="928" t="s">
        <v>1255</v>
      </c>
      <c r="B55" s="929"/>
      <c r="C55" s="930" t="s">
        <v>1256</v>
      </c>
      <c r="D55" s="931"/>
      <c r="E55" s="931"/>
      <c r="F55" s="931"/>
      <c r="G55" s="931"/>
      <c r="H55" s="931"/>
      <c r="I55" s="931"/>
      <c r="J55" s="931"/>
      <c r="K55" s="931"/>
      <c r="L55" s="978"/>
      <c r="M55" s="979"/>
      <c r="N55" s="980"/>
      <c r="O55" s="980"/>
      <c r="P55" s="981"/>
      <c r="Q55" s="909"/>
    </row>
    <row r="56" spans="1:17" s="703" customFormat="1" ht="15">
      <c r="A56" s="928"/>
      <c r="B56" s="929"/>
      <c r="C56" s="932">
        <v>100</v>
      </c>
      <c r="D56" s="933"/>
      <c r="E56" s="933"/>
      <c r="F56" s="933"/>
      <c r="G56" s="933"/>
      <c r="H56" s="933"/>
      <c r="I56" s="933"/>
      <c r="J56" s="933"/>
      <c r="K56" s="933"/>
      <c r="L56" s="933"/>
      <c r="M56" s="982"/>
      <c r="N56" s="980"/>
      <c r="O56" s="980"/>
      <c r="P56" s="909"/>
      <c r="Q56" s="909"/>
    </row>
    <row r="57" spans="1:17">
      <c r="A57" s="934" t="s">
        <v>1302</v>
      </c>
      <c r="B57" s="935" t="s">
        <v>1260</v>
      </c>
      <c r="C57" s="957">
        <f>C9</f>
        <v>0</v>
      </c>
      <c r="D57" s="882"/>
      <c r="E57" s="882"/>
      <c r="F57" s="882"/>
      <c r="G57" s="882"/>
      <c r="H57" s="882"/>
      <c r="I57" s="882"/>
      <c r="J57" s="882"/>
      <c r="K57" s="983"/>
      <c r="L57" s="984"/>
      <c r="M57" s="985"/>
      <c r="N57" s="986"/>
      <c r="O57" s="986"/>
      <c r="P57" s="987"/>
      <c r="Q57" s="909"/>
    </row>
    <row r="58" spans="1:17" ht="15">
      <c r="A58" s="936"/>
      <c r="B58" s="937"/>
      <c r="C58" s="938">
        <v>100</v>
      </c>
      <c r="D58" s="938"/>
      <c r="E58" s="938"/>
      <c r="F58" s="938"/>
      <c r="G58" s="938"/>
      <c r="H58" s="938"/>
      <c r="I58" s="938"/>
      <c r="J58" s="938"/>
      <c r="K58" s="938"/>
      <c r="L58" s="938"/>
      <c r="M58" s="988"/>
      <c r="N58" s="989"/>
      <c r="O58" s="989"/>
      <c r="P58" s="987"/>
      <c r="Q58" s="909"/>
    </row>
    <row r="59" spans="1:17" ht="27">
      <c r="A59" s="936"/>
      <c r="B59" s="939" t="s">
        <v>1263</v>
      </c>
      <c r="C59" s="940" t="s">
        <v>1303</v>
      </c>
      <c r="D59" s="940" t="s">
        <v>1304</v>
      </c>
      <c r="E59" s="940" t="s">
        <v>1305</v>
      </c>
      <c r="F59" s="940" t="s">
        <v>1306</v>
      </c>
      <c r="G59" s="940" t="s">
        <v>1307</v>
      </c>
      <c r="H59" s="940" t="s">
        <v>1308</v>
      </c>
      <c r="I59" s="940" t="s">
        <v>1309</v>
      </c>
      <c r="J59" s="940"/>
      <c r="K59" s="990"/>
      <c r="L59" s="991"/>
      <c r="M59" s="992"/>
      <c r="N59" s="986"/>
      <c r="O59" s="986"/>
      <c r="P59" s="987"/>
      <c r="Q59" s="909"/>
    </row>
    <row r="60" spans="1:17" ht="15">
      <c r="A60" s="936"/>
      <c r="B60" s="941"/>
      <c r="C60" s="942" t="s">
        <v>1310</v>
      </c>
      <c r="D60" s="942" t="s">
        <v>1310</v>
      </c>
      <c r="E60" s="942">
        <v>100</v>
      </c>
      <c r="F60" s="942">
        <f>E60-$K10</f>
        <v>100</v>
      </c>
      <c r="G60" s="942">
        <f>F60-$K10</f>
        <v>100</v>
      </c>
      <c r="H60" s="942">
        <f>G60-$K10</f>
        <v>100</v>
      </c>
      <c r="I60" s="942">
        <f>H60-$K10</f>
        <v>100</v>
      </c>
      <c r="J60" s="942"/>
      <c r="K60" s="942"/>
      <c r="L60" s="942"/>
      <c r="M60" s="993"/>
      <c r="N60" s="989"/>
      <c r="O60" s="989"/>
      <c r="P60" s="987"/>
      <c r="Q60" s="909"/>
    </row>
    <row r="61" spans="1:17" ht="15">
      <c r="A61" s="936"/>
      <c r="B61" s="943" t="s">
        <v>1265</v>
      </c>
      <c r="C61" s="944" t="str">
        <f>C62&amp;"（含）"&amp;"-"&amp;D62</f>
        <v>（含）-</v>
      </c>
      <c r="D61" s="944" t="str">
        <f t="shared" ref="D61:L61" si="17">D62&amp;"（含）"&amp;"-"&amp;E62</f>
        <v>（含）-</v>
      </c>
      <c r="E61" s="944" t="str">
        <f t="shared" si="17"/>
        <v>（含）-</v>
      </c>
      <c r="F61" s="944" t="str">
        <f t="shared" si="17"/>
        <v>（含）-</v>
      </c>
      <c r="G61" s="944" t="str">
        <f t="shared" si="17"/>
        <v>（含）-</v>
      </c>
      <c r="H61" s="944" t="str">
        <f t="shared" si="17"/>
        <v>（含）-</v>
      </c>
      <c r="I61" s="944" t="str">
        <f t="shared" si="17"/>
        <v>（含）-</v>
      </c>
      <c r="J61" s="944" t="str">
        <f t="shared" si="17"/>
        <v>（含）-</v>
      </c>
      <c r="K61" s="944" t="str">
        <f t="shared" si="17"/>
        <v>（含）-</v>
      </c>
      <c r="L61" s="944" t="str">
        <f t="shared" si="17"/>
        <v>（含）-</v>
      </c>
      <c r="M61" s="765" t="str">
        <f>M62&amp;"（含）"&amp;"-"&amp;P62</f>
        <v>（含）-</v>
      </c>
      <c r="N61" s="989"/>
      <c r="O61" s="989"/>
      <c r="P61" s="987"/>
      <c r="Q61" s="909"/>
    </row>
    <row r="62" spans="1:17" ht="15">
      <c r="A62" s="936"/>
      <c r="B62" s="945"/>
      <c r="C62" s="750"/>
      <c r="D62" s="750"/>
      <c r="E62" s="750"/>
      <c r="F62" s="750"/>
      <c r="G62" s="750"/>
      <c r="H62" s="750"/>
      <c r="I62" s="750"/>
      <c r="J62" s="750"/>
      <c r="K62" s="994"/>
      <c r="L62" s="995"/>
      <c r="M62" s="996"/>
      <c r="N62" s="986"/>
      <c r="O62" s="986"/>
      <c r="P62" s="987"/>
      <c r="Q62" s="909"/>
    </row>
    <row r="63" spans="1:17" ht="15">
      <c r="A63" s="936"/>
      <c r="B63" s="937"/>
      <c r="C63" s="942">
        <v>100</v>
      </c>
      <c r="D63" s="942">
        <f t="shared" ref="D63:M63" si="18">C63-$K11</f>
        <v>100</v>
      </c>
      <c r="E63" s="942">
        <f t="shared" si="18"/>
        <v>100</v>
      </c>
      <c r="F63" s="942">
        <f t="shared" si="18"/>
        <v>100</v>
      </c>
      <c r="G63" s="942">
        <f t="shared" si="18"/>
        <v>100</v>
      </c>
      <c r="H63" s="942">
        <f t="shared" si="18"/>
        <v>100</v>
      </c>
      <c r="I63" s="942">
        <f t="shared" si="18"/>
        <v>100</v>
      </c>
      <c r="J63" s="942">
        <f t="shared" si="18"/>
        <v>100</v>
      </c>
      <c r="K63" s="942">
        <f t="shared" si="18"/>
        <v>100</v>
      </c>
      <c r="L63" s="942">
        <f t="shared" si="18"/>
        <v>100</v>
      </c>
      <c r="M63" s="993">
        <f t="shared" si="18"/>
        <v>100</v>
      </c>
      <c r="N63" s="989"/>
      <c r="O63" s="989"/>
      <c r="P63" s="987"/>
      <c r="Q63" s="909"/>
    </row>
    <row r="64" spans="1:17" s="705" customFormat="1" ht="15">
      <c r="A64" s="946"/>
      <c r="B64" s="939">
        <f>B12</f>
        <v>111</v>
      </c>
      <c r="C64" s="947"/>
      <c r="D64" s="947"/>
      <c r="E64" s="947"/>
      <c r="F64" s="947"/>
      <c r="G64" s="947"/>
      <c r="H64" s="948"/>
      <c r="I64" s="948"/>
      <c r="J64" s="948"/>
      <c r="K64" s="948"/>
      <c r="L64" s="997"/>
      <c r="M64" s="998"/>
      <c r="N64" s="999"/>
      <c r="O64" s="999"/>
      <c r="P64" s="1000"/>
      <c r="Q64" s="1030"/>
    </row>
    <row r="65" spans="1:17" s="705" customFormat="1" ht="15">
      <c r="A65" s="946"/>
      <c r="B65" s="941"/>
      <c r="C65" s="949"/>
      <c r="D65" s="938"/>
      <c r="E65" s="938"/>
      <c r="F65" s="938"/>
      <c r="G65" s="938"/>
      <c r="H65" s="938"/>
      <c r="I65" s="938"/>
      <c r="J65" s="938"/>
      <c r="K65" s="938"/>
      <c r="L65" s="938"/>
      <c r="M65" s="988"/>
      <c r="N65" s="989"/>
      <c r="O65" s="989"/>
      <c r="P65" s="1000"/>
      <c r="Q65" s="1030"/>
    </row>
    <row r="66" spans="1:17" s="705" customFormat="1" ht="15">
      <c r="A66" s="946"/>
      <c r="B66" s="939">
        <f>B13</f>
        <v>111</v>
      </c>
      <c r="C66" s="947"/>
      <c r="D66" s="947"/>
      <c r="E66" s="947"/>
      <c r="F66" s="947"/>
      <c r="G66" s="947"/>
      <c r="H66" s="948"/>
      <c r="I66" s="948"/>
      <c r="J66" s="948"/>
      <c r="K66" s="948"/>
      <c r="L66" s="997"/>
      <c r="M66" s="998"/>
      <c r="N66" s="999"/>
      <c r="O66" s="999"/>
      <c r="P66" s="1001"/>
      <c r="Q66" s="1031"/>
    </row>
    <row r="67" spans="1:17" s="705" customFormat="1" ht="15">
      <c r="A67" s="946"/>
      <c r="B67" s="941"/>
      <c r="C67" s="949"/>
      <c r="D67" s="938"/>
      <c r="E67" s="938"/>
      <c r="F67" s="938"/>
      <c r="G67" s="949"/>
      <c r="H67" s="950"/>
      <c r="I67" s="950"/>
      <c r="J67" s="950"/>
      <c r="K67" s="950"/>
      <c r="L67" s="950"/>
      <c r="M67" s="1002"/>
      <c r="N67" s="999"/>
      <c r="O67" s="999"/>
      <c r="P67" s="1000"/>
      <c r="Q67" s="1030"/>
    </row>
    <row r="68" spans="1:17" s="705" customFormat="1" ht="15">
      <c r="A68" s="946"/>
      <c r="B68" s="943">
        <f>B14</f>
        <v>111</v>
      </c>
      <c r="C68" s="931"/>
      <c r="D68" s="931"/>
      <c r="E68" s="931"/>
      <c r="F68" s="931"/>
      <c r="G68" s="931"/>
      <c r="H68" s="951"/>
      <c r="I68" s="951"/>
      <c r="J68" s="951"/>
      <c r="K68" s="951"/>
      <c r="L68" s="1003"/>
      <c r="M68" s="1004"/>
      <c r="N68" s="999"/>
      <c r="O68" s="999"/>
      <c r="P68" s="1005"/>
      <c r="Q68" s="1030"/>
    </row>
    <row r="69" spans="1:17" s="705" customFormat="1" ht="15">
      <c r="A69" s="952"/>
      <c r="B69" s="953"/>
      <c r="C69" s="954"/>
      <c r="D69" s="954"/>
      <c r="E69" s="954"/>
      <c r="F69" s="954"/>
      <c r="G69" s="954"/>
      <c r="H69" s="955"/>
      <c r="I69" s="955"/>
      <c r="J69" s="955"/>
      <c r="K69" s="955"/>
      <c r="L69" s="955"/>
      <c r="M69" s="1006"/>
      <c r="N69" s="999"/>
      <c r="O69" s="999"/>
      <c r="P69" s="1000"/>
      <c r="Q69" s="1030"/>
    </row>
    <row r="70" spans="1:17">
      <c r="A70" s="934" t="s">
        <v>1266</v>
      </c>
      <c r="B70" s="935" t="s">
        <v>210</v>
      </c>
      <c r="C70" s="956" t="s">
        <v>228</v>
      </c>
      <c r="D70" s="956" t="s">
        <v>240</v>
      </c>
      <c r="E70" s="956" t="s">
        <v>251</v>
      </c>
      <c r="F70" s="956" t="s">
        <v>261</v>
      </c>
      <c r="G70" s="956" t="s">
        <v>268</v>
      </c>
      <c r="H70" s="957"/>
      <c r="I70" s="957"/>
      <c r="J70" s="957"/>
      <c r="K70" s="1007"/>
      <c r="L70" s="1008"/>
      <c r="M70" s="1009"/>
      <c r="N70" s="986"/>
      <c r="O70" s="986"/>
      <c r="P70" s="1010"/>
      <c r="Q70" s="909"/>
    </row>
    <row r="71" spans="1:17" ht="15">
      <c r="A71" s="936"/>
      <c r="B71" s="941"/>
      <c r="C71" s="942">
        <v>100</v>
      </c>
      <c r="D71" s="942">
        <f>C71-$K15</f>
        <v>100</v>
      </c>
      <c r="E71" s="942">
        <f>D71-$K15</f>
        <v>100</v>
      </c>
      <c r="F71" s="942">
        <f>E71-$K15</f>
        <v>100</v>
      </c>
      <c r="G71" s="942">
        <f>F71-$K15</f>
        <v>100</v>
      </c>
      <c r="H71" s="942"/>
      <c r="I71" s="942"/>
      <c r="J71" s="942"/>
      <c r="K71" s="942"/>
      <c r="L71" s="942"/>
      <c r="M71" s="993"/>
      <c r="N71" s="989"/>
      <c r="O71" s="989"/>
      <c r="P71" s="987"/>
      <c r="Q71" s="909"/>
    </row>
    <row r="72" spans="1:17" ht="15">
      <c r="A72" s="936"/>
      <c r="B72" s="939" t="s">
        <v>211</v>
      </c>
      <c r="C72" s="958" t="s">
        <v>228</v>
      </c>
      <c r="D72" s="958" t="s">
        <v>240</v>
      </c>
      <c r="E72" s="958" t="s">
        <v>251</v>
      </c>
      <c r="F72" s="958" t="s">
        <v>261</v>
      </c>
      <c r="G72" s="958" t="s">
        <v>268</v>
      </c>
      <c r="H72" s="940"/>
      <c r="I72" s="940"/>
      <c r="J72" s="940"/>
      <c r="K72" s="990"/>
      <c r="L72" s="991"/>
      <c r="M72" s="992"/>
      <c r="N72" s="986"/>
      <c r="O72" s="986"/>
      <c r="P72" s="987"/>
      <c r="Q72" s="909"/>
    </row>
    <row r="73" spans="1:17" ht="15">
      <c r="A73" s="936"/>
      <c r="B73" s="941"/>
      <c r="C73" s="942">
        <v>100</v>
      </c>
      <c r="D73" s="942">
        <f>C73-$K17</f>
        <v>100</v>
      </c>
      <c r="E73" s="942">
        <f>D73-$K17</f>
        <v>100</v>
      </c>
      <c r="F73" s="942">
        <f>E73-$K17</f>
        <v>100</v>
      </c>
      <c r="G73" s="942">
        <f>F73-$K17</f>
        <v>100</v>
      </c>
      <c r="H73" s="942"/>
      <c r="I73" s="942"/>
      <c r="J73" s="942"/>
      <c r="K73" s="942"/>
      <c r="L73" s="942"/>
      <c r="M73" s="993"/>
      <c r="N73" s="989"/>
      <c r="O73" s="989"/>
      <c r="P73" s="987"/>
      <c r="Q73" s="909"/>
    </row>
    <row r="74" spans="1:17" ht="15">
      <c r="A74" s="936"/>
      <c r="B74" s="939" t="s">
        <v>213</v>
      </c>
      <c r="C74" s="958" t="s">
        <v>228</v>
      </c>
      <c r="D74" s="958" t="s">
        <v>240</v>
      </c>
      <c r="E74" s="958" t="s">
        <v>251</v>
      </c>
      <c r="F74" s="958" t="s">
        <v>261</v>
      </c>
      <c r="G74" s="958" t="s">
        <v>268</v>
      </c>
      <c r="H74" s="940"/>
      <c r="I74" s="940"/>
      <c r="J74" s="940"/>
      <c r="K74" s="990"/>
      <c r="L74" s="991"/>
      <c r="M74" s="992"/>
      <c r="N74" s="986"/>
      <c r="O74" s="986"/>
      <c r="P74" s="987"/>
      <c r="Q74" s="909"/>
    </row>
    <row r="75" spans="1:17" ht="15">
      <c r="A75" s="936"/>
      <c r="B75" s="941"/>
      <c r="C75" s="942">
        <v>100</v>
      </c>
      <c r="D75" s="942">
        <f>C75-$K19</f>
        <v>100</v>
      </c>
      <c r="E75" s="942">
        <f>D75-$K19</f>
        <v>100</v>
      </c>
      <c r="F75" s="942">
        <f>E75-$K19</f>
        <v>100</v>
      </c>
      <c r="G75" s="942">
        <f>F75-$K19</f>
        <v>100</v>
      </c>
      <c r="H75" s="942"/>
      <c r="I75" s="942"/>
      <c r="J75" s="942"/>
      <c r="K75" s="942"/>
      <c r="L75" s="942"/>
      <c r="M75" s="993"/>
      <c r="N75" s="989"/>
      <c r="O75" s="989"/>
      <c r="P75" s="987"/>
      <c r="Q75" s="909"/>
    </row>
    <row r="76" spans="1:17" ht="15">
      <c r="A76" s="936"/>
      <c r="B76" s="943" t="s">
        <v>214</v>
      </c>
      <c r="C76" s="940" t="s">
        <v>1311</v>
      </c>
      <c r="D76" s="940" t="s">
        <v>1312</v>
      </c>
      <c r="E76" s="940" t="s">
        <v>1313</v>
      </c>
      <c r="F76" s="940" t="s">
        <v>1314</v>
      </c>
      <c r="G76" s="940" t="s">
        <v>1315</v>
      </c>
      <c r="H76" s="940"/>
      <c r="I76" s="940"/>
      <c r="J76" s="940"/>
      <c r="K76" s="940"/>
      <c r="L76" s="940"/>
      <c r="M76" s="1072"/>
      <c r="N76" s="989"/>
      <c r="O76" s="989"/>
      <c r="P76" s="987"/>
      <c r="Q76" s="909"/>
    </row>
    <row r="77" spans="1:17" ht="15">
      <c r="A77" s="936"/>
      <c r="B77" s="943"/>
      <c r="C77" s="942">
        <v>100</v>
      </c>
      <c r="D77" s="942">
        <f>C77-$K21</f>
        <v>100</v>
      </c>
      <c r="E77" s="942">
        <f>D77-$K21</f>
        <v>100</v>
      </c>
      <c r="F77" s="942">
        <f>E77-$K21</f>
        <v>100</v>
      </c>
      <c r="G77" s="942">
        <f>F77-$K21</f>
        <v>100</v>
      </c>
      <c r="H77" s="1070"/>
      <c r="I77" s="1070"/>
      <c r="J77" s="1070"/>
      <c r="K77" s="1070"/>
      <c r="L77" s="1070"/>
      <c r="M77" s="767"/>
      <c r="N77" s="989"/>
      <c r="O77" s="989"/>
      <c r="P77" s="987"/>
      <c r="Q77" s="909"/>
    </row>
    <row r="78" spans="1:17" ht="15">
      <c r="A78" s="936"/>
      <c r="B78" s="939" t="s">
        <v>215</v>
      </c>
      <c r="C78" s="958" t="s">
        <v>228</v>
      </c>
      <c r="D78" s="958" t="s">
        <v>240</v>
      </c>
      <c r="E78" s="958" t="s">
        <v>251</v>
      </c>
      <c r="F78" s="958" t="s">
        <v>261</v>
      </c>
      <c r="G78" s="958" t="s">
        <v>268</v>
      </c>
      <c r="H78" s="940"/>
      <c r="I78" s="940"/>
      <c r="J78" s="940"/>
      <c r="K78" s="990"/>
      <c r="L78" s="991"/>
      <c r="M78" s="992"/>
      <c r="N78" s="986"/>
      <c r="O78" s="986"/>
      <c r="P78" s="987"/>
      <c r="Q78" s="909"/>
    </row>
    <row r="79" spans="1:17" ht="15">
      <c r="A79" s="936"/>
      <c r="B79" s="941"/>
      <c r="C79" s="942">
        <v>100</v>
      </c>
      <c r="D79" s="942">
        <f>C79-$K23</f>
        <v>100</v>
      </c>
      <c r="E79" s="942">
        <f>D79-$K23</f>
        <v>100</v>
      </c>
      <c r="F79" s="942">
        <f>E79-$K23</f>
        <v>100</v>
      </c>
      <c r="G79" s="942">
        <f>F79-$K23</f>
        <v>100</v>
      </c>
      <c r="H79" s="942"/>
      <c r="I79" s="942"/>
      <c r="J79" s="942"/>
      <c r="K79" s="942"/>
      <c r="L79" s="942"/>
      <c r="M79" s="993"/>
      <c r="N79" s="989"/>
      <c r="O79" s="989"/>
      <c r="P79" s="987"/>
      <c r="Q79" s="909"/>
    </row>
    <row r="80" spans="1:17" s="703" customFormat="1" ht="15">
      <c r="A80" s="959"/>
      <c r="B80" s="939">
        <f>B25</f>
        <v>111</v>
      </c>
      <c r="C80" s="947"/>
      <c r="D80" s="947"/>
      <c r="E80" s="947"/>
      <c r="F80" s="947"/>
      <c r="G80" s="947"/>
      <c r="H80" s="947"/>
      <c r="I80" s="947"/>
      <c r="J80" s="947"/>
      <c r="K80" s="947"/>
      <c r="L80" s="1150"/>
      <c r="M80" s="1151"/>
      <c r="N80" s="980"/>
      <c r="O80" s="980"/>
      <c r="P80" s="987"/>
      <c r="Q80" s="909"/>
    </row>
    <row r="81" spans="1:17" s="703" customFormat="1" ht="15">
      <c r="A81" s="959"/>
      <c r="B81" s="941"/>
      <c r="C81" s="949"/>
      <c r="D81" s="938"/>
      <c r="E81" s="938"/>
      <c r="F81" s="938"/>
      <c r="G81" s="938"/>
      <c r="H81" s="938"/>
      <c r="I81" s="938"/>
      <c r="J81" s="938"/>
      <c r="K81" s="938"/>
      <c r="L81" s="938"/>
      <c r="M81" s="988"/>
      <c r="N81" s="989"/>
      <c r="O81" s="989"/>
      <c r="P81" s="987"/>
      <c r="Q81" s="909"/>
    </row>
    <row r="82" spans="1:17" s="703" customFormat="1" ht="15">
      <c r="A82" s="959"/>
      <c r="B82" s="939">
        <f>B26</f>
        <v>111</v>
      </c>
      <c r="C82" s="947"/>
      <c r="D82" s="947"/>
      <c r="E82" s="947"/>
      <c r="F82" s="947"/>
      <c r="G82" s="947"/>
      <c r="H82" s="947"/>
      <c r="I82" s="947"/>
      <c r="J82" s="947"/>
      <c r="K82" s="947"/>
      <c r="L82" s="1150"/>
      <c r="M82" s="1151"/>
      <c r="N82" s="980"/>
      <c r="O82" s="980"/>
      <c r="P82" s="987"/>
      <c r="Q82" s="909"/>
    </row>
    <row r="83" spans="1:17" s="703" customFormat="1" ht="15">
      <c r="A83" s="959"/>
      <c r="B83" s="941"/>
      <c r="C83" s="949"/>
      <c r="D83" s="938"/>
      <c r="E83" s="938"/>
      <c r="F83" s="938"/>
      <c r="G83" s="938"/>
      <c r="H83" s="938"/>
      <c r="I83" s="938"/>
      <c r="J83" s="938"/>
      <c r="K83" s="938"/>
      <c r="L83" s="938"/>
      <c r="M83" s="988"/>
      <c r="N83" s="989"/>
      <c r="O83" s="989"/>
      <c r="P83" s="987"/>
      <c r="Q83" s="909"/>
    </row>
    <row r="84" spans="1:17" s="705" customFormat="1" ht="15">
      <c r="A84" s="946"/>
      <c r="B84" s="939">
        <f>B27</f>
        <v>111</v>
      </c>
      <c r="C84" s="947"/>
      <c r="D84" s="947"/>
      <c r="E84" s="947"/>
      <c r="F84" s="947"/>
      <c r="G84" s="947"/>
      <c r="H84" s="947"/>
      <c r="I84" s="947"/>
      <c r="J84" s="947"/>
      <c r="K84" s="947"/>
      <c r="L84" s="1150"/>
      <c r="M84" s="1151"/>
      <c r="N84" s="999"/>
      <c r="O84" s="999"/>
      <c r="P84" s="1000"/>
      <c r="Q84" s="1030"/>
    </row>
    <row r="85" spans="1:17" s="705" customFormat="1" ht="15">
      <c r="A85" s="946"/>
      <c r="B85" s="941"/>
      <c r="C85" s="949"/>
      <c r="D85" s="938"/>
      <c r="E85" s="938"/>
      <c r="F85" s="938"/>
      <c r="G85" s="938"/>
      <c r="H85" s="938"/>
      <c r="I85" s="938"/>
      <c r="J85" s="938"/>
      <c r="K85" s="938"/>
      <c r="L85" s="938"/>
      <c r="M85" s="988"/>
      <c r="N85" s="999"/>
      <c r="O85" s="999"/>
      <c r="P85" s="1000"/>
      <c r="Q85" s="1030"/>
    </row>
    <row r="86" spans="1:17" ht="15">
      <c r="A86" s="936"/>
      <c r="B86" s="943">
        <f>B28</f>
        <v>111</v>
      </c>
      <c r="C86" s="931"/>
      <c r="D86" s="931"/>
      <c r="E86" s="931"/>
      <c r="F86" s="931"/>
      <c r="G86" s="964"/>
      <c r="H86" s="964"/>
      <c r="I86" s="964"/>
      <c r="J86" s="964"/>
      <c r="K86" s="1020"/>
      <c r="L86" s="1021"/>
      <c r="M86" s="1022"/>
      <c r="N86" s="986"/>
      <c r="O86" s="986"/>
      <c r="P86" s="987"/>
      <c r="Q86" s="909"/>
    </row>
    <row r="87" spans="1:17" ht="15">
      <c r="A87" s="1242"/>
      <c r="B87" s="953"/>
      <c r="C87" s="954"/>
      <c r="D87" s="954"/>
      <c r="E87" s="954"/>
      <c r="F87" s="954"/>
      <c r="G87" s="965"/>
      <c r="H87" s="965"/>
      <c r="I87" s="965"/>
      <c r="J87" s="965"/>
      <c r="K87" s="965"/>
      <c r="L87" s="965"/>
      <c r="M87" s="1023"/>
      <c r="N87" s="989"/>
      <c r="O87" s="989"/>
      <c r="P87" s="987"/>
      <c r="Q87" s="909"/>
    </row>
    <row r="88" spans="1:17">
      <c r="A88" s="934" t="s">
        <v>1276</v>
      </c>
      <c r="B88" s="935" t="s">
        <v>1277</v>
      </c>
      <c r="C88" s="882"/>
      <c r="D88" s="882"/>
      <c r="E88" s="882"/>
      <c r="F88" s="882"/>
      <c r="G88" s="882"/>
      <c r="H88" s="882"/>
      <c r="I88" s="882"/>
      <c r="J88" s="882"/>
      <c r="K88" s="983"/>
      <c r="L88" s="984"/>
      <c r="M88" s="985"/>
      <c r="N88" s="986"/>
      <c r="O88" s="986"/>
      <c r="P88" s="987"/>
      <c r="Q88" s="909"/>
    </row>
    <row r="89" spans="1:17" ht="15">
      <c r="A89" s="936"/>
      <c r="B89" s="941"/>
      <c r="C89" s="942">
        <v>100</v>
      </c>
      <c r="D89" s="942">
        <f t="shared" ref="D89:M89" si="19">C89-$K29</f>
        <v>100</v>
      </c>
      <c r="E89" s="942">
        <f t="shared" si="19"/>
        <v>100</v>
      </c>
      <c r="F89" s="942">
        <f t="shared" si="19"/>
        <v>100</v>
      </c>
      <c r="G89" s="942">
        <f t="shared" si="19"/>
        <v>100</v>
      </c>
      <c r="H89" s="942">
        <f t="shared" si="19"/>
        <v>100</v>
      </c>
      <c r="I89" s="942">
        <f t="shared" si="19"/>
        <v>100</v>
      </c>
      <c r="J89" s="942">
        <f t="shared" si="19"/>
        <v>100</v>
      </c>
      <c r="K89" s="942">
        <f t="shared" si="19"/>
        <v>100</v>
      </c>
      <c r="L89" s="942">
        <f t="shared" si="19"/>
        <v>100</v>
      </c>
      <c r="M89" s="993">
        <f t="shared" si="19"/>
        <v>100</v>
      </c>
      <c r="N89" s="989"/>
      <c r="O89" s="989"/>
      <c r="P89" s="987"/>
      <c r="Q89" s="909"/>
    </row>
    <row r="90" spans="1:17" ht="15">
      <c r="A90" s="936"/>
      <c r="B90" s="939" t="s">
        <v>1280</v>
      </c>
      <c r="C90" s="958" t="str">
        <f>C91&amp;"(含)"&amp;"-"&amp;D91</f>
        <v>(含)-</v>
      </c>
      <c r="D90" s="958" t="str">
        <f t="shared" ref="D90:L90" si="20">D91&amp;"(含)"&amp;"-"&amp;E91</f>
        <v>(含)-</v>
      </c>
      <c r="E90" s="958" t="str">
        <f t="shared" si="20"/>
        <v>(含)-</v>
      </c>
      <c r="F90" s="958" t="str">
        <f t="shared" si="20"/>
        <v>(含)-</v>
      </c>
      <c r="G90" s="958" t="str">
        <f t="shared" si="20"/>
        <v>(含)-</v>
      </c>
      <c r="H90" s="958" t="str">
        <f t="shared" si="20"/>
        <v>(含)-</v>
      </c>
      <c r="I90" s="958" t="str">
        <f t="shared" si="20"/>
        <v>(含)-</v>
      </c>
      <c r="J90" s="958" t="str">
        <f t="shared" si="20"/>
        <v>(含)-</v>
      </c>
      <c r="K90" s="958" t="str">
        <f t="shared" si="20"/>
        <v>(含)-</v>
      </c>
      <c r="L90" s="958" t="str">
        <f t="shared" si="20"/>
        <v>(含)-</v>
      </c>
      <c r="M90" s="1012" t="str">
        <f>M91&amp;"(含)"&amp;"-"&amp;P91</f>
        <v>(含)-</v>
      </c>
      <c r="N90" s="980"/>
      <c r="O90" s="980"/>
      <c r="P90" s="987"/>
      <c r="Q90" s="909"/>
    </row>
    <row r="91" spans="1:17" s="705" customFormat="1">
      <c r="A91" s="966"/>
      <c r="B91" s="967"/>
      <c r="C91" s="923"/>
      <c r="D91" s="923"/>
      <c r="E91" s="923"/>
      <c r="F91" s="923"/>
      <c r="G91" s="923"/>
      <c r="H91" s="923"/>
      <c r="I91" s="923"/>
      <c r="J91" s="1024"/>
      <c r="K91" s="1024"/>
      <c r="L91" s="1025"/>
      <c r="M91" s="1026"/>
      <c r="N91" s="999"/>
      <c r="O91" s="999"/>
      <c r="P91" s="1000"/>
      <c r="Q91" s="1030"/>
    </row>
    <row r="92" spans="1:17" s="705" customFormat="1" ht="15">
      <c r="A92" s="946"/>
      <c r="B92" s="941"/>
      <c r="C92" s="949"/>
      <c r="D92" s="938"/>
      <c r="E92" s="938"/>
      <c r="F92" s="938"/>
      <c r="G92" s="938"/>
      <c r="H92" s="938"/>
      <c r="I92" s="938"/>
      <c r="J92" s="938"/>
      <c r="K92" s="938"/>
      <c r="L92" s="938"/>
      <c r="M92" s="988"/>
      <c r="N92" s="989"/>
      <c r="O92" s="989"/>
      <c r="P92" s="1000"/>
      <c r="Q92" s="1030"/>
    </row>
    <row r="93" spans="1:17">
      <c r="A93" s="970"/>
      <c r="B93" s="939" t="s">
        <v>1281</v>
      </c>
      <c r="C93" s="947"/>
      <c r="D93" s="947"/>
      <c r="E93" s="963"/>
      <c r="F93" s="963"/>
      <c r="G93" s="963"/>
      <c r="H93" s="963"/>
      <c r="I93" s="963"/>
      <c r="J93" s="963"/>
      <c r="K93" s="1017"/>
      <c r="L93" s="1018"/>
      <c r="M93" s="1019"/>
      <c r="N93" s="986"/>
      <c r="O93" s="986"/>
      <c r="P93" s="987"/>
      <c r="Q93" s="909"/>
    </row>
    <row r="94" spans="1:17" ht="15">
      <c r="A94" s="936"/>
      <c r="B94" s="941"/>
      <c r="C94" s="942">
        <v>100</v>
      </c>
      <c r="D94" s="942">
        <f t="shared" ref="D94:M94" si="21">C94-$K31</f>
        <v>100</v>
      </c>
      <c r="E94" s="942">
        <f t="shared" si="21"/>
        <v>100</v>
      </c>
      <c r="F94" s="942">
        <f t="shared" si="21"/>
        <v>100</v>
      </c>
      <c r="G94" s="942">
        <f t="shared" si="21"/>
        <v>100</v>
      </c>
      <c r="H94" s="942">
        <f t="shared" si="21"/>
        <v>100</v>
      </c>
      <c r="I94" s="942">
        <f t="shared" si="21"/>
        <v>100</v>
      </c>
      <c r="J94" s="942">
        <f t="shared" si="21"/>
        <v>100</v>
      </c>
      <c r="K94" s="942">
        <f t="shared" si="21"/>
        <v>100</v>
      </c>
      <c r="L94" s="942">
        <f t="shared" si="21"/>
        <v>100</v>
      </c>
      <c r="M94" s="993">
        <f t="shared" si="21"/>
        <v>100</v>
      </c>
      <c r="N94" s="989"/>
      <c r="O94" s="989"/>
      <c r="P94" s="987"/>
      <c r="Q94" s="909"/>
    </row>
    <row r="95" spans="1:17">
      <c r="A95" s="970"/>
      <c r="B95" s="939" t="s">
        <v>1282</v>
      </c>
      <c r="C95" s="947"/>
      <c r="D95" s="947"/>
      <c r="E95" s="947"/>
      <c r="F95" s="963"/>
      <c r="G95" s="963"/>
      <c r="H95" s="963"/>
      <c r="I95" s="963"/>
      <c r="J95" s="963"/>
      <c r="K95" s="1017"/>
      <c r="L95" s="1018"/>
      <c r="M95" s="1019"/>
      <c r="N95" s="986"/>
      <c r="O95" s="986"/>
      <c r="P95" s="987"/>
      <c r="Q95" s="909"/>
    </row>
    <row r="96" spans="1:17" ht="15">
      <c r="A96" s="936"/>
      <c r="B96" s="941"/>
      <c r="C96" s="942">
        <v>100</v>
      </c>
      <c r="D96" s="942">
        <f t="shared" ref="D96:M96" si="22">C96-$K32</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93">
        <f t="shared" si="22"/>
        <v>100</v>
      </c>
      <c r="N96" s="989"/>
      <c r="O96" s="989"/>
      <c r="P96" s="987"/>
      <c r="Q96" s="909"/>
    </row>
    <row r="97" spans="1:17">
      <c r="A97" s="970"/>
      <c r="B97" s="939" t="s">
        <v>1284</v>
      </c>
      <c r="C97" s="958" t="str">
        <f>C98&amp;"(含)"&amp;"-"&amp;D98</f>
        <v>0.5(含)-0.6</v>
      </c>
      <c r="D97" s="958" t="str">
        <f>D98&amp;"(含)"&amp;"-"&amp;E98</f>
        <v>0.6(含)-0.7</v>
      </c>
      <c r="E97" s="958" t="str">
        <f>E98&amp;"(含)"&amp;"-"&amp;F98</f>
        <v>0.7(含)-0.8</v>
      </c>
      <c r="F97" s="958" t="str">
        <f>F98&amp;"(含)"&amp;"-"&amp;G98</f>
        <v>0.8(含)-0.9</v>
      </c>
      <c r="G97" s="958" t="str">
        <f>G98&amp;"(含)"&amp;"-"&amp;H98</f>
        <v>0.9(含)-1</v>
      </c>
      <c r="H97" s="958"/>
      <c r="I97" s="963"/>
      <c r="J97" s="963"/>
      <c r="K97" s="1017"/>
      <c r="L97" s="1018"/>
      <c r="M97" s="1019"/>
      <c r="N97" s="986"/>
      <c r="O97" s="986"/>
      <c r="P97" s="987"/>
      <c r="Q97" s="909"/>
    </row>
    <row r="98" spans="1:17">
      <c r="A98" s="970"/>
      <c r="B98" s="943"/>
      <c r="C98" s="365">
        <v>0.5</v>
      </c>
      <c r="D98" s="365">
        <v>0.6</v>
      </c>
      <c r="E98" s="365">
        <v>0.7</v>
      </c>
      <c r="F98" s="365">
        <v>0.8</v>
      </c>
      <c r="G98" s="365">
        <v>0.9</v>
      </c>
      <c r="H98" s="365">
        <v>1</v>
      </c>
      <c r="I98" s="1229"/>
      <c r="J98" s="1229"/>
      <c r="K98" s="1230"/>
      <c r="L98" s="1231"/>
      <c r="M98" s="1232"/>
      <c r="N98" s="986"/>
      <c r="O98" s="986"/>
      <c r="P98" s="987"/>
      <c r="Q98" s="909"/>
    </row>
    <row r="99" spans="1:17" ht="15">
      <c r="A99" s="936"/>
      <c r="B99" s="941"/>
      <c r="C99" s="960">
        <v>100</v>
      </c>
      <c r="D99" s="942">
        <f>C99+$K33</f>
        <v>100</v>
      </c>
      <c r="E99" s="942">
        <f t="shared" ref="E99:M99" si="23">D99+$K33</f>
        <v>100</v>
      </c>
      <c r="F99" s="942">
        <f t="shared" si="23"/>
        <v>100</v>
      </c>
      <c r="G99" s="942">
        <f t="shared" si="23"/>
        <v>100</v>
      </c>
      <c r="H99" s="942">
        <f t="shared" si="23"/>
        <v>100</v>
      </c>
      <c r="I99" s="942">
        <f t="shared" si="23"/>
        <v>100</v>
      </c>
      <c r="J99" s="942">
        <f t="shared" si="23"/>
        <v>100</v>
      </c>
      <c r="K99" s="942">
        <f t="shared" si="23"/>
        <v>100</v>
      </c>
      <c r="L99" s="942">
        <f t="shared" si="23"/>
        <v>100</v>
      </c>
      <c r="M99" s="942">
        <f t="shared" si="23"/>
        <v>100</v>
      </c>
      <c r="N99" s="989"/>
      <c r="O99" s="989"/>
      <c r="P99" s="987"/>
      <c r="Q99" s="909"/>
    </row>
    <row r="100" spans="1:17" s="705" customFormat="1">
      <c r="A100" s="966"/>
      <c r="B100" s="939" t="s">
        <v>1287</v>
      </c>
      <c r="C100" s="947"/>
      <c r="D100" s="947"/>
      <c r="E100" s="947"/>
      <c r="F100" s="947"/>
      <c r="G100" s="947"/>
      <c r="H100" s="963"/>
      <c r="I100" s="963"/>
      <c r="J100" s="963"/>
      <c r="K100" s="1017"/>
      <c r="L100" s="1018"/>
      <c r="M100" s="1019"/>
      <c r="N100" s="999"/>
      <c r="O100" s="999"/>
      <c r="P100" s="1000"/>
      <c r="Q100" s="1030"/>
    </row>
    <row r="101" spans="1:17" s="705" customFormat="1" ht="15">
      <c r="A101" s="946"/>
      <c r="B101" s="941"/>
      <c r="C101" s="942">
        <v>100</v>
      </c>
      <c r="D101" s="942">
        <f>C101-$K34</f>
        <v>100</v>
      </c>
      <c r="E101" s="942">
        <f t="shared" ref="E101:M101" si="24">D101-$K34</f>
        <v>100</v>
      </c>
      <c r="F101" s="942">
        <f t="shared" si="24"/>
        <v>100</v>
      </c>
      <c r="G101" s="942">
        <f t="shared" si="24"/>
        <v>100</v>
      </c>
      <c r="H101" s="942">
        <f t="shared" si="24"/>
        <v>100</v>
      </c>
      <c r="I101" s="942">
        <f t="shared" si="24"/>
        <v>100</v>
      </c>
      <c r="J101" s="942">
        <f t="shared" si="24"/>
        <v>100</v>
      </c>
      <c r="K101" s="942">
        <f t="shared" si="24"/>
        <v>100</v>
      </c>
      <c r="L101" s="942">
        <f t="shared" si="24"/>
        <v>100</v>
      </c>
      <c r="M101" s="942">
        <f t="shared" si="24"/>
        <v>100</v>
      </c>
      <c r="N101" s="999"/>
      <c r="O101" s="999"/>
      <c r="P101" s="1000"/>
      <c r="Q101" s="1030"/>
    </row>
    <row r="102" spans="1:17">
      <c r="A102" s="970"/>
      <c r="B102" s="939" t="s">
        <v>1289</v>
      </c>
      <c r="C102" s="947"/>
      <c r="D102" s="947"/>
      <c r="E102" s="947"/>
      <c r="F102" s="947"/>
      <c r="G102" s="947"/>
      <c r="H102" s="963"/>
      <c r="I102" s="963"/>
      <c r="J102" s="963"/>
      <c r="K102" s="1017"/>
      <c r="L102" s="1018"/>
      <c r="M102" s="1019"/>
      <c r="N102" s="986"/>
      <c r="O102" s="986"/>
      <c r="P102" s="987"/>
      <c r="Q102" s="909"/>
    </row>
    <row r="103" spans="1:17" ht="15">
      <c r="A103" s="936"/>
      <c r="B103" s="941"/>
      <c r="C103" s="942">
        <v>100</v>
      </c>
      <c r="D103" s="942">
        <f t="shared" ref="D103:M103" si="25">C103-$K35</f>
        <v>100</v>
      </c>
      <c r="E103" s="942">
        <f t="shared" si="25"/>
        <v>100</v>
      </c>
      <c r="F103" s="942">
        <f t="shared" si="25"/>
        <v>100</v>
      </c>
      <c r="G103" s="942">
        <f t="shared" si="25"/>
        <v>100</v>
      </c>
      <c r="H103" s="942">
        <f t="shared" si="25"/>
        <v>100</v>
      </c>
      <c r="I103" s="942">
        <f t="shared" si="25"/>
        <v>100</v>
      </c>
      <c r="J103" s="942">
        <f t="shared" si="25"/>
        <v>100</v>
      </c>
      <c r="K103" s="942">
        <f t="shared" si="25"/>
        <v>100</v>
      </c>
      <c r="L103" s="942">
        <f t="shared" si="25"/>
        <v>100</v>
      </c>
      <c r="M103" s="993">
        <f t="shared" si="25"/>
        <v>100</v>
      </c>
      <c r="N103" s="989"/>
      <c r="O103" s="989"/>
      <c r="P103" s="987"/>
      <c r="Q103" s="909"/>
    </row>
    <row r="104" spans="1:17">
      <c r="A104" s="970"/>
      <c r="B104" s="939" t="s">
        <v>1293</v>
      </c>
      <c r="C104" s="947"/>
      <c r="D104" s="947"/>
      <c r="E104" s="947"/>
      <c r="F104" s="947"/>
      <c r="G104" s="947"/>
      <c r="H104" s="963"/>
      <c r="I104" s="963"/>
      <c r="J104" s="963"/>
      <c r="K104" s="1017"/>
      <c r="L104" s="1018"/>
      <c r="M104" s="1019"/>
      <c r="N104" s="986"/>
      <c r="O104" s="986"/>
      <c r="P104" s="987"/>
      <c r="Q104" s="909"/>
    </row>
    <row r="105" spans="1:17" ht="15">
      <c r="A105" s="936"/>
      <c r="B105" s="941"/>
      <c r="C105" s="942">
        <v>100</v>
      </c>
      <c r="D105" s="942">
        <f>C105-$K36</f>
        <v>100</v>
      </c>
      <c r="E105" s="942">
        <f>D105-$K36</f>
        <v>100</v>
      </c>
      <c r="F105" s="942">
        <f>E105-$K36</f>
        <v>100</v>
      </c>
      <c r="G105" s="942">
        <f>F105-$K36</f>
        <v>100</v>
      </c>
      <c r="H105" s="942"/>
      <c r="I105" s="942"/>
      <c r="J105" s="942"/>
      <c r="K105" s="942"/>
      <c r="L105" s="942"/>
      <c r="M105" s="993"/>
      <c r="N105" s="989"/>
      <c r="O105" s="989"/>
      <c r="P105" s="987"/>
      <c r="Q105" s="909"/>
    </row>
    <row r="106" spans="1:17">
      <c r="A106" s="970"/>
      <c r="B106" s="1149" t="s">
        <v>1415</v>
      </c>
      <c r="C106" s="958" t="s">
        <v>228</v>
      </c>
      <c r="D106" s="958" t="s">
        <v>240</v>
      </c>
      <c r="E106" s="958" t="s">
        <v>251</v>
      </c>
      <c r="F106" s="958" t="s">
        <v>261</v>
      </c>
      <c r="G106" s="958" t="s">
        <v>268</v>
      </c>
      <c r="H106" s="940"/>
      <c r="I106" s="940"/>
      <c r="J106" s="940"/>
      <c r="K106" s="990"/>
      <c r="L106" s="991"/>
      <c r="M106" s="992"/>
      <c r="N106" s="989"/>
      <c r="O106" s="989"/>
      <c r="P106" s="1155"/>
      <c r="Q106" s="1156"/>
    </row>
    <row r="107" spans="1:17" ht="15">
      <c r="A107" s="936"/>
      <c r="B107" s="941"/>
      <c r="C107" s="960">
        <v>100</v>
      </c>
      <c r="D107" s="942">
        <f t="shared" ref="D107:M107" si="26">C107-$K37</f>
        <v>100</v>
      </c>
      <c r="E107" s="942">
        <f t="shared" si="26"/>
        <v>100</v>
      </c>
      <c r="F107" s="942">
        <f t="shared" si="26"/>
        <v>100</v>
      </c>
      <c r="G107" s="942">
        <f t="shared" si="26"/>
        <v>100</v>
      </c>
      <c r="H107" s="942">
        <f t="shared" si="26"/>
        <v>100</v>
      </c>
      <c r="I107" s="942">
        <f t="shared" si="26"/>
        <v>100</v>
      </c>
      <c r="J107" s="942">
        <f t="shared" si="26"/>
        <v>100</v>
      </c>
      <c r="K107" s="942">
        <f t="shared" si="26"/>
        <v>100</v>
      </c>
      <c r="L107" s="942">
        <f t="shared" si="26"/>
        <v>100</v>
      </c>
      <c r="M107" s="942">
        <f t="shared" si="26"/>
        <v>100</v>
      </c>
      <c r="N107" s="989"/>
      <c r="O107" s="989"/>
      <c r="P107" s="987"/>
      <c r="Q107" s="909"/>
    </row>
    <row r="108" spans="1:17" s="705" customFormat="1">
      <c r="A108" s="966"/>
      <c r="B108" s="939">
        <f>B38</f>
        <v>111</v>
      </c>
      <c r="C108" s="947"/>
      <c r="D108" s="947"/>
      <c r="E108" s="947"/>
      <c r="F108" s="947"/>
      <c r="G108" s="947"/>
      <c r="H108" s="948"/>
      <c r="I108" s="948"/>
      <c r="J108" s="948"/>
      <c r="K108" s="948"/>
      <c r="L108" s="997"/>
      <c r="M108" s="998"/>
      <c r="N108" s="999"/>
      <c r="O108" s="999"/>
      <c r="P108" s="1000"/>
      <c r="Q108" s="1030"/>
    </row>
    <row r="109" spans="1:17" s="705" customFormat="1" ht="15">
      <c r="A109" s="946"/>
      <c r="B109" s="937"/>
      <c r="C109" s="949"/>
      <c r="D109" s="938"/>
      <c r="E109" s="938"/>
      <c r="F109" s="938"/>
      <c r="G109" s="949"/>
      <c r="H109" s="950"/>
      <c r="I109" s="950"/>
      <c r="J109" s="950"/>
      <c r="K109" s="950"/>
      <c r="L109" s="950"/>
      <c r="M109" s="1002"/>
      <c r="N109" s="999"/>
      <c r="O109" s="999"/>
      <c r="P109" s="1000"/>
      <c r="Q109" s="1030"/>
    </row>
    <row r="110" spans="1:17">
      <c r="A110" s="970"/>
      <c r="B110" s="939">
        <f>B39</f>
        <v>111</v>
      </c>
      <c r="C110" s="947"/>
      <c r="D110" s="947"/>
      <c r="E110" s="947"/>
      <c r="F110" s="947"/>
      <c r="G110" s="947"/>
      <c r="H110" s="948"/>
      <c r="I110" s="948"/>
      <c r="J110" s="948"/>
      <c r="K110" s="948"/>
      <c r="L110" s="997"/>
      <c r="M110" s="998"/>
      <c r="N110" s="986"/>
      <c r="O110" s="986"/>
      <c r="P110" s="987"/>
      <c r="Q110" s="909"/>
    </row>
    <row r="111" spans="1:17" ht="15">
      <c r="A111" s="936"/>
      <c r="B111" s="941"/>
      <c r="C111" s="949"/>
      <c r="D111" s="938"/>
      <c r="E111" s="938"/>
      <c r="F111" s="938"/>
      <c r="G111" s="949"/>
      <c r="H111" s="950"/>
      <c r="I111" s="950"/>
      <c r="J111" s="950"/>
      <c r="K111" s="950"/>
      <c r="L111" s="950"/>
      <c r="M111" s="1002"/>
      <c r="N111" s="989"/>
      <c r="O111" s="989"/>
      <c r="P111" s="987"/>
      <c r="Q111" s="909"/>
    </row>
    <row r="112" spans="1:17">
      <c r="A112" s="970"/>
      <c r="B112" s="943">
        <f>B40</f>
        <v>111</v>
      </c>
      <c r="C112" s="931"/>
      <c r="D112" s="931"/>
      <c r="E112" s="931"/>
      <c r="F112" s="931"/>
      <c r="G112" s="964"/>
      <c r="H112" s="964"/>
      <c r="I112" s="964"/>
      <c r="J112" s="964"/>
      <c r="K112" s="931"/>
      <c r="L112" s="978"/>
      <c r="M112" s="1022"/>
      <c r="N112" s="986"/>
      <c r="O112" s="986"/>
      <c r="P112" s="987"/>
      <c r="Q112" s="909"/>
    </row>
    <row r="113" spans="1:17" ht="15">
      <c r="A113" s="1242"/>
      <c r="B113" s="953"/>
      <c r="C113" s="954"/>
      <c r="D113" s="954"/>
      <c r="E113" s="954"/>
      <c r="F113" s="954"/>
      <c r="G113" s="965"/>
      <c r="H113" s="965"/>
      <c r="I113" s="965"/>
      <c r="J113" s="965"/>
      <c r="K113" s="965"/>
      <c r="L113" s="965"/>
      <c r="M113" s="1023"/>
      <c r="N113" s="989"/>
      <c r="O113" s="989"/>
      <c r="P113" s="987"/>
      <c r="Q113"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8 E18 G18 I18">
      <formula1>交通便捷度</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32 E32 G32 I32">
      <formula1>工业公共部分装修</formula1>
    </dataValidation>
    <dataValidation type="list" allowBlank="1" showInputMessage="1" showErrorMessage="1" sqref="C16 E16 G16 I16">
      <formula1>产业集聚程度</formula1>
    </dataValidation>
    <dataValidation type="list" allowBlank="1" showInputMessage="1" showErrorMessage="1" sqref="C20 E20 G20 I20">
      <formula1>公共配套设施</formula1>
    </dataValidation>
    <dataValidation type="list" allowBlank="1" showInputMessage="1" showErrorMessage="1" sqref="C37 E37 G37 I37">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sqref="A1:XFD1048576"/>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5.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1416</v>
      </c>
      <c r="B1" s="1076"/>
      <c r="C1" s="1077"/>
      <c r="D1" s="1157"/>
      <c r="E1" s="1079"/>
      <c r="F1" s="1158" t="s">
        <v>1238</v>
      </c>
      <c r="G1" s="1157"/>
      <c r="H1" s="1157"/>
      <c r="I1" s="1157"/>
      <c r="J1" s="1157"/>
      <c r="K1" s="1201"/>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832</v>
      </c>
      <c r="B2" s="1082" t="e">
        <f ca="1">IF(D2="——",IF(B37="元/平方米",IF(C2="元",ROUND(C39*D3,0),ROUND(C39*D3/10000,0)),IF(C2="元",ROUND(F3*C39,0),ROUND(F3*C39/10000,0))),IF(B37="元/平方米",IF(C2="元",ROUND(C39*D3,0),ROUND(C39*D3/10000,0)),IF(C2="元",ROUND(F3*C39,0),ROUND(F3*C39/10000,0)))-E2)</f>
        <v>#DIV/0!</v>
      </c>
      <c r="C2" s="1083" t="str">
        <f>'数据-取费表'!B3</f>
        <v>万元</v>
      </c>
      <c r="D2" s="1084"/>
      <c r="E2" s="1159" t="e">
        <f ca="1">SUMIF(INDIRECT("'"&amp;G2&amp;"'"&amp;"!A:A"),"承租人权益价值",INDIRECT("'"&amp;G2&amp;"'"&amp;"!c:c"))</f>
        <v>#REF!</v>
      </c>
      <c r="F2" s="1086" t="str">
        <f>C2</f>
        <v>万元</v>
      </c>
      <c r="G2" s="1087"/>
      <c r="H2" s="719"/>
      <c r="I2" s="719"/>
      <c r="J2" s="719"/>
      <c r="K2" s="856"/>
      <c r="L2" s="1202"/>
      <c r="M2" s="855"/>
      <c r="N2" s="855"/>
      <c r="O2" s="855"/>
      <c r="P2" s="855"/>
      <c r="Q2" s="855"/>
      <c r="R2" s="855"/>
      <c r="S2" s="855"/>
      <c r="T2" s="855"/>
      <c r="U2" s="855"/>
      <c r="V2" s="855"/>
      <c r="W2" s="855"/>
      <c r="X2" s="855"/>
      <c r="Y2" s="855"/>
      <c r="Z2" s="855"/>
      <c r="AA2" s="855"/>
      <c r="AB2" s="855"/>
      <c r="AC2" s="910"/>
    </row>
    <row r="3" spans="1:29" s="702" customFormat="1" ht="28.5" customHeight="1">
      <c r="A3" s="407" t="s">
        <v>833</v>
      </c>
      <c r="B3" s="721" t="e">
        <f>IF(AND(D2="——",B37="元/平方米"),C39,ROUND(F3*C39/D3,0))</f>
        <v>#DIV/0!</v>
      </c>
      <c r="C3" s="1088" t="s">
        <v>1239</v>
      </c>
      <c r="D3" s="1089">
        <f>IF(C1="仅计算典型户型",'数据-取费表'!E5,'数据-取费表'!B5)</f>
        <v>1024.48</v>
      </c>
      <c r="E3" s="1160" t="s">
        <v>1417</v>
      </c>
      <c r="F3" s="1088">
        <f>'数据-取费表'!B41</f>
        <v>0</v>
      </c>
      <c r="G3" s="719"/>
      <c r="H3" s="719"/>
      <c r="I3" s="719"/>
      <c r="J3" s="719"/>
      <c r="K3" s="856"/>
      <c r="L3" s="1202"/>
      <c r="M3" s="855"/>
      <c r="N3" s="855"/>
      <c r="O3" s="855"/>
      <c r="P3" s="855"/>
      <c r="Q3" s="855"/>
      <c r="R3" s="855"/>
      <c r="S3" s="855"/>
      <c r="T3" s="855"/>
      <c r="U3" s="855"/>
      <c r="V3" s="855"/>
      <c r="W3" s="855"/>
      <c r="X3" s="855"/>
      <c r="Y3" s="855"/>
      <c r="Z3" s="855"/>
      <c r="AA3" s="855"/>
      <c r="AB3" s="911"/>
      <c r="AC3" s="912"/>
    </row>
    <row r="4" spans="1:29" ht="15">
      <c r="A4" s="722" t="s">
        <v>1240</v>
      </c>
      <c r="B4" s="723"/>
      <c r="C4" s="3004" t="s">
        <v>1241</v>
      </c>
      <c r="D4" s="3005"/>
      <c r="E4" s="3006" t="s">
        <v>1242</v>
      </c>
      <c r="F4" s="3007"/>
      <c r="G4" s="3004" t="s">
        <v>1243</v>
      </c>
      <c r="H4" s="3005"/>
      <c r="I4" s="3004" t="s">
        <v>1244</v>
      </c>
      <c r="J4" s="3005"/>
      <c r="K4" s="859" t="s">
        <v>1245</v>
      </c>
      <c r="L4" s="1203"/>
      <c r="M4" s="1097"/>
      <c r="N4" s="1097"/>
      <c r="O4" s="1097"/>
      <c r="P4" s="3065" t="s">
        <v>1246</v>
      </c>
      <c r="Q4" s="3024"/>
      <c r="R4" s="3038" t="s">
        <v>1242</v>
      </c>
      <c r="S4" s="3039"/>
      <c r="T4" s="3038" t="s">
        <v>1243</v>
      </c>
      <c r="U4" s="3039"/>
      <c r="V4" s="3048" t="s">
        <v>1244</v>
      </c>
      <c r="W4" s="3048"/>
      <c r="X4" s="898"/>
      <c r="Y4" s="3038" t="s">
        <v>1246</v>
      </c>
      <c r="Z4" s="3039"/>
      <c r="AA4" s="3035" t="s">
        <v>1242</v>
      </c>
      <c r="AB4" s="3036" t="s">
        <v>1243</v>
      </c>
      <c r="AC4" s="3035" t="s">
        <v>1244</v>
      </c>
    </row>
    <row r="5" spans="1:29" ht="15">
      <c r="A5" s="724"/>
      <c r="B5" s="725"/>
      <c r="C5" s="3008" t="s">
        <v>1371</v>
      </c>
      <c r="D5" s="3009"/>
      <c r="E5" s="3055" t="s">
        <v>1372</v>
      </c>
      <c r="F5" s="3011"/>
      <c r="G5" s="3008" t="s">
        <v>1373</v>
      </c>
      <c r="H5" s="3009"/>
      <c r="I5" s="3008" t="s">
        <v>1374</v>
      </c>
      <c r="J5" s="3009"/>
      <c r="K5" s="859"/>
      <c r="L5" s="1203"/>
      <c r="M5" s="1097"/>
      <c r="N5" s="1097"/>
      <c r="O5" s="1097"/>
      <c r="P5" s="3066"/>
      <c r="Q5" s="3025"/>
      <c r="R5" s="3040"/>
      <c r="S5" s="3041"/>
      <c r="T5" s="3040"/>
      <c r="U5" s="3041"/>
      <c r="V5" s="3048"/>
      <c r="W5" s="3048"/>
      <c r="X5" s="898"/>
      <c r="Y5" s="3040"/>
      <c r="Z5" s="3041"/>
      <c r="AA5" s="3036"/>
      <c r="AB5" s="3036"/>
      <c r="AC5" s="3036"/>
    </row>
    <row r="6" spans="1:29" ht="15">
      <c r="A6" s="726"/>
      <c r="B6" s="727"/>
      <c r="C6" s="3017" t="s">
        <v>1250</v>
      </c>
      <c r="D6" s="3014"/>
      <c r="E6" s="3015" t="s">
        <v>1250</v>
      </c>
      <c r="F6" s="3016"/>
      <c r="G6" s="3017" t="s">
        <v>1250</v>
      </c>
      <c r="H6" s="3014"/>
      <c r="I6" s="3017" t="s">
        <v>1250</v>
      </c>
      <c r="J6" s="3014"/>
      <c r="K6" s="859" t="s">
        <v>1251</v>
      </c>
      <c r="L6" s="1203"/>
      <c r="M6" s="1097"/>
      <c r="N6" s="1097"/>
      <c r="O6" s="1097"/>
      <c r="P6" s="3067"/>
      <c r="Q6" s="3047"/>
      <c r="R6" s="3040"/>
      <c r="S6" s="3041"/>
      <c r="T6" s="3042"/>
      <c r="U6" s="3043"/>
      <c r="V6" s="3048"/>
      <c r="W6" s="3048"/>
      <c r="X6" s="898"/>
      <c r="Y6" s="3042"/>
      <c r="Z6" s="3043"/>
      <c r="AA6" s="3037"/>
      <c r="AB6" s="3037"/>
      <c r="AC6" s="3037"/>
    </row>
    <row r="7" spans="1:29" s="703" customFormat="1" ht="15">
      <c r="A7" s="728" t="s">
        <v>1252</v>
      </c>
      <c r="B7" s="729"/>
      <c r="C7" s="730">
        <f>'数据-取费表'!B2</f>
        <v>43646</v>
      </c>
      <c r="D7" s="731">
        <v>100</v>
      </c>
      <c r="E7" s="732"/>
      <c r="F7" s="733">
        <f>SUMIF(48:48,YEAR(E7)&amp;"-"&amp;MONTH(E7),49:49)</f>
        <v>0</v>
      </c>
      <c r="G7" s="732"/>
      <c r="H7" s="731">
        <f>SUMIF(48:48,YEAR(G7)&amp;"-"&amp;MONTH(G7),49:49)</f>
        <v>0</v>
      </c>
      <c r="I7" s="732"/>
      <c r="J7" s="731">
        <f>SUMIF(48:48,YEAR(I7)&amp;"-"&amp;MONTH(I7),49:49)</f>
        <v>0</v>
      </c>
      <c r="K7" s="862"/>
      <c r="L7" s="1204"/>
      <c r="M7" s="1205"/>
      <c r="N7" s="1205"/>
      <c r="O7" s="1205"/>
      <c r="P7" s="3019" t="s">
        <v>1253</v>
      </c>
      <c r="Q7" s="3018"/>
      <c r="R7" s="900" t="s">
        <v>1254</v>
      </c>
      <c r="S7" s="901">
        <f t="shared" ref="S7:S14" si="0">F7</f>
        <v>0</v>
      </c>
      <c r="T7" s="900" t="s">
        <v>1254</v>
      </c>
      <c r="U7" s="901">
        <f t="shared" ref="U7:U14" si="1">H7</f>
        <v>0</v>
      </c>
      <c r="V7" s="900" t="s">
        <v>1254</v>
      </c>
      <c r="W7" s="901">
        <f t="shared" ref="W7:W14" si="2">J7</f>
        <v>0</v>
      </c>
      <c r="X7" s="902"/>
      <c r="Y7" s="3019" t="s">
        <v>1253</v>
      </c>
      <c r="Z7" s="3020"/>
      <c r="AA7" s="913" t="e">
        <f>D7/F7</f>
        <v>#DIV/0!</v>
      </c>
      <c r="AB7" s="913" t="e">
        <f>D7/H7</f>
        <v>#DIV/0!</v>
      </c>
      <c r="AC7" s="913" t="e">
        <f>D7/J7</f>
        <v>#DIV/0!</v>
      </c>
    </row>
    <row r="8" spans="1:29" s="703" customFormat="1" ht="15">
      <c r="A8" s="728" t="s">
        <v>1255</v>
      </c>
      <c r="B8" s="729"/>
      <c r="C8" s="735" t="s">
        <v>1256</v>
      </c>
      <c r="D8" s="731">
        <v>100</v>
      </c>
      <c r="E8" s="735"/>
      <c r="F8" s="733">
        <f>SUMIF(51:51,E8,52:52)-SUMIF(51:51,C8,52:52)+100</f>
        <v>0</v>
      </c>
      <c r="G8" s="735"/>
      <c r="H8" s="731">
        <f>SUMIF(51:51,G8,52:52)-SUMIF(51:51,C8,52:52)+100</f>
        <v>0</v>
      </c>
      <c r="I8" s="735"/>
      <c r="J8" s="731">
        <f>SUMIF(51:51,I8,52:52)-SUMIF(51:51,C8,52:52)+100</f>
        <v>0</v>
      </c>
      <c r="K8" s="862"/>
      <c r="L8" s="1204"/>
      <c r="M8" s="1205"/>
      <c r="N8" s="1205"/>
      <c r="O8" s="1205"/>
      <c r="P8" s="3019" t="s">
        <v>1258</v>
      </c>
      <c r="Q8" s="3020"/>
      <c r="R8" s="900" t="s">
        <v>1254</v>
      </c>
      <c r="S8" s="901">
        <f t="shared" si="0"/>
        <v>0</v>
      </c>
      <c r="T8" s="900" t="s">
        <v>1254</v>
      </c>
      <c r="U8" s="901">
        <f t="shared" si="1"/>
        <v>0</v>
      </c>
      <c r="V8" s="900" t="s">
        <v>1254</v>
      </c>
      <c r="W8" s="901">
        <f t="shared" si="2"/>
        <v>0</v>
      </c>
      <c r="X8" s="902"/>
      <c r="Y8" s="3019" t="s">
        <v>1258</v>
      </c>
      <c r="Z8" s="3020"/>
      <c r="AA8" s="913" t="e">
        <f t="shared" ref="AA8:AA36" si="3">D8/F8</f>
        <v>#DIV/0!</v>
      </c>
      <c r="AB8" s="913" t="e">
        <f t="shared" ref="AB8:AB36" si="4">D8/H8</f>
        <v>#DIV/0!</v>
      </c>
      <c r="AC8" s="913" t="e">
        <f t="shared" ref="AC8:AC36" si="5">D8/J8</f>
        <v>#DIV/0!</v>
      </c>
    </row>
    <row r="9" spans="1:29" s="703" customFormat="1">
      <c r="A9" s="1161" t="s">
        <v>1259</v>
      </c>
      <c r="B9" s="1162" t="s">
        <v>1260</v>
      </c>
      <c r="C9" s="1090"/>
      <c r="D9" s="739">
        <v>100</v>
      </c>
      <c r="E9" s="1091"/>
      <c r="F9" s="739">
        <f>SUMIF(53:53,E9,54:54)-SUMIF(53:53,C9,54:54)+100</f>
        <v>100</v>
      </c>
      <c r="G9" s="1163"/>
      <c r="H9" s="739">
        <f>SUMIF(53:53,G9,54:54)-SUMIF(53:53,C9,54:54)+100</f>
        <v>100</v>
      </c>
      <c r="I9" s="1163"/>
      <c r="J9" s="739">
        <f>SUMIF(53:53,I9,54:54)-SUMIF(53:53,C9,54:54)+100</f>
        <v>100</v>
      </c>
      <c r="K9" s="862"/>
      <c r="L9" s="1204"/>
      <c r="M9" s="1205"/>
      <c r="N9" s="1205"/>
      <c r="O9" s="1206"/>
      <c r="P9" s="3022" t="s">
        <v>1261</v>
      </c>
      <c r="Q9" s="903" t="str">
        <f t="shared" ref="Q9:Q14" si="6">B9</f>
        <v>用途</v>
      </c>
      <c r="R9" s="900" t="s">
        <v>1254</v>
      </c>
      <c r="S9" s="901">
        <f t="shared" si="0"/>
        <v>100</v>
      </c>
      <c r="T9" s="900" t="s">
        <v>1254</v>
      </c>
      <c r="U9" s="901">
        <f t="shared" si="1"/>
        <v>100</v>
      </c>
      <c r="V9" s="900" t="s">
        <v>1254</v>
      </c>
      <c r="W9" s="901">
        <f t="shared" si="2"/>
        <v>100</v>
      </c>
      <c r="X9" s="902"/>
      <c r="Y9" s="2900" t="s">
        <v>1262</v>
      </c>
      <c r="Z9" s="914" t="str">
        <f t="shared" ref="Z9:Z14" si="7">Q9</f>
        <v>用途</v>
      </c>
      <c r="AA9" s="913">
        <f t="shared" si="3"/>
        <v>1</v>
      </c>
      <c r="AB9" s="913">
        <f t="shared" si="4"/>
        <v>1</v>
      </c>
      <c r="AC9" s="913">
        <f t="shared" si="5"/>
        <v>1</v>
      </c>
    </row>
    <row r="10" spans="1:29" s="704" customFormat="1" ht="27">
      <c r="A10" s="1164"/>
      <c r="B10" s="1165" t="s">
        <v>1263</v>
      </c>
      <c r="C10" s="1092"/>
      <c r="D10" s="743">
        <v>100</v>
      </c>
      <c r="E10" s="1092"/>
      <c r="F10" s="743">
        <f>SUMIF(55:55,E10,56:56)-SUMIF(55:55,C10,56:56)+100</f>
        <v>100</v>
      </c>
      <c r="G10" s="1093"/>
      <c r="H10" s="743">
        <f>SUMIF(55:55,G10,56:56)-SUMIF(55:55,C10,56:56)+100</f>
        <v>100</v>
      </c>
      <c r="I10" s="1092"/>
      <c r="J10" s="743">
        <f>SUMIF(55:55,I10,56:56)-SUMIF(55:55,C10,56:56)+100</f>
        <v>100</v>
      </c>
      <c r="K10" s="879"/>
      <c r="L10" s="1207"/>
      <c r="M10" s="1208"/>
      <c r="N10" s="1208"/>
      <c r="O10" s="1209"/>
      <c r="P10" s="3022"/>
      <c r="Q10" s="903" t="str">
        <f t="shared" si="6"/>
        <v>土地使用年限（年）</v>
      </c>
      <c r="R10" s="900" t="s">
        <v>1254</v>
      </c>
      <c r="S10" s="901">
        <f t="shared" si="0"/>
        <v>100</v>
      </c>
      <c r="T10" s="900" t="s">
        <v>1254</v>
      </c>
      <c r="U10" s="901">
        <f t="shared" si="1"/>
        <v>100</v>
      </c>
      <c r="V10" s="900" t="s">
        <v>1254</v>
      </c>
      <c r="W10" s="901">
        <f t="shared" si="2"/>
        <v>100</v>
      </c>
      <c r="X10" s="902"/>
      <c r="Y10" s="2900"/>
      <c r="Z10" s="914" t="str">
        <f t="shared" si="7"/>
        <v>土地使用年限（年）</v>
      </c>
      <c r="AA10" s="913">
        <f t="shared" si="3"/>
        <v>1</v>
      </c>
      <c r="AB10" s="913">
        <f t="shared" si="4"/>
        <v>1</v>
      </c>
      <c r="AC10" s="913">
        <f t="shared" si="5"/>
        <v>1</v>
      </c>
    </row>
    <row r="11" spans="1:29" ht="15">
      <c r="A11" s="1166"/>
      <c r="B11" s="1167">
        <v>111</v>
      </c>
      <c r="C11" s="742"/>
      <c r="D11" s="743">
        <v>100</v>
      </c>
      <c r="E11" s="742"/>
      <c r="F11" s="743">
        <f>SUMIF(57:57,E11,58:58)-SUMIF(57:57,C11,58:58)+100</f>
        <v>100</v>
      </c>
      <c r="G11" s="742"/>
      <c r="H11" s="743">
        <f>SUMIF(57:57,G11,58:58)-SUMIF(57:57,C11,58:58)+100</f>
        <v>100</v>
      </c>
      <c r="I11" s="742"/>
      <c r="J11" s="743">
        <f>SUMIF(57:57,I11,58:58)-SUMIF(57:57,C11,58:58)+100</f>
        <v>100</v>
      </c>
      <c r="K11" s="878"/>
      <c r="L11" s="1210"/>
      <c r="M11" s="1097"/>
      <c r="N11" s="1097"/>
      <c r="O11" s="899"/>
      <c r="P11" s="3022"/>
      <c r="Q11" s="903">
        <f t="shared" si="6"/>
        <v>111</v>
      </c>
      <c r="R11" s="900" t="s">
        <v>1254</v>
      </c>
      <c r="S11" s="901">
        <f t="shared" si="0"/>
        <v>100</v>
      </c>
      <c r="T11" s="900" t="s">
        <v>1254</v>
      </c>
      <c r="U11" s="901">
        <f t="shared" si="1"/>
        <v>100</v>
      </c>
      <c r="V11" s="900" t="s">
        <v>1254</v>
      </c>
      <c r="W11" s="901">
        <f t="shared" si="2"/>
        <v>100</v>
      </c>
      <c r="X11" s="902"/>
      <c r="Y11" s="2900"/>
      <c r="Z11" s="914">
        <f t="shared" si="7"/>
        <v>111</v>
      </c>
      <c r="AA11" s="913">
        <f t="shared" si="3"/>
        <v>1</v>
      </c>
      <c r="AB11" s="913">
        <f t="shared" si="4"/>
        <v>1</v>
      </c>
      <c r="AC11" s="913">
        <f t="shared" si="5"/>
        <v>1</v>
      </c>
    </row>
    <row r="12" spans="1:29" s="703" customFormat="1" ht="15">
      <c r="A12" s="1168"/>
      <c r="B12" s="1167">
        <v>111</v>
      </c>
      <c r="C12" s="742"/>
      <c r="D12" s="749">
        <v>100</v>
      </c>
      <c r="E12" s="742"/>
      <c r="F12" s="743">
        <f>SUMIF(59:59,E12,60:60)-SUMIF(59:59,C12,60:60)+100</f>
        <v>100</v>
      </c>
      <c r="G12" s="742"/>
      <c r="H12" s="743">
        <f>SUMIF(59:59,G12,60:60)-SUMIF(59:59,C12,60:60)+100</f>
        <v>100</v>
      </c>
      <c r="I12" s="742"/>
      <c r="J12" s="743">
        <f>SUMIF(59:59,I12,60:60)-SUMIF(59:59,C12,60:60)+100</f>
        <v>100</v>
      </c>
      <c r="K12" s="878"/>
      <c r="L12" s="1204"/>
      <c r="M12" s="1205"/>
      <c r="N12" s="1205"/>
      <c r="O12" s="1206"/>
      <c r="P12" s="3022"/>
      <c r="Q12" s="903">
        <f t="shared" si="6"/>
        <v>111</v>
      </c>
      <c r="R12" s="900" t="s">
        <v>1254</v>
      </c>
      <c r="S12" s="901">
        <f t="shared" si="0"/>
        <v>100</v>
      </c>
      <c r="T12" s="900" t="s">
        <v>1254</v>
      </c>
      <c r="U12" s="901">
        <f t="shared" si="1"/>
        <v>100</v>
      </c>
      <c r="V12" s="900" t="s">
        <v>1254</v>
      </c>
      <c r="W12" s="901">
        <f t="shared" si="2"/>
        <v>100</v>
      </c>
      <c r="X12" s="902"/>
      <c r="Y12" s="2900"/>
      <c r="Z12" s="914">
        <f t="shared" si="7"/>
        <v>111</v>
      </c>
      <c r="AA12" s="913">
        <f t="shared" si="3"/>
        <v>1</v>
      </c>
      <c r="AB12" s="913">
        <f t="shared" si="4"/>
        <v>1</v>
      </c>
      <c r="AC12" s="913">
        <f t="shared" si="5"/>
        <v>1</v>
      </c>
    </row>
    <row r="13" spans="1:29" ht="15">
      <c r="A13" s="1169"/>
      <c r="B13" s="1167">
        <v>111</v>
      </c>
      <c r="C13" s="752"/>
      <c r="D13" s="753">
        <v>100</v>
      </c>
      <c r="E13" s="742"/>
      <c r="F13" s="743">
        <f>SUMIF(61:61,E13,62:62)-SUMIF(61:61,C13,62:62)+100</f>
        <v>100</v>
      </c>
      <c r="G13" s="742"/>
      <c r="H13" s="753">
        <f>SUMIF(61:61,G13,62:62)-SUMIF(61:61,C13,62:62)+100</f>
        <v>100</v>
      </c>
      <c r="I13" s="742"/>
      <c r="J13" s="753">
        <f>SUMIF(61:61,I13,62:62)-SUMIF(61:61,C13,62:62)+100</f>
        <v>100</v>
      </c>
      <c r="K13" s="878"/>
      <c r="L13" s="1211"/>
      <c r="M13" s="1097"/>
      <c r="N13" s="1097"/>
      <c r="O13" s="899"/>
      <c r="P13" s="3022"/>
      <c r="Q13" s="903">
        <f t="shared" si="6"/>
        <v>111</v>
      </c>
      <c r="R13" s="900" t="s">
        <v>1254</v>
      </c>
      <c r="S13" s="901">
        <f t="shared" si="0"/>
        <v>100</v>
      </c>
      <c r="T13" s="900" t="s">
        <v>1254</v>
      </c>
      <c r="U13" s="901">
        <f t="shared" si="1"/>
        <v>100</v>
      </c>
      <c r="V13" s="900" t="s">
        <v>1254</v>
      </c>
      <c r="W13" s="901">
        <f t="shared" si="2"/>
        <v>100</v>
      </c>
      <c r="X13" s="902"/>
      <c r="Y13" s="2900"/>
      <c r="Z13" s="914">
        <f t="shared" si="7"/>
        <v>111</v>
      </c>
      <c r="AA13" s="913">
        <f t="shared" si="3"/>
        <v>1</v>
      </c>
      <c r="AB13" s="913">
        <f t="shared" si="4"/>
        <v>1</v>
      </c>
      <c r="AC13" s="913">
        <f t="shared" si="5"/>
        <v>1</v>
      </c>
    </row>
    <row r="14" spans="1:29" ht="85.5">
      <c r="A14" s="722" t="s">
        <v>1266</v>
      </c>
      <c r="B14" s="759" t="s">
        <v>211</v>
      </c>
      <c r="C14" s="1170" t="str">
        <f>IF(B1="工业",估价对象房地状况!G4,估价对象房地状况!C6)</f>
        <v>估价对象周边道路状况、公共交通通达情况、停车便捷程度，综合评价交通便捷度较好</v>
      </c>
      <c r="D14" s="1171">
        <v>100</v>
      </c>
      <c r="E14" s="762"/>
      <c r="F14" s="761">
        <f>SUMIF(63:63,E15,64:64)-SUMIF(63:63,C15,64:64)+100</f>
        <v>100</v>
      </c>
      <c r="G14" s="762"/>
      <c r="H14" s="761">
        <f>SUMIF(63:63,G15,64:64)-SUMIF(63:63,C15,64:64)+100</f>
        <v>100</v>
      </c>
      <c r="I14" s="762"/>
      <c r="J14" s="761">
        <f>SUMIF(63:63,I15,64:64)-SUMIF(63:63,C15,64:64)+100</f>
        <v>100</v>
      </c>
      <c r="K14" s="1140"/>
      <c r="L14" s="1211"/>
      <c r="M14" s="1097"/>
      <c r="N14" s="1097"/>
      <c r="O14" s="899"/>
      <c r="P14" s="3029" t="s">
        <v>1267</v>
      </c>
      <c r="Q14" s="492" t="str">
        <f t="shared" si="6"/>
        <v>交通便捷度</v>
      </c>
      <c r="R14" s="904" t="s">
        <v>1254</v>
      </c>
      <c r="S14" s="905">
        <f t="shared" si="0"/>
        <v>100</v>
      </c>
      <c r="T14" s="904" t="s">
        <v>1254</v>
      </c>
      <c r="U14" s="905">
        <f t="shared" si="1"/>
        <v>100</v>
      </c>
      <c r="V14" s="904" t="s">
        <v>1254</v>
      </c>
      <c r="W14" s="905">
        <f t="shared" si="2"/>
        <v>100</v>
      </c>
      <c r="X14" s="898"/>
      <c r="Y14" s="3029" t="s">
        <v>1267</v>
      </c>
      <c r="Z14" s="833" t="str">
        <f t="shared" si="7"/>
        <v>交通便捷度</v>
      </c>
      <c r="AA14" s="915">
        <f t="shared" si="3"/>
        <v>1</v>
      </c>
      <c r="AB14" s="915">
        <f t="shared" si="4"/>
        <v>1</v>
      </c>
      <c r="AC14" s="915">
        <f t="shared" si="5"/>
        <v>1</v>
      </c>
    </row>
    <row r="15" spans="1:29" ht="15">
      <c r="A15" s="724"/>
      <c r="B15" s="1172"/>
      <c r="C15" s="1173"/>
      <c r="D15" s="1174"/>
      <c r="E15" s="764"/>
      <c r="F15" s="765"/>
      <c r="G15" s="766"/>
      <c r="H15" s="767"/>
      <c r="I15" s="764"/>
      <c r="J15" s="765"/>
      <c r="K15" s="1141"/>
      <c r="L15" s="1211"/>
      <c r="M15" s="1097"/>
      <c r="N15" s="1097"/>
      <c r="O15" s="899"/>
      <c r="P15" s="3030"/>
      <c r="Q15" s="492"/>
      <c r="R15" s="904"/>
      <c r="S15" s="905"/>
      <c r="T15" s="904"/>
      <c r="U15" s="905"/>
      <c r="V15" s="904"/>
      <c r="W15" s="905"/>
      <c r="X15" s="898"/>
      <c r="Y15" s="3030"/>
      <c r="Z15" s="833"/>
      <c r="AA15" s="915">
        <v>1</v>
      </c>
      <c r="AB15" s="915">
        <v>1</v>
      </c>
      <c r="AC15" s="915">
        <v>1</v>
      </c>
    </row>
    <row r="16" spans="1:29" ht="42.75">
      <c r="A16" s="724"/>
      <c r="B16" s="768" t="s">
        <v>213</v>
      </c>
      <c r="C16" s="1175" t="str">
        <f>IF(B1="工业",估价对象房地状况!G5,估价对象房地状况!C7)</f>
        <v>估价对象所在区域公共配套设施齐备情况</v>
      </c>
      <c r="D16" s="1176">
        <v>100</v>
      </c>
      <c r="E16" s="770"/>
      <c r="F16" s="767">
        <f>SUMIF(65:65,E17,66:66)-SUMIF(65:65,C17,66:66)+100</f>
        <v>100</v>
      </c>
      <c r="G16" s="770"/>
      <c r="H16" s="771">
        <f>SUMIF(65:65,G17,66:66)-SUMIF(65:65,C17,66:66)+100</f>
        <v>100</v>
      </c>
      <c r="I16" s="770"/>
      <c r="J16" s="771">
        <f>SUMIF(65:65,I17,66:66)-SUMIF(65:65,C17,66:66)+100</f>
        <v>100</v>
      </c>
      <c r="K16" s="1140"/>
      <c r="L16" s="1211"/>
      <c r="M16" s="1097"/>
      <c r="N16" s="1097"/>
      <c r="O16" s="899"/>
      <c r="P16" s="3030"/>
      <c r="Q16" s="492" t="str">
        <f>B16</f>
        <v>公共配套设施</v>
      </c>
      <c r="R16" s="904" t="s">
        <v>1254</v>
      </c>
      <c r="S16" s="905">
        <f>F16</f>
        <v>100</v>
      </c>
      <c r="T16" s="904" t="s">
        <v>1254</v>
      </c>
      <c r="U16" s="905">
        <f>H16</f>
        <v>100</v>
      </c>
      <c r="V16" s="904" t="s">
        <v>1254</v>
      </c>
      <c r="W16" s="905">
        <f>J16</f>
        <v>100</v>
      </c>
      <c r="X16" s="898"/>
      <c r="Y16" s="3030"/>
      <c r="Z16" s="833" t="str">
        <f>Q16</f>
        <v>公共配套设施</v>
      </c>
      <c r="AA16" s="915">
        <f t="shared" si="3"/>
        <v>1</v>
      </c>
      <c r="AB16" s="915">
        <f t="shared" si="4"/>
        <v>1</v>
      </c>
      <c r="AC16" s="915">
        <f t="shared" si="5"/>
        <v>1</v>
      </c>
    </row>
    <row r="17" spans="1:29" ht="15">
      <c r="A17" s="724"/>
      <c r="B17" s="772"/>
      <c r="C17" s="1177"/>
      <c r="D17" s="1176"/>
      <c r="E17" s="773"/>
      <c r="F17" s="767"/>
      <c r="G17" s="773"/>
      <c r="H17" s="765"/>
      <c r="I17" s="773"/>
      <c r="J17" s="765"/>
      <c r="K17" s="1141"/>
      <c r="L17" s="1211"/>
      <c r="M17" s="1097"/>
      <c r="N17" s="1097"/>
      <c r="O17" s="899"/>
      <c r="P17" s="3030"/>
      <c r="Q17" s="492"/>
      <c r="R17" s="904"/>
      <c r="S17" s="905"/>
      <c r="T17" s="904"/>
      <c r="U17" s="905"/>
      <c r="V17" s="904"/>
      <c r="W17" s="905"/>
      <c r="X17" s="898"/>
      <c r="Y17" s="3030"/>
      <c r="Z17" s="833"/>
      <c r="AA17" s="915">
        <v>1</v>
      </c>
      <c r="AB17" s="915">
        <v>1</v>
      </c>
      <c r="AC17" s="915">
        <v>1</v>
      </c>
    </row>
    <row r="18" spans="1:29" ht="28.5">
      <c r="A18" s="724"/>
      <c r="B18" s="776" t="s">
        <v>214</v>
      </c>
      <c r="C18" s="1175" t="str">
        <f>IF(B1="工业",估价对象房地状况!G6,估价对象房地状况!C8)</f>
        <v>估价对象所在区域基础设施水平</v>
      </c>
      <c r="D18" s="1176">
        <v>100</v>
      </c>
      <c r="E18" s="770"/>
      <c r="F18" s="767">
        <f>SUMIF(67:67,E19,68:68)-SUMIF(67:67,C19,68:68)+100</f>
        <v>100</v>
      </c>
      <c r="G18" s="770"/>
      <c r="H18" s="771">
        <f>SUMIF(67:67,G19,68:68)-SUMIF(67:67,C19,68:68)+100</f>
        <v>100</v>
      </c>
      <c r="I18" s="770"/>
      <c r="J18" s="771">
        <f>SUMIF(67:67,I19,68:68)-SUMIF(67:67,C19,68:68)+100</f>
        <v>100</v>
      </c>
      <c r="K18" s="1140"/>
      <c r="L18" s="1211"/>
      <c r="M18" s="1097"/>
      <c r="N18" s="1097"/>
      <c r="O18" s="899"/>
      <c r="P18" s="3030"/>
      <c r="Q18" s="492" t="str">
        <f>B18</f>
        <v>基础设施水平</v>
      </c>
      <c r="R18" s="904" t="s">
        <v>1254</v>
      </c>
      <c r="S18" s="905">
        <f>F18</f>
        <v>100</v>
      </c>
      <c r="T18" s="904" t="s">
        <v>1254</v>
      </c>
      <c r="U18" s="905">
        <f>H18</f>
        <v>100</v>
      </c>
      <c r="V18" s="904" t="s">
        <v>1254</v>
      </c>
      <c r="W18" s="905">
        <f>J18</f>
        <v>100</v>
      </c>
      <c r="X18" s="898"/>
      <c r="Y18" s="3030"/>
      <c r="Z18" s="833" t="str">
        <f>Q18</f>
        <v>基础设施水平</v>
      </c>
      <c r="AA18" s="915">
        <f t="shared" ref="AA18" si="8">D18/F18</f>
        <v>1</v>
      </c>
      <c r="AB18" s="915">
        <f t="shared" ref="AB18" si="9">D18/H18</f>
        <v>1</v>
      </c>
      <c r="AC18" s="915">
        <f t="shared" ref="AC18" si="10">D18/J18</f>
        <v>1</v>
      </c>
    </row>
    <row r="19" spans="1:29" ht="15">
      <c r="A19" s="724"/>
      <c r="B19" s="776"/>
      <c r="C19" s="1178"/>
      <c r="D19" s="1176"/>
      <c r="E19" s="1044"/>
      <c r="F19" s="767"/>
      <c r="G19" s="1044"/>
      <c r="H19" s="765"/>
      <c r="I19" s="773"/>
      <c r="J19" s="765"/>
      <c r="K19" s="1142"/>
      <c r="L19" s="1211"/>
      <c r="M19" s="1097"/>
      <c r="N19" s="1097"/>
      <c r="O19" s="899"/>
      <c r="P19" s="3030"/>
      <c r="Q19" s="492"/>
      <c r="R19" s="904"/>
      <c r="S19" s="905"/>
      <c r="T19" s="904"/>
      <c r="U19" s="905"/>
      <c r="V19" s="904"/>
      <c r="W19" s="905"/>
      <c r="X19" s="898"/>
      <c r="Y19" s="3030"/>
      <c r="Z19" s="833"/>
      <c r="AA19" s="915">
        <v>1</v>
      </c>
      <c r="AB19" s="915">
        <v>1</v>
      </c>
      <c r="AC19" s="915">
        <v>1</v>
      </c>
    </row>
    <row r="20" spans="1:29" ht="57">
      <c r="A20" s="724"/>
      <c r="B20" s="768" t="s">
        <v>570</v>
      </c>
      <c r="C20" s="1175" t="str">
        <f>IF(B1="工业",估价对象房地状况!G7,估价对象房地状况!C9)</f>
        <v>区域自然环境：；人文环境；综合评价环境状况一般</v>
      </c>
      <c r="D20" s="1179">
        <v>100</v>
      </c>
      <c r="E20" s="1045"/>
      <c r="F20" s="771">
        <f>SUMIF(69:69,E21,70:70)-SUMIF(69:69,C21,70:70)+100</f>
        <v>100</v>
      </c>
      <c r="G20" s="1045"/>
      <c r="H20" s="767">
        <f>SUMIF(69:69,G21,70:70)-SUMIF(69:69,C21,70:70)+100</f>
        <v>100</v>
      </c>
      <c r="I20" s="770"/>
      <c r="J20" s="767">
        <f>SUMIF(69:69,I21,70:70)-SUMIF(69:69,C21,70:70)+100</f>
        <v>100</v>
      </c>
      <c r="K20" s="1140"/>
      <c r="L20" s="1211"/>
      <c r="M20" s="1097"/>
      <c r="N20" s="1097"/>
      <c r="O20" s="899"/>
      <c r="P20" s="3030"/>
      <c r="Q20" s="492" t="str">
        <f>B20</f>
        <v>自然及人文环境</v>
      </c>
      <c r="R20" s="904" t="s">
        <v>1254</v>
      </c>
      <c r="S20" s="905">
        <f>F20</f>
        <v>100</v>
      </c>
      <c r="T20" s="904" t="s">
        <v>1254</v>
      </c>
      <c r="U20" s="905">
        <f>H20</f>
        <v>100</v>
      </c>
      <c r="V20" s="904" t="s">
        <v>1254</v>
      </c>
      <c r="W20" s="905">
        <f>J20</f>
        <v>100</v>
      </c>
      <c r="X20" s="898"/>
      <c r="Y20" s="3030"/>
      <c r="Z20" s="833" t="str">
        <f>Q20</f>
        <v>自然及人文环境</v>
      </c>
      <c r="AA20" s="915">
        <f t="shared" si="3"/>
        <v>1</v>
      </c>
      <c r="AB20" s="915">
        <f t="shared" si="4"/>
        <v>1</v>
      </c>
      <c r="AC20" s="915">
        <f t="shared" si="5"/>
        <v>1</v>
      </c>
    </row>
    <row r="21" spans="1:29" ht="15">
      <c r="A21" s="724"/>
      <c r="B21" s="772"/>
      <c r="C21" s="1173"/>
      <c r="D21" s="1174"/>
      <c r="E21" s="764"/>
      <c r="F21" s="765"/>
      <c r="G21" s="766"/>
      <c r="H21" s="765"/>
      <c r="I21" s="764"/>
      <c r="J21" s="765"/>
      <c r="K21" s="1141"/>
      <c r="L21" s="1211"/>
      <c r="M21" s="1097"/>
      <c r="N21" s="1097"/>
      <c r="O21" s="899"/>
      <c r="P21" s="3030"/>
      <c r="Q21" s="492"/>
      <c r="R21" s="904"/>
      <c r="S21" s="905"/>
      <c r="T21" s="904"/>
      <c r="U21" s="905"/>
      <c r="V21" s="904"/>
      <c r="W21" s="905"/>
      <c r="X21" s="898"/>
      <c r="Y21" s="3030"/>
      <c r="Z21" s="833"/>
      <c r="AA21" s="915">
        <v>1</v>
      </c>
      <c r="AB21" s="915">
        <v>1</v>
      </c>
      <c r="AC21" s="915">
        <v>1</v>
      </c>
    </row>
    <row r="22" spans="1:29" ht="15">
      <c r="A22" s="724"/>
      <c r="B22" s="768" t="s">
        <v>1272</v>
      </c>
      <c r="C22" s="779"/>
      <c r="D22" s="1176">
        <v>100</v>
      </c>
      <c r="E22" s="778"/>
      <c r="F22" s="753">
        <f>SUMIF(71:71,E22,72:72)-SUMIF(71:71,C22,72:72)+100</f>
        <v>100</v>
      </c>
      <c r="G22" s="779"/>
      <c r="H22" s="753">
        <f>SUMIF(71:71,G22,72:72)-SUMIF(71:71,C22,72:72)+100</f>
        <v>100</v>
      </c>
      <c r="I22" s="778"/>
      <c r="J22" s="753">
        <f>SUMIF(71:71,I22,72:72)-SUMIF(71:71,C22,72:72)+100</f>
        <v>100</v>
      </c>
      <c r="K22" s="879"/>
      <c r="L22" s="1211"/>
      <c r="M22" s="1097"/>
      <c r="N22" s="1097"/>
      <c r="O22" s="899"/>
      <c r="P22" s="3030"/>
      <c r="Q22" s="492" t="str">
        <f>B22</f>
        <v>楼层</v>
      </c>
      <c r="R22" s="904" t="s">
        <v>1254</v>
      </c>
      <c r="S22" s="905">
        <f>F22</f>
        <v>100</v>
      </c>
      <c r="T22" s="904" t="s">
        <v>1254</v>
      </c>
      <c r="U22" s="905">
        <f>H22</f>
        <v>100</v>
      </c>
      <c r="V22" s="904" t="s">
        <v>1254</v>
      </c>
      <c r="W22" s="905">
        <f>J22</f>
        <v>100</v>
      </c>
      <c r="X22" s="898"/>
      <c r="Y22" s="3030"/>
      <c r="Z22" s="833" t="str">
        <f>Q22</f>
        <v>楼层</v>
      </c>
      <c r="AA22" s="915">
        <f t="shared" si="3"/>
        <v>1</v>
      </c>
      <c r="AB22" s="915">
        <f t="shared" si="4"/>
        <v>1</v>
      </c>
      <c r="AC22" s="915">
        <f t="shared" si="5"/>
        <v>1</v>
      </c>
    </row>
    <row r="23" spans="1:29" ht="15">
      <c r="A23" s="724"/>
      <c r="B23" s="1180">
        <v>111</v>
      </c>
      <c r="C23" s="1181"/>
      <c r="D23" s="1182">
        <v>100</v>
      </c>
      <c r="E23" s="742"/>
      <c r="F23" s="753">
        <f>SUMIF(73:73,E23,74:74)-SUMIF(73:73,C23,74:74)+100</f>
        <v>100</v>
      </c>
      <c r="G23" s="1183"/>
      <c r="H23" s="753">
        <f>SUMIF(73:73,G23,74:74)-SUMIF(73:73,C23,74:74)+100</f>
        <v>100</v>
      </c>
      <c r="I23" s="742"/>
      <c r="J23" s="753">
        <f>SUMIF(73:73,I23,74:74)-SUMIF(73:73,C23,74:74)+100</f>
        <v>100</v>
      </c>
      <c r="K23" s="878"/>
      <c r="L23" s="1211"/>
      <c r="M23" s="1097"/>
      <c r="N23" s="1097"/>
      <c r="O23" s="899"/>
      <c r="P23" s="3030"/>
      <c r="Q23" s="492">
        <f>B23</f>
        <v>111</v>
      </c>
      <c r="R23" s="904" t="s">
        <v>1254</v>
      </c>
      <c r="S23" s="905">
        <f>F23</f>
        <v>100</v>
      </c>
      <c r="T23" s="904" t="s">
        <v>1254</v>
      </c>
      <c r="U23" s="905">
        <f>H23</f>
        <v>100</v>
      </c>
      <c r="V23" s="904" t="s">
        <v>1254</v>
      </c>
      <c r="W23" s="905">
        <f>J23</f>
        <v>100</v>
      </c>
      <c r="X23" s="898"/>
      <c r="Y23" s="3030"/>
      <c r="Z23" s="833">
        <f>Q23</f>
        <v>111</v>
      </c>
      <c r="AA23" s="915">
        <f t="shared" si="3"/>
        <v>1</v>
      </c>
      <c r="AB23" s="915">
        <f t="shared" si="4"/>
        <v>1</v>
      </c>
      <c r="AC23" s="915">
        <f t="shared" si="5"/>
        <v>1</v>
      </c>
    </row>
    <row r="24" spans="1:29" ht="15">
      <c r="A24" s="724"/>
      <c r="B24" s="1180">
        <v>111</v>
      </c>
      <c r="C24" s="1181"/>
      <c r="D24" s="1182">
        <v>100</v>
      </c>
      <c r="E24" s="742"/>
      <c r="F24" s="753">
        <f>SUMIF(75:75,E24,76:76)-SUMIF(75:75,C24,76:76)+100</f>
        <v>100</v>
      </c>
      <c r="G24" s="1183"/>
      <c r="H24" s="753">
        <f>SUMIF(75:75,G24,76:76)-SUMIF(75:75,C24,76:76)+100</f>
        <v>100</v>
      </c>
      <c r="I24" s="742"/>
      <c r="J24" s="753">
        <f>SUMIF(75:75,I24,76:76)-SUMIF(75:75,C24,76:76)+100</f>
        <v>100</v>
      </c>
      <c r="K24" s="878"/>
      <c r="L24" s="1211"/>
      <c r="M24" s="1097"/>
      <c r="N24" s="1097"/>
      <c r="O24" s="899"/>
      <c r="P24" s="3030"/>
      <c r="Q24" s="492">
        <f t="shared" ref="Q24:Q36" si="11">B24</f>
        <v>111</v>
      </c>
      <c r="R24" s="904" t="s">
        <v>1254</v>
      </c>
      <c r="S24" s="905">
        <f>F24</f>
        <v>100</v>
      </c>
      <c r="T24" s="904" t="s">
        <v>1254</v>
      </c>
      <c r="U24" s="905">
        <f>H24</f>
        <v>100</v>
      </c>
      <c r="V24" s="904" t="s">
        <v>1254</v>
      </c>
      <c r="W24" s="905">
        <f>J24</f>
        <v>100</v>
      </c>
      <c r="X24" s="898"/>
      <c r="Y24" s="3030"/>
      <c r="Z24" s="833">
        <f>Q24</f>
        <v>111</v>
      </c>
      <c r="AA24" s="915">
        <f t="shared" si="3"/>
        <v>1</v>
      </c>
      <c r="AB24" s="915">
        <f t="shared" si="4"/>
        <v>1</v>
      </c>
      <c r="AC24" s="915">
        <f t="shared" si="5"/>
        <v>1</v>
      </c>
    </row>
    <row r="25" spans="1:29" s="703" customFormat="1" ht="15">
      <c r="A25" s="1184"/>
      <c r="B25" s="1185">
        <v>111</v>
      </c>
      <c r="C25" s="1186"/>
      <c r="D25" s="1187">
        <v>100</v>
      </c>
      <c r="E25" s="1188"/>
      <c r="F25" s="1189">
        <f>SUMIF(77:77,E25,78:78)-SUMIF(77:77,C25,78:78)+100</f>
        <v>100</v>
      </c>
      <c r="G25" s="926"/>
      <c r="H25" s="1189">
        <f>SUMIF(77:77,G25,78:78)-SUMIF(77:77,C25,78:78)+100</f>
        <v>100</v>
      </c>
      <c r="I25" s="1188"/>
      <c r="J25" s="1189">
        <f>SUMIF(77:77,I25,78:78)-SUMIF(77:77,C25,78:78)+100</f>
        <v>100</v>
      </c>
      <c r="K25" s="878"/>
      <c r="L25" s="1204"/>
      <c r="M25" s="1205"/>
      <c r="N25" s="1205"/>
      <c r="O25" s="1206"/>
      <c r="P25" s="3030"/>
      <c r="Q25" s="903">
        <f t="shared" si="11"/>
        <v>111</v>
      </c>
      <c r="R25" s="900" t="s">
        <v>1254</v>
      </c>
      <c r="S25" s="901">
        <f>F25</f>
        <v>100</v>
      </c>
      <c r="T25" s="900" t="s">
        <v>1254</v>
      </c>
      <c r="U25" s="901">
        <f>H25</f>
        <v>100</v>
      </c>
      <c r="V25" s="900" t="s">
        <v>1254</v>
      </c>
      <c r="W25" s="901">
        <f>J25</f>
        <v>100</v>
      </c>
      <c r="X25" s="902"/>
      <c r="Y25" s="3030"/>
      <c r="Z25" s="914">
        <f>Q25</f>
        <v>111</v>
      </c>
      <c r="AA25" s="915">
        <f t="shared" si="3"/>
        <v>1</v>
      </c>
      <c r="AB25" s="915">
        <f t="shared" si="4"/>
        <v>1</v>
      </c>
      <c r="AC25" s="915">
        <f t="shared" si="5"/>
        <v>1</v>
      </c>
    </row>
    <row r="26" spans="1:29" ht="28.5">
      <c r="A26" s="1190" t="s">
        <v>1276</v>
      </c>
      <c r="B26" s="1191" t="s">
        <v>1418</v>
      </c>
      <c r="C26" s="1192"/>
      <c r="D26" s="765">
        <v>100</v>
      </c>
      <c r="E26" s="764"/>
      <c r="F26" s="1098">
        <f>SUMIF(79:79,E26,80:80)-SUMIF(79:79,C26,80:80)+100</f>
        <v>100</v>
      </c>
      <c r="G26" s="764"/>
      <c r="H26" s="765">
        <f>SUMIF(79:79,G26,80:80)-SUMIF(79:79,C26,80:80)+100</f>
        <v>100</v>
      </c>
      <c r="I26" s="764"/>
      <c r="J26" s="765">
        <f>SUMIF(79:79,I26,80:80)-SUMIF(79:79,C26,80:80)+100</f>
        <v>100</v>
      </c>
      <c r="K26" s="879"/>
      <c r="L26" s="1211"/>
      <c r="M26" s="1097"/>
      <c r="N26" s="1097"/>
      <c r="O26" s="899"/>
      <c r="P26" s="3068" t="s">
        <v>1279</v>
      </c>
      <c r="Q26" s="492" t="str">
        <f t="shared" si="11"/>
        <v>配套类型</v>
      </c>
      <c r="R26" s="904" t="s">
        <v>1254</v>
      </c>
      <c r="S26" s="905">
        <f t="shared" ref="S26:S36" si="12">F26</f>
        <v>100</v>
      </c>
      <c r="T26" s="904" t="s">
        <v>1254</v>
      </c>
      <c r="U26" s="905">
        <f t="shared" ref="U26:U36" si="13">H26</f>
        <v>100</v>
      </c>
      <c r="V26" s="904" t="s">
        <v>1254</v>
      </c>
      <c r="W26" s="905">
        <f t="shared" ref="W26:W36" si="14">J26</f>
        <v>100</v>
      </c>
      <c r="X26" s="898"/>
      <c r="Y26" s="3031" t="s">
        <v>1279</v>
      </c>
      <c r="Z26" s="833" t="str">
        <f t="shared" ref="Z26:Z36" si="15">Q26</f>
        <v>配套类型</v>
      </c>
      <c r="AA26" s="915">
        <f t="shared" si="3"/>
        <v>1</v>
      </c>
      <c r="AB26" s="915">
        <f t="shared" si="4"/>
        <v>1</v>
      </c>
      <c r="AC26" s="915">
        <f t="shared" si="5"/>
        <v>1</v>
      </c>
    </row>
    <row r="27" spans="1:29" s="705" customFormat="1" ht="15">
      <c r="A27" s="1193"/>
      <c r="B27" s="781" t="s">
        <v>1419</v>
      </c>
      <c r="C27" s="1194"/>
      <c r="D27" s="743">
        <v>100</v>
      </c>
      <c r="E27" s="1194"/>
      <c r="F27" s="1103">
        <f>SUMIF(81:81,E27,82:82)-SUMIF(81:81,C27,82:82)+100</f>
        <v>100</v>
      </c>
      <c r="G27" s="1194"/>
      <c r="H27" s="753">
        <f>SUMIF(81:81,G27,82:82)-SUMIF(81:81,C27,82:82)+100</f>
        <v>100</v>
      </c>
      <c r="I27" s="1194"/>
      <c r="J27" s="753">
        <f>SUMIF(81:81,I27,82:82)-SUMIF(81:81,C27,82:82)+100</f>
        <v>100</v>
      </c>
      <c r="K27" s="878"/>
      <c r="L27" s="1210"/>
      <c r="M27" s="1212"/>
      <c r="N27" s="1212"/>
      <c r="O27" s="1213"/>
      <c r="P27" s="3031"/>
      <c r="Q27" s="1147" t="str">
        <f t="shared" si="11"/>
        <v>项目停车位配比</v>
      </c>
      <c r="R27" s="906" t="s">
        <v>1254</v>
      </c>
      <c r="S27" s="907">
        <f t="shared" si="12"/>
        <v>100</v>
      </c>
      <c r="T27" s="906" t="s">
        <v>1254</v>
      </c>
      <c r="U27" s="907">
        <f t="shared" si="13"/>
        <v>100</v>
      </c>
      <c r="V27" s="906" t="s">
        <v>1254</v>
      </c>
      <c r="W27" s="907">
        <f t="shared" si="14"/>
        <v>100</v>
      </c>
      <c r="X27" s="908"/>
      <c r="Y27" s="3031"/>
      <c r="Z27" s="916" t="str">
        <f t="shared" si="15"/>
        <v>项目停车位配比</v>
      </c>
      <c r="AA27" s="915">
        <f t="shared" si="3"/>
        <v>1</v>
      </c>
      <c r="AB27" s="915">
        <f t="shared" si="4"/>
        <v>1</v>
      </c>
      <c r="AC27" s="915">
        <f t="shared" si="5"/>
        <v>1</v>
      </c>
    </row>
    <row r="28" spans="1:29" ht="15">
      <c r="A28" s="1195"/>
      <c r="B28" s="781" t="s">
        <v>1282</v>
      </c>
      <c r="C28" s="1113"/>
      <c r="D28" s="753">
        <v>100</v>
      </c>
      <c r="E28" s="1113"/>
      <c r="F28" s="1103">
        <f>SUMIF(83:83,E28,84:84)-SUMIF(83:83,C28,84:84)+100</f>
        <v>100</v>
      </c>
      <c r="G28" s="1113"/>
      <c r="H28" s="753">
        <f>SUMIF(83:83,G28,84:84)-SUMIF(83:83,C28,84:84)+100</f>
        <v>100</v>
      </c>
      <c r="I28" s="1113"/>
      <c r="J28" s="753">
        <f>SUMIF(83:83,I28,84:84)-SUMIF(83:83,C28,84:84)+100</f>
        <v>100</v>
      </c>
      <c r="K28" s="879"/>
      <c r="L28" s="1211"/>
      <c r="M28" s="1097"/>
      <c r="N28" s="1097"/>
      <c r="O28" s="899"/>
      <c r="P28" s="3031"/>
      <c r="Q28" s="492" t="str">
        <f t="shared" si="11"/>
        <v>公共部分装修</v>
      </c>
      <c r="R28" s="904" t="s">
        <v>1254</v>
      </c>
      <c r="S28" s="905">
        <f t="shared" si="12"/>
        <v>100</v>
      </c>
      <c r="T28" s="904" t="s">
        <v>1254</v>
      </c>
      <c r="U28" s="905">
        <f t="shared" si="13"/>
        <v>100</v>
      </c>
      <c r="V28" s="904" t="s">
        <v>1254</v>
      </c>
      <c r="W28" s="905">
        <f t="shared" si="14"/>
        <v>100</v>
      </c>
      <c r="X28" s="898"/>
      <c r="Y28" s="3031"/>
      <c r="Z28" s="833" t="str">
        <f t="shared" si="15"/>
        <v>公共部分装修</v>
      </c>
      <c r="AA28" s="915">
        <f t="shared" si="3"/>
        <v>1</v>
      </c>
      <c r="AB28" s="915">
        <f t="shared" si="4"/>
        <v>1</v>
      </c>
      <c r="AC28" s="915">
        <f t="shared" si="5"/>
        <v>1</v>
      </c>
    </row>
    <row r="29" spans="1:29" ht="15">
      <c r="A29" s="1195"/>
      <c r="B29" s="781" t="s">
        <v>1420</v>
      </c>
      <c r="C29" s="1094"/>
      <c r="D29" s="753">
        <v>100</v>
      </c>
      <c r="E29" s="1110"/>
      <c r="F29" s="1103" t="e">
        <f>LOOKUP(E29,86:86,87:87)-LOOKUP(C29,86:86,87:87)+100</f>
        <v>#N/A</v>
      </c>
      <c r="G29" s="1110"/>
      <c r="H29" s="1103" t="e">
        <f>LOOKUP(G29,86:86,87:87)-LOOKUP(C29,86:86,87:87)+100</f>
        <v>#N/A</v>
      </c>
      <c r="I29" s="1110"/>
      <c r="J29" s="753" t="e">
        <f>LOOKUP(I29,86:86,87:87)-LOOKUP(C29,86:86,87:87)+100</f>
        <v>#N/A</v>
      </c>
      <c r="K29" s="879"/>
      <c r="L29" s="1211"/>
      <c r="M29" s="1097"/>
      <c r="N29" s="1097"/>
      <c r="O29" s="899"/>
      <c r="P29" s="3031"/>
      <c r="Q29" s="492" t="str">
        <f t="shared" si="11"/>
        <v>成新率</v>
      </c>
      <c r="R29" s="904" t="s">
        <v>1254</v>
      </c>
      <c r="S29" s="905" t="e">
        <f t="shared" si="12"/>
        <v>#N/A</v>
      </c>
      <c r="T29" s="904" t="s">
        <v>1254</v>
      </c>
      <c r="U29" s="905" t="e">
        <f t="shared" si="13"/>
        <v>#N/A</v>
      </c>
      <c r="V29" s="904" t="s">
        <v>1254</v>
      </c>
      <c r="W29" s="905" t="e">
        <f t="shared" si="14"/>
        <v>#N/A</v>
      </c>
      <c r="X29" s="898"/>
      <c r="Y29" s="3031"/>
      <c r="Z29" s="833" t="str">
        <f t="shared" si="15"/>
        <v>成新率</v>
      </c>
      <c r="AA29" s="915" t="e">
        <f t="shared" si="3"/>
        <v>#N/A</v>
      </c>
      <c r="AB29" s="915" t="e">
        <f t="shared" si="4"/>
        <v>#N/A</v>
      </c>
      <c r="AC29" s="915" t="e">
        <f t="shared" si="5"/>
        <v>#N/A</v>
      </c>
    </row>
    <row r="30" spans="1:29" ht="15">
      <c r="A30" s="1195"/>
      <c r="B30" s="781" t="s">
        <v>1421</v>
      </c>
      <c r="C30" s="1114"/>
      <c r="D30" s="753">
        <v>100</v>
      </c>
      <c r="E30" s="1114"/>
      <c r="F30" s="1103">
        <f>SUMIF(88:88,E30,89:89)-SUMIF(88:88,C30,89:89)+100</f>
        <v>100</v>
      </c>
      <c r="G30" s="1114"/>
      <c r="H30" s="753">
        <f>SUMIF(88:88,G30,89:89)-SUMIF(88:88,C30,89:89)+100</f>
        <v>100</v>
      </c>
      <c r="I30" s="1114"/>
      <c r="J30" s="753">
        <f>SUMIF(88:88,I30,89:89)-SUMIF(88:88,C30,89:89)+100</f>
        <v>100</v>
      </c>
      <c r="K30" s="879"/>
      <c r="L30" s="1211"/>
      <c r="M30" s="1097"/>
      <c r="N30" s="1097"/>
      <c r="O30" s="899"/>
      <c r="P30" s="3031"/>
      <c r="Q30" s="492" t="str">
        <f t="shared" si="11"/>
        <v>物业等级</v>
      </c>
      <c r="R30" s="904" t="s">
        <v>1254</v>
      </c>
      <c r="S30" s="905">
        <f t="shared" si="12"/>
        <v>100</v>
      </c>
      <c r="T30" s="904" t="s">
        <v>1254</v>
      </c>
      <c r="U30" s="905">
        <f t="shared" si="13"/>
        <v>100</v>
      </c>
      <c r="V30" s="904" t="s">
        <v>1254</v>
      </c>
      <c r="W30" s="905">
        <f t="shared" si="14"/>
        <v>100</v>
      </c>
      <c r="X30" s="898"/>
      <c r="Y30" s="3031"/>
      <c r="Z30" s="833" t="str">
        <f t="shared" si="15"/>
        <v>物业等级</v>
      </c>
      <c r="AA30" s="915">
        <f t="shared" si="3"/>
        <v>1</v>
      </c>
      <c r="AB30" s="915">
        <f t="shared" si="4"/>
        <v>1</v>
      </c>
      <c r="AC30" s="915">
        <f t="shared" si="5"/>
        <v>1</v>
      </c>
    </row>
    <row r="31" spans="1:29" s="703" customFormat="1" ht="15">
      <c r="A31" s="1196"/>
      <c r="B31" s="781" t="s">
        <v>1422</v>
      </c>
      <c r="C31" s="1094"/>
      <c r="D31" s="743">
        <v>100</v>
      </c>
      <c r="E31" s="1094"/>
      <c r="F31" s="1103" t="e">
        <f>LOOKUP(E31,91:91,92:92)-LOOKUP(C31,91:91,92:92)+100</f>
        <v>#N/A</v>
      </c>
      <c r="G31" s="1094"/>
      <c r="H31" s="753" t="e">
        <f>LOOKUP(G31,91:91,92:92)-LOOKUP(C31,91:91,92:92)+100</f>
        <v>#N/A</v>
      </c>
      <c r="I31" s="1094"/>
      <c r="J31" s="753" t="e">
        <f>LOOKUP(I31,91:91,92:92)-LOOKUP(C31,91:91,92:92)+100</f>
        <v>#N/A</v>
      </c>
      <c r="K31" s="879"/>
      <c r="L31" s="1204"/>
      <c r="M31" s="1205"/>
      <c r="N31" s="1205"/>
      <c r="O31" s="1206"/>
      <c r="P31" s="3031"/>
      <c r="Q31" s="903" t="str">
        <f t="shared" si="11"/>
        <v>停车位面积</v>
      </c>
      <c r="R31" s="900" t="s">
        <v>1254</v>
      </c>
      <c r="S31" s="901" t="e">
        <f t="shared" si="12"/>
        <v>#N/A</v>
      </c>
      <c r="T31" s="900" t="s">
        <v>1254</v>
      </c>
      <c r="U31" s="901" t="e">
        <f t="shared" si="13"/>
        <v>#N/A</v>
      </c>
      <c r="V31" s="900" t="s">
        <v>1254</v>
      </c>
      <c r="W31" s="901" t="e">
        <f t="shared" si="14"/>
        <v>#N/A</v>
      </c>
      <c r="X31" s="902"/>
      <c r="Y31" s="3031"/>
      <c r="Z31" s="914" t="str">
        <f t="shared" si="15"/>
        <v>停车位面积</v>
      </c>
      <c r="AA31" s="913" t="e">
        <f t="shared" si="3"/>
        <v>#N/A</v>
      </c>
      <c r="AB31" s="913" t="e">
        <f t="shared" si="4"/>
        <v>#N/A</v>
      </c>
      <c r="AC31" s="913" t="e">
        <f t="shared" si="5"/>
        <v>#N/A</v>
      </c>
    </row>
    <row r="32" spans="1:29" ht="15">
      <c r="A32" s="1195"/>
      <c r="B32" s="781" t="s">
        <v>1423</v>
      </c>
      <c r="C32" s="1113"/>
      <c r="D32" s="753">
        <v>100</v>
      </c>
      <c r="E32" s="1113"/>
      <c r="F32" s="1103">
        <f>SUMIF(93:93,E32,94:94)-SUMIF(93:93,C32,94:94)+100</f>
        <v>100</v>
      </c>
      <c r="G32" s="1113"/>
      <c r="H32" s="753">
        <f>SUMIF(93:93,G32,94:94)-SUMIF(93:93,C32,94:94)+100</f>
        <v>100</v>
      </c>
      <c r="I32" s="1113"/>
      <c r="J32" s="753">
        <f>SUMIF(93:93,I32,94:94)-SUMIF(93:93,C32,94:94)+100</f>
        <v>100</v>
      </c>
      <c r="K32" s="879"/>
      <c r="L32" s="1211"/>
      <c r="M32" s="1097"/>
      <c r="N32" s="1097"/>
      <c r="O32" s="899"/>
      <c r="P32" s="3031" t="s">
        <v>1279</v>
      </c>
      <c r="Q32" s="492" t="str">
        <f t="shared" si="11"/>
        <v>车位类型</v>
      </c>
      <c r="R32" s="904" t="s">
        <v>1254</v>
      </c>
      <c r="S32" s="905">
        <f t="shared" si="12"/>
        <v>100</v>
      </c>
      <c r="T32" s="904" t="s">
        <v>1254</v>
      </c>
      <c r="U32" s="905">
        <f t="shared" si="13"/>
        <v>100</v>
      </c>
      <c r="V32" s="904" t="s">
        <v>1254</v>
      </c>
      <c r="W32" s="905">
        <f t="shared" si="14"/>
        <v>100</v>
      </c>
      <c r="X32" s="898"/>
      <c r="Y32" s="3031" t="s">
        <v>1279</v>
      </c>
      <c r="Z32" s="833" t="str">
        <f t="shared" si="15"/>
        <v>车位类型</v>
      </c>
      <c r="AA32" s="915">
        <f t="shared" si="3"/>
        <v>1</v>
      </c>
      <c r="AB32" s="915">
        <f t="shared" si="4"/>
        <v>1</v>
      </c>
      <c r="AC32" s="915">
        <f t="shared" si="5"/>
        <v>1</v>
      </c>
    </row>
    <row r="33" spans="1:29" ht="15">
      <c r="A33" s="1195"/>
      <c r="B33" s="781" t="s">
        <v>1424</v>
      </c>
      <c r="C33" s="1113"/>
      <c r="D33" s="753">
        <v>100</v>
      </c>
      <c r="E33" s="1113"/>
      <c r="F33" s="1103">
        <f>SUMIF(95:95,E33,96:96)-SUMIF(95:95,C33,96:96)+100</f>
        <v>100</v>
      </c>
      <c r="G33" s="1113"/>
      <c r="H33" s="753">
        <f>SUMIF(95:95,G33,96:96)-SUMIF(95:95,C33,96:96)+100</f>
        <v>100</v>
      </c>
      <c r="I33" s="1113"/>
      <c r="J33" s="753">
        <f>SUMIF(95:95,I33,96:96)-SUMIF(95:95,C33,96:96)+100</f>
        <v>100</v>
      </c>
      <c r="K33" s="879"/>
      <c r="L33" s="1211"/>
      <c r="M33" s="1097"/>
      <c r="N33" s="1097"/>
      <c r="O33" s="899"/>
      <c r="P33" s="3031"/>
      <c r="Q33" s="492" t="str">
        <f t="shared" si="11"/>
        <v>是否直接入户</v>
      </c>
      <c r="R33" s="904" t="s">
        <v>1254</v>
      </c>
      <c r="S33" s="905">
        <f t="shared" si="12"/>
        <v>100</v>
      </c>
      <c r="T33" s="904" t="s">
        <v>1254</v>
      </c>
      <c r="U33" s="905">
        <f t="shared" si="13"/>
        <v>100</v>
      </c>
      <c r="V33" s="904" t="s">
        <v>1254</v>
      </c>
      <c r="W33" s="905">
        <f t="shared" si="14"/>
        <v>100</v>
      </c>
      <c r="X33" s="898"/>
      <c r="Y33" s="3031"/>
      <c r="Z33" s="833" t="str">
        <f t="shared" si="15"/>
        <v>是否直接入户</v>
      </c>
      <c r="AA33" s="915">
        <f t="shared" si="3"/>
        <v>1</v>
      </c>
      <c r="AB33" s="915">
        <f t="shared" si="4"/>
        <v>1</v>
      </c>
      <c r="AC33" s="915">
        <f t="shared" si="5"/>
        <v>1</v>
      </c>
    </row>
    <row r="34" spans="1:29" ht="15">
      <c r="A34" s="1195"/>
      <c r="B34" s="1180">
        <v>111</v>
      </c>
      <c r="C34" s="742"/>
      <c r="D34" s="753">
        <v>100</v>
      </c>
      <c r="E34" s="742"/>
      <c r="F34" s="1103">
        <f>SUMIF(97:97,E34,98:98)-SUMIF(97:97,C34,98:98)+100</f>
        <v>100</v>
      </c>
      <c r="G34" s="742"/>
      <c r="H34" s="753">
        <f>SUMIF(97:97,G34,98:98)-SUMIF(97:97,C34,98:98)+100</f>
        <v>100</v>
      </c>
      <c r="I34" s="742"/>
      <c r="J34" s="753">
        <f>SUMIF(97:97,I34,98:98)-SUMIF(97:97,C34,98:98)+100</f>
        <v>100</v>
      </c>
      <c r="K34" s="878"/>
      <c r="L34" s="1211"/>
      <c r="M34" s="1097"/>
      <c r="N34" s="1097"/>
      <c r="O34" s="899"/>
      <c r="P34" s="3031"/>
      <c r="Q34" s="492">
        <f t="shared" si="11"/>
        <v>111</v>
      </c>
      <c r="R34" s="904" t="s">
        <v>1254</v>
      </c>
      <c r="S34" s="905">
        <f t="shared" si="12"/>
        <v>100</v>
      </c>
      <c r="T34" s="904" t="s">
        <v>1254</v>
      </c>
      <c r="U34" s="905">
        <f t="shared" si="13"/>
        <v>100</v>
      </c>
      <c r="V34" s="904" t="s">
        <v>1254</v>
      </c>
      <c r="W34" s="905">
        <f t="shared" si="14"/>
        <v>100</v>
      </c>
      <c r="X34" s="898"/>
      <c r="Y34" s="3031"/>
      <c r="Z34" s="833">
        <f t="shared" si="15"/>
        <v>111</v>
      </c>
      <c r="AA34" s="915">
        <f t="shared" si="3"/>
        <v>1</v>
      </c>
      <c r="AB34" s="915">
        <f t="shared" si="4"/>
        <v>1</v>
      </c>
      <c r="AC34" s="915">
        <f t="shared" si="5"/>
        <v>1</v>
      </c>
    </row>
    <row r="35" spans="1:29" s="705" customFormat="1" ht="15">
      <c r="A35" s="1193"/>
      <c r="B35" s="1180">
        <v>111</v>
      </c>
      <c r="C35" s="742"/>
      <c r="D35" s="753">
        <v>100</v>
      </c>
      <c r="E35" s="742"/>
      <c r="F35" s="1103">
        <f>SUMIF(99:99,E35,100:100)-SUMIF(99:99,C35,100:100)+100</f>
        <v>100</v>
      </c>
      <c r="G35" s="742"/>
      <c r="H35" s="753">
        <f>SUMIF(99:99,G35,100:100)-SUMIF(99:99,C35,100:100)+100</f>
        <v>100</v>
      </c>
      <c r="I35" s="742"/>
      <c r="J35" s="753">
        <f>SUMIF(99:99,I35,100:100)-SUMIF(99:99,C35,100:100)+100</f>
        <v>100</v>
      </c>
      <c r="K35" s="878"/>
      <c r="L35" s="1210"/>
      <c r="M35" s="1212"/>
      <c r="N35" s="1212"/>
      <c r="O35" s="1213"/>
      <c r="P35" s="3031"/>
      <c r="Q35" s="1147">
        <f t="shared" si="11"/>
        <v>111</v>
      </c>
      <c r="R35" s="906" t="s">
        <v>1254</v>
      </c>
      <c r="S35" s="907">
        <f t="shared" si="12"/>
        <v>100</v>
      </c>
      <c r="T35" s="906" t="s">
        <v>1254</v>
      </c>
      <c r="U35" s="907">
        <f t="shared" si="13"/>
        <v>100</v>
      </c>
      <c r="V35" s="906" t="s">
        <v>1254</v>
      </c>
      <c r="W35" s="907">
        <f t="shared" si="14"/>
        <v>100</v>
      </c>
      <c r="X35" s="908"/>
      <c r="Y35" s="3031"/>
      <c r="Z35" s="916">
        <f t="shared" si="15"/>
        <v>111</v>
      </c>
      <c r="AA35" s="915">
        <f t="shared" si="3"/>
        <v>1</v>
      </c>
      <c r="AB35" s="915">
        <f t="shared" si="4"/>
        <v>1</v>
      </c>
      <c r="AC35" s="915">
        <f t="shared" si="5"/>
        <v>1</v>
      </c>
    </row>
    <row r="36" spans="1:29" ht="15">
      <c r="A36" s="1197"/>
      <c r="B36" s="1185">
        <v>111</v>
      </c>
      <c r="C36" s="752"/>
      <c r="D36" s="753">
        <v>100</v>
      </c>
      <c r="E36" s="742"/>
      <c r="F36" s="1103">
        <f>SUMIF(101:101,E36,102:102)-SUMIF(101:101,C36,102:102)+100</f>
        <v>100</v>
      </c>
      <c r="G36" s="742"/>
      <c r="H36" s="753">
        <f>SUMIF(101:101,G36,102:102)-SUMIF(101:101,C36,102:102)+100</f>
        <v>100</v>
      </c>
      <c r="I36" s="742"/>
      <c r="J36" s="753">
        <f>SUMIF(101:101,I36,102:102)-SUMIF(101:101,C36,102:102)+100</f>
        <v>100</v>
      </c>
      <c r="K36" s="878"/>
      <c r="L36" s="1211"/>
      <c r="M36" s="1097"/>
      <c r="N36" s="1097"/>
      <c r="O36" s="899"/>
      <c r="P36" s="3031"/>
      <c r="Q36" s="492">
        <f t="shared" si="11"/>
        <v>111</v>
      </c>
      <c r="R36" s="904" t="s">
        <v>1254</v>
      </c>
      <c r="S36" s="905">
        <f t="shared" si="12"/>
        <v>100</v>
      </c>
      <c r="T36" s="904" t="s">
        <v>1254</v>
      </c>
      <c r="U36" s="905">
        <f t="shared" si="13"/>
        <v>100</v>
      </c>
      <c r="V36" s="904" t="s">
        <v>1254</v>
      </c>
      <c r="W36" s="905">
        <f t="shared" si="14"/>
        <v>100</v>
      </c>
      <c r="X36" s="898"/>
      <c r="Y36" s="3031"/>
      <c r="Z36" s="833">
        <f t="shared" si="15"/>
        <v>111</v>
      </c>
      <c r="AA36" s="915">
        <f t="shared" si="3"/>
        <v>1</v>
      </c>
      <c r="AB36" s="915">
        <f t="shared" si="4"/>
        <v>1</v>
      </c>
      <c r="AC36" s="915">
        <f t="shared" si="5"/>
        <v>1</v>
      </c>
    </row>
    <row r="37" spans="1:29" ht="15">
      <c r="A37" s="802" t="s">
        <v>1425</v>
      </c>
      <c r="B37" s="1198" t="s">
        <v>1426</v>
      </c>
      <c r="C37" s="1119" t="s">
        <v>121</v>
      </c>
      <c r="D37" s="1120"/>
      <c r="E37" s="1121"/>
      <c r="F37" s="1122"/>
      <c r="G37" s="1123"/>
      <c r="H37" s="1124"/>
      <c r="I37" s="1121"/>
      <c r="J37" s="1124"/>
      <c r="K37" s="1214"/>
      <c r="L37" s="1215"/>
      <c r="M37" s="849"/>
      <c r="N37" s="1097"/>
      <c r="O37" s="849"/>
      <c r="P37" s="3022" t="str">
        <f>A37</f>
        <v>成交单价</v>
      </c>
      <c r="Q37" s="3022"/>
      <c r="R37" s="3023">
        <f>E37</f>
        <v>0</v>
      </c>
      <c r="S37" s="3023"/>
      <c r="T37" s="3023">
        <f>G37</f>
        <v>0</v>
      </c>
      <c r="U37" s="3023"/>
      <c r="V37" s="3023">
        <f>I37</f>
        <v>0</v>
      </c>
      <c r="W37" s="3023"/>
      <c r="X37" s="849"/>
      <c r="Y37" s="917"/>
      <c r="Z37" s="849"/>
      <c r="AA37" s="849"/>
      <c r="AB37" s="849"/>
      <c r="AC37" s="849"/>
    </row>
    <row r="38" spans="1:29" ht="15">
      <c r="A38" s="810" t="s">
        <v>1427</v>
      </c>
      <c r="B38" s="1125" t="str">
        <f>B37</f>
        <v>元/平方米</v>
      </c>
      <c r="C38" s="1126" t="e">
        <f>R39</f>
        <v>#DIV/0!</v>
      </c>
      <c r="D38" s="1127"/>
      <c r="E38" s="1128" t="e">
        <f>R38</f>
        <v>#DIV/0!</v>
      </c>
      <c r="F38" s="1128"/>
      <c r="G38" s="1126" t="e">
        <f>T38</f>
        <v>#DIV/0!</v>
      </c>
      <c r="H38" s="1127"/>
      <c r="I38" s="1128" t="e">
        <f>V38</f>
        <v>#DIV/0!</v>
      </c>
      <c r="J38" s="1127"/>
      <c r="K38" s="1216"/>
      <c r="L38" s="1215"/>
      <c r="M38" s="849"/>
      <c r="N38" s="849"/>
      <c r="O38" s="849"/>
      <c r="P38" s="3022" t="str">
        <f>A38</f>
        <v>比较价值</v>
      </c>
      <c r="Q38" s="3022"/>
      <c r="R38" s="3023" t="e">
        <f>IF(E1="售价",ROUND(PRODUCT(R37,AA7:AA36),0),ROUND(PRODUCT(R37,AA7:AA36),1))</f>
        <v>#DIV/0!</v>
      </c>
      <c r="S38" s="3023"/>
      <c r="T38" s="3023" t="e">
        <f>IF(E1="售价",ROUND(PRODUCT(T37,AB7:AB36),0),ROUND(PRODUCT(T37,AB7:AB36),1))</f>
        <v>#DIV/0!</v>
      </c>
      <c r="U38" s="3023"/>
      <c r="V38" s="3023" t="e">
        <f>IF(E1="售价",ROUND(PRODUCT(V37,AC7:AC36),0),ROUND(PRODUCT(V37,AC7:AC36),1))</f>
        <v>#DIV/0!</v>
      </c>
      <c r="W38" s="3023"/>
      <c r="X38" s="849"/>
      <c r="Y38" s="849"/>
      <c r="Z38" s="849"/>
      <c r="AA38" s="849"/>
      <c r="AB38" s="849"/>
      <c r="AC38" s="849"/>
    </row>
    <row r="39" spans="1:29" ht="15">
      <c r="A39" s="816" t="s">
        <v>1296</v>
      </c>
      <c r="B39" s="817"/>
      <c r="C39" s="1129" t="e">
        <f>R39</f>
        <v>#DIV/0!</v>
      </c>
      <c r="D39" s="1129"/>
      <c r="E39" s="1129"/>
      <c r="F39" s="1129"/>
      <c r="G39" s="1129"/>
      <c r="H39" s="1129"/>
      <c r="I39" s="1129"/>
      <c r="J39" s="1129"/>
      <c r="K39" s="1217"/>
      <c r="L39" s="1215"/>
      <c r="M39" s="849"/>
      <c r="N39" s="849"/>
      <c r="O39" s="849"/>
      <c r="P39" s="3064" t="str">
        <f>A39</f>
        <v>估价对象XX用房的比较价值（楼面单价，元/平方米）</v>
      </c>
      <c r="Q39" s="3021"/>
      <c r="R39" s="3034" t="e">
        <f>IF(E1="售价",ROUND(AVERAGE(R38:V38),0),ROUND(AVERAGE(R38:V38),1))</f>
        <v>#DIV/0!</v>
      </c>
      <c r="S39" s="3034"/>
      <c r="T39" s="3034"/>
      <c r="U39" s="3034"/>
      <c r="V39" s="3034"/>
      <c r="W39" s="3034"/>
      <c r="X39" s="849"/>
      <c r="Y39" s="849"/>
      <c r="Z39" s="849"/>
      <c r="AA39" s="849"/>
      <c r="AB39" s="849"/>
      <c r="AC39" s="849"/>
    </row>
    <row r="40" spans="1:29">
      <c r="A40" s="819"/>
      <c r="B40" s="819"/>
      <c r="C40" s="819"/>
      <c r="D40" s="819"/>
      <c r="E40" s="819"/>
      <c r="F40" s="819"/>
      <c r="G40" s="820"/>
      <c r="H40" s="819"/>
      <c r="I40" s="819"/>
      <c r="J40" s="819"/>
      <c r="K40" s="889"/>
      <c r="L40" s="1218"/>
      <c r="M40" s="849"/>
      <c r="N40" s="849"/>
      <c r="O40" s="849"/>
      <c r="P40" s="849"/>
      <c r="Q40" s="849"/>
      <c r="R40" s="849"/>
      <c r="S40" s="849"/>
      <c r="T40" s="849"/>
      <c r="U40" s="849"/>
      <c r="V40" s="849"/>
      <c r="W40" s="849"/>
      <c r="X40" s="849"/>
      <c r="Y40" s="849"/>
      <c r="Z40" s="849"/>
      <c r="AA40" s="849"/>
      <c r="AB40" s="849"/>
      <c r="AC40" s="849"/>
    </row>
    <row r="41" spans="1:29">
      <c r="A41" s="819"/>
      <c r="B41" s="819"/>
      <c r="C41" s="819"/>
      <c r="D41" s="819"/>
      <c r="E41" s="819"/>
      <c r="F41" s="819"/>
      <c r="G41" s="819"/>
      <c r="H41" s="819"/>
      <c r="I41" s="819"/>
      <c r="J41" s="819"/>
      <c r="K41" s="889"/>
      <c r="L41" s="1218"/>
      <c r="M41" s="849"/>
      <c r="N41" s="849"/>
      <c r="O41" s="849"/>
      <c r="P41" s="849"/>
      <c r="Q41" s="849"/>
      <c r="R41" s="849"/>
      <c r="S41" s="849"/>
      <c r="T41" s="849"/>
      <c r="U41" s="849"/>
      <c r="V41" s="849"/>
      <c r="W41" s="849"/>
      <c r="X41" s="849"/>
      <c r="Y41" s="849"/>
      <c r="Z41" s="849"/>
      <c r="AA41" s="849"/>
      <c r="AB41" s="849"/>
      <c r="AC41" s="849"/>
    </row>
    <row r="42" spans="1:29" ht="13.5" customHeight="1">
      <c r="A42" s="819"/>
      <c r="B42" s="819"/>
      <c r="C42" s="821" t="s">
        <v>1297</v>
      </c>
      <c r="D42" s="533"/>
      <c r="E42" s="822" t="e">
        <f>IF(E37&lt;E38,E38/E37-1,E37/E38-1)</f>
        <v>#DIV/0!</v>
      </c>
      <c r="F42" s="823" t="e">
        <f>IF(OR(E42&gt;=0.3,E42&lt;=-0.3),"超过30%","")</f>
        <v>#DIV/0!</v>
      </c>
      <c r="G42" s="822" t="e">
        <f>IF(G37&lt;G38,G38/G37-1,G37/G38-1)</f>
        <v>#DIV/0!</v>
      </c>
      <c r="H42" s="823" t="e">
        <f>IF(OR(G42&gt;=0.3,G42&lt;=-0.3),"超过30%","")</f>
        <v>#DIV/0!</v>
      </c>
      <c r="I42" s="822" t="e">
        <f>IF(I37&lt;I38,I38/I37-1,I37/I38-1)</f>
        <v>#DIV/0!</v>
      </c>
      <c r="J42" s="823" t="e">
        <f>IF(OR(I42&gt;=0.3,I42&lt;=-0.3),"超过30%","")</f>
        <v>#DIV/0!</v>
      </c>
      <c r="K42" s="889"/>
      <c r="L42" s="1218"/>
      <c r="M42" s="849"/>
      <c r="N42" s="849"/>
      <c r="O42" s="849"/>
      <c r="P42" s="849"/>
      <c r="Q42" s="849"/>
      <c r="R42" s="849"/>
      <c r="S42" s="849"/>
      <c r="T42" s="849"/>
      <c r="U42" s="849"/>
      <c r="V42" s="849"/>
      <c r="W42" s="849"/>
      <c r="X42" s="849"/>
      <c r="Y42" s="849"/>
      <c r="Z42" s="849"/>
      <c r="AA42" s="849"/>
      <c r="AB42" s="849"/>
      <c r="AC42" s="849"/>
    </row>
    <row r="43" spans="1:29" ht="13.5" customHeight="1">
      <c r="A43" s="819"/>
      <c r="B43" s="819"/>
      <c r="C43" s="821" t="s">
        <v>1298</v>
      </c>
      <c r="D43" s="532"/>
      <c r="E43" s="822" t="e">
        <f>IF(E38&lt;G38,G38/E38-1,E38/G38-1)</f>
        <v>#DIV/0!</v>
      </c>
      <c r="F43" s="823" t="e">
        <f>IF(OR(E43&gt;=0.2,E43&lt;=-0.2),"超过20%","")</f>
        <v>#DIV/0!</v>
      </c>
      <c r="G43" s="822" t="e">
        <f>IF(G38&lt;I38,I38/G38-1,G38/I38-1)</f>
        <v>#DIV/0!</v>
      </c>
      <c r="H43" s="823" t="e">
        <f>IF(OR(G43&gt;=0.2,G43&lt;=-0.2),"超过20%","")</f>
        <v>#DIV/0!</v>
      </c>
      <c r="I43" s="822" t="e">
        <f>IF(I38&lt;E38,E38/I38-1,I38/E38-1)</f>
        <v>#DIV/0!</v>
      </c>
      <c r="J43" s="823" t="e">
        <f>IF(OR(I43&gt;=0.2,I43&lt;=-0.2),"超过20%","")</f>
        <v>#DIV/0!</v>
      </c>
      <c r="K43" s="889"/>
      <c r="L43" s="1218"/>
      <c r="M43" s="849"/>
      <c r="N43" s="849"/>
      <c r="O43" s="849"/>
      <c r="P43" s="849"/>
      <c r="Q43" s="849"/>
      <c r="R43" s="849"/>
      <c r="S43" s="849"/>
      <c r="T43" s="849"/>
      <c r="U43" s="849"/>
      <c r="V43" s="849"/>
      <c r="W43" s="849"/>
      <c r="X43" s="849"/>
      <c r="Y43" s="849"/>
      <c r="Z43" s="849"/>
      <c r="AA43" s="849"/>
      <c r="AB43" s="849"/>
      <c r="AC43" s="849"/>
    </row>
    <row r="44" spans="1:29" s="706" customFormat="1" ht="13.5" customHeight="1">
      <c r="A44" s="824"/>
      <c r="B44" s="824"/>
      <c r="C44" s="821" t="s">
        <v>1299</v>
      </c>
      <c r="D44" s="532"/>
      <c r="E44" s="822" t="e">
        <f>IF(E37&lt;G37,G37/E37-1,E37/G37-1)</f>
        <v>#DIV/0!</v>
      </c>
      <c r="F44" s="823" t="e">
        <f>IF(OR(E44&gt;=0.3,E44&lt;=-0.3),"超过30%","")</f>
        <v>#DIV/0!</v>
      </c>
      <c r="G44" s="822" t="e">
        <f>IF(G37&lt;I37,I37/G37-1,G37/I37-1)</f>
        <v>#DIV/0!</v>
      </c>
      <c r="H44" s="823" t="e">
        <f>IF(OR(G44&gt;=0.3,G44&lt;=-0.3),"超过30%","")</f>
        <v>#DIV/0!</v>
      </c>
      <c r="I44" s="822" t="e">
        <f>IF(I37&lt;E37,E37/I37-1,I37/E37-1)</f>
        <v>#DIV/0!</v>
      </c>
      <c r="J44" s="823" t="e">
        <f>IF(OR(I44&gt;=0.3,I44&lt;=-0.3),"超过30%","")</f>
        <v>#DIV/0!</v>
      </c>
      <c r="K44" s="891"/>
      <c r="L44" s="1219"/>
      <c r="M44" s="1058"/>
      <c r="N44" s="1058"/>
      <c r="O44" s="1058"/>
      <c r="P44" s="1058"/>
      <c r="Q44" s="1058"/>
      <c r="R44" s="1058"/>
      <c r="S44" s="1058"/>
      <c r="T44" s="1058"/>
      <c r="U44" s="1058"/>
      <c r="V44" s="1058"/>
      <c r="W44" s="1058"/>
      <c r="X44" s="1058"/>
      <c r="Y44" s="1058"/>
      <c r="Z44" s="1058"/>
      <c r="AA44" s="1058"/>
      <c r="AB44" s="1058"/>
      <c r="AC44" s="1058"/>
    </row>
    <row r="45" spans="1:29" s="706" customFormat="1">
      <c r="A45" s="824"/>
      <c r="B45" s="825"/>
      <c r="C45" s="826"/>
      <c r="D45" s="824"/>
      <c r="E45" s="824"/>
      <c r="F45" s="824"/>
      <c r="G45" s="824"/>
      <c r="H45" s="824"/>
      <c r="I45" s="824"/>
      <c r="J45" s="824"/>
      <c r="K45" s="891"/>
      <c r="L45" s="1219"/>
      <c r="M45" s="1058"/>
      <c r="N45" s="1058"/>
      <c r="O45" s="1058"/>
      <c r="P45" s="1058"/>
      <c r="Q45" s="1058"/>
      <c r="R45" s="1058"/>
      <c r="S45" s="1058"/>
      <c r="T45" s="1058"/>
      <c r="U45" s="1058"/>
      <c r="V45" s="1058"/>
      <c r="W45" s="1058"/>
      <c r="X45" s="1058"/>
      <c r="Y45" s="1058"/>
      <c r="Z45" s="1058"/>
      <c r="AA45" s="1058"/>
      <c r="AB45" s="1058"/>
      <c r="AC45" s="1058"/>
    </row>
    <row r="46" spans="1:29">
      <c r="A46" s="819"/>
      <c r="B46" s="825"/>
      <c r="C46" s="826"/>
      <c r="D46" s="819"/>
      <c r="E46" s="819"/>
      <c r="F46" s="819"/>
      <c r="G46" s="819"/>
      <c r="H46" s="819"/>
      <c r="I46" s="819"/>
      <c r="J46" s="819"/>
      <c r="K46" s="889"/>
      <c r="L46" s="1218"/>
      <c r="M46" s="849"/>
      <c r="N46" s="849"/>
      <c r="O46" s="849"/>
      <c r="P46" s="849"/>
      <c r="Q46" s="849"/>
      <c r="R46" s="849"/>
      <c r="S46" s="849"/>
      <c r="T46" s="849"/>
      <c r="U46" s="849"/>
      <c r="V46" s="849"/>
      <c r="W46" s="849"/>
      <c r="X46" s="849"/>
      <c r="Y46" s="849"/>
      <c r="Z46" s="849"/>
      <c r="AA46" s="849"/>
      <c r="AB46" s="849"/>
      <c r="AC46" s="849"/>
    </row>
    <row r="47" spans="1:29" ht="21">
      <c r="A47" s="1199" t="s">
        <v>1300</v>
      </c>
      <c r="B47" s="819"/>
      <c r="C47" s="894"/>
      <c r="D47" s="894"/>
      <c r="E47" s="894"/>
      <c r="F47" s="1200"/>
      <c r="G47" s="1200"/>
      <c r="H47" s="894"/>
      <c r="I47" s="894"/>
      <c r="J47" s="894"/>
      <c r="K47" s="895"/>
      <c r="L47" s="1144"/>
      <c r="M47" s="850"/>
      <c r="N47" s="850"/>
      <c r="O47" s="850"/>
      <c r="P47" s="850"/>
      <c r="Q47" s="1224"/>
      <c r="R47" s="849"/>
      <c r="S47" s="849"/>
      <c r="T47" s="849"/>
      <c r="U47" s="849"/>
      <c r="V47" s="849"/>
      <c r="W47" s="849"/>
      <c r="X47" s="849"/>
      <c r="Y47" s="849"/>
      <c r="Z47" s="849"/>
      <c r="AA47" s="849"/>
      <c r="AB47" s="849"/>
      <c r="AC47" s="849"/>
    </row>
    <row r="48" spans="1:29" s="708" customFormat="1" ht="15">
      <c r="A48" s="1130" t="s">
        <v>1252</v>
      </c>
      <c r="B48" s="1131"/>
      <c r="C48" s="1132" t="str">
        <f>YEAR(C7)&amp;"-"&amp;MONTH(C7)</f>
        <v>2019-6</v>
      </c>
      <c r="D48" s="1133">
        <f>EDATE(C48,-1)</f>
        <v>43586</v>
      </c>
      <c r="E48" s="1133">
        <f t="shared" ref="E48:O48" si="16">EDATE(D48,-1)</f>
        <v>43556</v>
      </c>
      <c r="F48" s="1133">
        <f t="shared" si="16"/>
        <v>43525</v>
      </c>
      <c r="G48" s="1133">
        <f t="shared" si="16"/>
        <v>43497</v>
      </c>
      <c r="H48" s="1133">
        <f t="shared" si="16"/>
        <v>43466</v>
      </c>
      <c r="I48" s="1133">
        <f t="shared" si="16"/>
        <v>43435</v>
      </c>
      <c r="J48" s="1133">
        <f t="shared" si="16"/>
        <v>43405</v>
      </c>
      <c r="K48" s="1133">
        <f t="shared" si="16"/>
        <v>43374</v>
      </c>
      <c r="L48" s="1133">
        <f t="shared" si="16"/>
        <v>43344</v>
      </c>
      <c r="M48" s="1133">
        <f t="shared" si="16"/>
        <v>43313</v>
      </c>
      <c r="N48" s="1133">
        <f t="shared" si="16"/>
        <v>43282</v>
      </c>
      <c r="O48" s="1133">
        <f t="shared" si="16"/>
        <v>43252</v>
      </c>
      <c r="P48" s="973"/>
    </row>
    <row r="49" spans="1:17" s="703" customFormat="1" ht="15">
      <c r="A49" s="1134"/>
      <c r="B49" s="929"/>
      <c r="C49" s="1135">
        <v>100</v>
      </c>
      <c r="D49" s="933"/>
      <c r="E49" s="933"/>
      <c r="F49" s="933"/>
      <c r="G49" s="933"/>
      <c r="H49" s="933"/>
      <c r="I49" s="933"/>
      <c r="J49" s="933"/>
      <c r="K49" s="933"/>
      <c r="L49" s="933"/>
      <c r="M49" s="1145"/>
      <c r="N49" s="933"/>
      <c r="O49" s="982"/>
      <c r="P49" s="909"/>
    </row>
    <row r="50" spans="1:17" s="703" customFormat="1" ht="15">
      <c r="A50" s="924" t="s">
        <v>1301</v>
      </c>
      <c r="B50" s="925"/>
      <c r="C50" s="926"/>
      <c r="D50" s="927"/>
      <c r="E50" s="927"/>
      <c r="F50" s="927"/>
      <c r="G50" s="927"/>
      <c r="H50" s="927"/>
      <c r="I50" s="927"/>
      <c r="J50" s="927"/>
      <c r="K50" s="927"/>
      <c r="L50" s="927"/>
      <c r="M50" s="976"/>
      <c r="N50" s="927"/>
      <c r="O50" s="1146"/>
      <c r="P50" s="909"/>
      <c r="Q50" s="909"/>
    </row>
    <row r="51" spans="1:17" s="703" customFormat="1" ht="15">
      <c r="A51" s="928" t="s">
        <v>1255</v>
      </c>
      <c r="B51" s="929"/>
      <c r="C51" s="930" t="s">
        <v>1256</v>
      </c>
      <c r="D51" s="931"/>
      <c r="E51" s="931"/>
      <c r="F51" s="931"/>
      <c r="G51" s="931"/>
      <c r="H51" s="931"/>
      <c r="I51" s="931"/>
      <c r="J51" s="931"/>
      <c r="K51" s="931"/>
      <c r="L51" s="978"/>
      <c r="M51" s="979"/>
      <c r="N51" s="1220"/>
      <c r="O51" s="1220"/>
      <c r="P51" s="981"/>
      <c r="Q51" s="909"/>
    </row>
    <row r="52" spans="1:17" s="703" customFormat="1" ht="15">
      <c r="A52" s="928"/>
      <c r="B52" s="929"/>
      <c r="C52" s="932">
        <v>100</v>
      </c>
      <c r="D52" s="933"/>
      <c r="E52" s="933"/>
      <c r="F52" s="933"/>
      <c r="G52" s="933"/>
      <c r="H52" s="933"/>
      <c r="I52" s="933"/>
      <c r="J52" s="933"/>
      <c r="K52" s="933"/>
      <c r="L52" s="933"/>
      <c r="M52" s="982"/>
      <c r="N52" s="1220"/>
      <c r="O52" s="1220"/>
      <c r="P52" s="909"/>
      <c r="Q52" s="909"/>
    </row>
    <row r="53" spans="1:17">
      <c r="A53" s="934" t="s">
        <v>1302</v>
      </c>
      <c r="B53" s="935" t="s">
        <v>1260</v>
      </c>
      <c r="C53" s="957">
        <f>C9</f>
        <v>0</v>
      </c>
      <c r="D53" s="882"/>
      <c r="E53" s="882"/>
      <c r="F53" s="882"/>
      <c r="G53" s="882"/>
      <c r="H53" s="882"/>
      <c r="I53" s="882"/>
      <c r="J53" s="882"/>
      <c r="K53" s="983"/>
      <c r="L53" s="984"/>
      <c r="M53" s="985"/>
      <c r="N53" s="1221"/>
      <c r="O53" s="1221"/>
      <c r="P53" s="987"/>
      <c r="Q53" s="909"/>
    </row>
    <row r="54" spans="1:17" ht="15">
      <c r="A54" s="936"/>
      <c r="B54" s="937"/>
      <c r="C54" s="938">
        <v>100</v>
      </c>
      <c r="D54" s="938"/>
      <c r="E54" s="938"/>
      <c r="F54" s="938"/>
      <c r="G54" s="938"/>
      <c r="H54" s="938"/>
      <c r="I54" s="938"/>
      <c r="J54" s="938"/>
      <c r="K54" s="938"/>
      <c r="L54" s="938"/>
      <c r="M54" s="988"/>
      <c r="N54" s="1222"/>
      <c r="O54" s="1222"/>
      <c r="P54" s="987"/>
      <c r="Q54" s="909"/>
    </row>
    <row r="55" spans="1:17" ht="27">
      <c r="A55" s="936"/>
      <c r="B55" s="939" t="s">
        <v>1263</v>
      </c>
      <c r="C55" s="940" t="s">
        <v>1303</v>
      </c>
      <c r="D55" s="940" t="s">
        <v>1304</v>
      </c>
      <c r="E55" s="940" t="s">
        <v>1305</v>
      </c>
      <c r="F55" s="940" t="s">
        <v>1306</v>
      </c>
      <c r="G55" s="940" t="s">
        <v>1307</v>
      </c>
      <c r="H55" s="940" t="s">
        <v>1308</v>
      </c>
      <c r="I55" s="940" t="s">
        <v>1309</v>
      </c>
      <c r="J55" s="940"/>
      <c r="K55" s="990"/>
      <c r="L55" s="991"/>
      <c r="M55" s="992"/>
      <c r="N55" s="1221"/>
      <c r="O55" s="1221"/>
      <c r="P55" s="987"/>
      <c r="Q55" s="909"/>
    </row>
    <row r="56" spans="1:17" ht="15">
      <c r="A56" s="936"/>
      <c r="B56" s="941"/>
      <c r="C56" s="942" t="s">
        <v>1310</v>
      </c>
      <c r="D56" s="942" t="s">
        <v>1310</v>
      </c>
      <c r="E56" s="942">
        <v>100</v>
      </c>
      <c r="F56" s="942">
        <f>E56-$K10</f>
        <v>100</v>
      </c>
      <c r="G56" s="942">
        <f>F56-$K10</f>
        <v>100</v>
      </c>
      <c r="H56" s="942">
        <f>G56-$K10</f>
        <v>100</v>
      </c>
      <c r="I56" s="942">
        <f>H56-$K10</f>
        <v>100</v>
      </c>
      <c r="J56" s="942"/>
      <c r="K56" s="942"/>
      <c r="L56" s="942"/>
      <c r="M56" s="993"/>
      <c r="N56" s="1222"/>
      <c r="O56" s="1222"/>
      <c r="P56" s="987"/>
      <c r="Q56" s="909"/>
    </row>
    <row r="57" spans="1:17" ht="15">
      <c r="A57" s="936"/>
      <c r="B57" s="1070">
        <f>B11</f>
        <v>111</v>
      </c>
      <c r="C57" s="750"/>
      <c r="D57" s="750"/>
      <c r="E57" s="750"/>
      <c r="F57" s="750"/>
      <c r="G57" s="750"/>
      <c r="H57" s="750"/>
      <c r="I57" s="750"/>
      <c r="J57" s="750"/>
      <c r="K57" s="994"/>
      <c r="L57" s="995"/>
      <c r="M57" s="996"/>
      <c r="N57" s="1221"/>
      <c r="O57" s="1221"/>
      <c r="P57" s="987"/>
      <c r="Q57" s="909"/>
    </row>
    <row r="58" spans="1:17" ht="15">
      <c r="A58" s="936"/>
      <c r="B58" s="937"/>
      <c r="C58" s="949"/>
      <c r="D58" s="938"/>
      <c r="E58" s="938"/>
      <c r="F58" s="938"/>
      <c r="G58" s="938"/>
      <c r="H58" s="938"/>
      <c r="I58" s="938"/>
      <c r="J58" s="938"/>
      <c r="K58" s="938"/>
      <c r="L58" s="938"/>
      <c r="M58" s="988"/>
      <c r="N58" s="1222"/>
      <c r="O58" s="1222"/>
      <c r="P58" s="987"/>
      <c r="Q58" s="909"/>
    </row>
    <row r="59" spans="1:17" s="705" customFormat="1" ht="15">
      <c r="A59" s="946"/>
      <c r="B59" s="939">
        <f>B12</f>
        <v>111</v>
      </c>
      <c r="C59" s="750"/>
      <c r="D59" s="750"/>
      <c r="E59" s="750"/>
      <c r="F59" s="750"/>
      <c r="G59" s="947"/>
      <c r="H59" s="948"/>
      <c r="I59" s="948"/>
      <c r="J59" s="948"/>
      <c r="K59" s="948"/>
      <c r="L59" s="997"/>
      <c r="M59" s="998"/>
      <c r="N59" s="1223"/>
      <c r="O59" s="1223"/>
      <c r="P59" s="1000"/>
      <c r="Q59" s="1030"/>
    </row>
    <row r="60" spans="1:17" s="705" customFormat="1" ht="15">
      <c r="A60" s="946"/>
      <c r="B60" s="941"/>
      <c r="C60" s="949"/>
      <c r="D60" s="938"/>
      <c r="E60" s="938"/>
      <c r="F60" s="938"/>
      <c r="G60" s="938"/>
      <c r="H60" s="938"/>
      <c r="I60" s="938"/>
      <c r="J60" s="938"/>
      <c r="K60" s="938"/>
      <c r="L60" s="938"/>
      <c r="M60" s="988"/>
      <c r="N60" s="1222"/>
      <c r="O60" s="1222"/>
      <c r="P60" s="1000"/>
      <c r="Q60" s="1030"/>
    </row>
    <row r="61" spans="1:17" s="705" customFormat="1" ht="15">
      <c r="A61" s="946"/>
      <c r="B61" s="939">
        <f>B13</f>
        <v>111</v>
      </c>
      <c r="C61" s="947"/>
      <c r="D61" s="947"/>
      <c r="E61" s="947"/>
      <c r="F61" s="947"/>
      <c r="G61" s="947"/>
      <c r="H61" s="948"/>
      <c r="I61" s="948"/>
      <c r="J61" s="948"/>
      <c r="K61" s="948"/>
      <c r="L61" s="997"/>
      <c r="M61" s="998"/>
      <c r="N61" s="1223"/>
      <c r="O61" s="1223"/>
      <c r="P61" s="1001"/>
      <c r="Q61" s="1031"/>
    </row>
    <row r="62" spans="1:17" s="705" customFormat="1" ht="15">
      <c r="A62" s="946"/>
      <c r="B62" s="941"/>
      <c r="C62" s="949"/>
      <c r="D62" s="949"/>
      <c r="E62" s="949"/>
      <c r="F62" s="949"/>
      <c r="G62" s="949"/>
      <c r="H62" s="950"/>
      <c r="I62" s="950"/>
      <c r="J62" s="950"/>
      <c r="K62" s="950"/>
      <c r="L62" s="950"/>
      <c r="M62" s="1002"/>
      <c r="N62" s="1223"/>
      <c r="O62" s="1223"/>
      <c r="P62" s="1000"/>
      <c r="Q62" s="1030"/>
    </row>
    <row r="63" spans="1:17">
      <c r="A63" s="934" t="s">
        <v>1266</v>
      </c>
      <c r="B63" s="935" t="s">
        <v>211</v>
      </c>
      <c r="C63" s="956" t="s">
        <v>228</v>
      </c>
      <c r="D63" s="956" t="s">
        <v>240</v>
      </c>
      <c r="E63" s="956" t="s">
        <v>251</v>
      </c>
      <c r="F63" s="956" t="s">
        <v>261</v>
      </c>
      <c r="G63" s="956" t="s">
        <v>268</v>
      </c>
      <c r="H63" s="957"/>
      <c r="I63" s="957"/>
      <c r="J63" s="957"/>
      <c r="K63" s="1007"/>
      <c r="L63" s="1008"/>
      <c r="M63" s="1009"/>
      <c r="N63" s="1221"/>
      <c r="O63" s="1221"/>
      <c r="P63" s="1010"/>
      <c r="Q63" s="909"/>
    </row>
    <row r="64" spans="1:17" ht="15">
      <c r="A64" s="936"/>
      <c r="B64" s="941"/>
      <c r="C64" s="942">
        <v>100</v>
      </c>
      <c r="D64" s="942">
        <f>C64-$K14</f>
        <v>100</v>
      </c>
      <c r="E64" s="942">
        <f>D64-$K14</f>
        <v>100</v>
      </c>
      <c r="F64" s="942">
        <f>E64-$K14</f>
        <v>100</v>
      </c>
      <c r="G64" s="942">
        <f>F64-$K14</f>
        <v>100</v>
      </c>
      <c r="H64" s="942"/>
      <c r="I64" s="942"/>
      <c r="J64" s="942"/>
      <c r="K64" s="942"/>
      <c r="L64" s="942"/>
      <c r="M64" s="993"/>
      <c r="N64" s="1222"/>
      <c r="O64" s="1222"/>
      <c r="P64" s="987"/>
      <c r="Q64" s="909"/>
    </row>
    <row r="65" spans="1:17" ht="15">
      <c r="A65" s="936"/>
      <c r="B65" s="939" t="s">
        <v>213</v>
      </c>
      <c r="C65" s="958" t="s">
        <v>228</v>
      </c>
      <c r="D65" s="958" t="s">
        <v>240</v>
      </c>
      <c r="E65" s="958" t="s">
        <v>251</v>
      </c>
      <c r="F65" s="958" t="s">
        <v>261</v>
      </c>
      <c r="G65" s="958" t="s">
        <v>268</v>
      </c>
      <c r="H65" s="940"/>
      <c r="I65" s="940"/>
      <c r="J65" s="940"/>
      <c r="K65" s="990"/>
      <c r="L65" s="991"/>
      <c r="M65" s="992"/>
      <c r="N65" s="1221"/>
      <c r="O65" s="1221"/>
      <c r="P65" s="987"/>
      <c r="Q65" s="909"/>
    </row>
    <row r="66" spans="1:17" ht="15">
      <c r="A66" s="936"/>
      <c r="B66" s="941"/>
      <c r="C66" s="942">
        <v>100</v>
      </c>
      <c r="D66" s="942">
        <f>C66-$K16</f>
        <v>100</v>
      </c>
      <c r="E66" s="942">
        <f>D66-$K16</f>
        <v>100</v>
      </c>
      <c r="F66" s="942">
        <f>E66-$K16</f>
        <v>100</v>
      </c>
      <c r="G66" s="942">
        <f>F66-$K16</f>
        <v>100</v>
      </c>
      <c r="H66" s="942"/>
      <c r="I66" s="942"/>
      <c r="J66" s="942"/>
      <c r="K66" s="942"/>
      <c r="L66" s="942"/>
      <c r="M66" s="993"/>
      <c r="N66" s="1222"/>
      <c r="O66" s="1222"/>
      <c r="P66" s="987"/>
      <c r="Q66" s="909"/>
    </row>
    <row r="67" spans="1:17" ht="15">
      <c r="A67" s="936"/>
      <c r="B67" s="943" t="s">
        <v>214</v>
      </c>
      <c r="C67" s="940" t="s">
        <v>1311</v>
      </c>
      <c r="D67" s="940" t="s">
        <v>1312</v>
      </c>
      <c r="E67" s="940" t="s">
        <v>1313</v>
      </c>
      <c r="F67" s="940" t="s">
        <v>1314</v>
      </c>
      <c r="G67" s="940" t="s">
        <v>1315</v>
      </c>
      <c r="H67" s="940"/>
      <c r="I67" s="940"/>
      <c r="J67" s="940"/>
      <c r="K67" s="940"/>
      <c r="L67" s="940"/>
      <c r="M67" s="1072"/>
      <c r="N67" s="1222"/>
      <c r="O67" s="1222"/>
      <c r="P67" s="987"/>
      <c r="Q67" s="909"/>
    </row>
    <row r="68" spans="1:17" ht="15">
      <c r="A68" s="936"/>
      <c r="B68" s="943"/>
      <c r="C68" s="942">
        <v>100</v>
      </c>
      <c r="D68" s="942">
        <f>C68-$K18</f>
        <v>100</v>
      </c>
      <c r="E68" s="942">
        <f>D68-$K18</f>
        <v>100</v>
      </c>
      <c r="F68" s="942">
        <f>E68-$K18</f>
        <v>100</v>
      </c>
      <c r="G68" s="942">
        <f>F68-$K18</f>
        <v>100</v>
      </c>
      <c r="H68" s="1070"/>
      <c r="I68" s="1070"/>
      <c r="J68" s="1070"/>
      <c r="K68" s="1070"/>
      <c r="L68" s="1070"/>
      <c r="M68" s="767"/>
      <c r="N68" s="1222"/>
      <c r="O68" s="1222"/>
      <c r="P68" s="987"/>
      <c r="Q68" s="909"/>
    </row>
    <row r="69" spans="1:17" ht="15">
      <c r="A69" s="936"/>
      <c r="B69" s="939" t="s">
        <v>570</v>
      </c>
      <c r="C69" s="958" t="s">
        <v>228</v>
      </c>
      <c r="D69" s="958" t="s">
        <v>240</v>
      </c>
      <c r="E69" s="958" t="s">
        <v>251</v>
      </c>
      <c r="F69" s="958" t="s">
        <v>261</v>
      </c>
      <c r="G69" s="958" t="s">
        <v>268</v>
      </c>
      <c r="H69" s="940"/>
      <c r="I69" s="940"/>
      <c r="J69" s="940"/>
      <c r="K69" s="990"/>
      <c r="L69" s="991"/>
      <c r="M69" s="992"/>
      <c r="N69" s="1221"/>
      <c r="O69" s="1221"/>
      <c r="P69" s="987"/>
      <c r="Q69" s="909"/>
    </row>
    <row r="70" spans="1:17" ht="15">
      <c r="A70" s="936"/>
      <c r="B70" s="941"/>
      <c r="C70" s="942">
        <v>100</v>
      </c>
      <c r="D70" s="942">
        <f>C70-$K20</f>
        <v>100</v>
      </c>
      <c r="E70" s="942">
        <f>D70-$K20</f>
        <v>100</v>
      </c>
      <c r="F70" s="942">
        <f>E70-$K20</f>
        <v>100</v>
      </c>
      <c r="G70" s="942">
        <f>F70-$K20</f>
        <v>100</v>
      </c>
      <c r="H70" s="942"/>
      <c r="I70" s="942"/>
      <c r="J70" s="942"/>
      <c r="K70" s="942"/>
      <c r="L70" s="942"/>
      <c r="M70" s="993"/>
      <c r="N70" s="1222"/>
      <c r="O70" s="1222"/>
      <c r="P70" s="987"/>
      <c r="Q70" s="909"/>
    </row>
    <row r="71" spans="1:17" ht="15">
      <c r="A71" s="936"/>
      <c r="B71" s="939" t="s">
        <v>1272</v>
      </c>
      <c r="C71" s="947"/>
      <c r="D71" s="947"/>
      <c r="E71" s="947"/>
      <c r="F71" s="947"/>
      <c r="G71" s="947"/>
      <c r="H71" s="963"/>
      <c r="I71" s="963"/>
      <c r="J71" s="963"/>
      <c r="K71" s="1017"/>
      <c r="L71" s="1018"/>
      <c r="M71" s="1019"/>
      <c r="N71" s="1221"/>
      <c r="O71" s="1221"/>
      <c r="P71" s="987"/>
      <c r="Q71" s="909"/>
    </row>
    <row r="72" spans="1:17" ht="15">
      <c r="A72" s="936"/>
      <c r="B72" s="941"/>
      <c r="C72" s="942">
        <v>100</v>
      </c>
      <c r="D72" s="942">
        <f>C72-$K22</f>
        <v>100</v>
      </c>
      <c r="E72" s="942">
        <f>D72-$K22</f>
        <v>100</v>
      </c>
      <c r="F72" s="942">
        <f>E72-$K22</f>
        <v>100</v>
      </c>
      <c r="G72" s="942">
        <f>F72-$K22</f>
        <v>100</v>
      </c>
      <c r="H72" s="942"/>
      <c r="I72" s="942"/>
      <c r="J72" s="942"/>
      <c r="K72" s="942"/>
      <c r="L72" s="942"/>
      <c r="M72" s="993"/>
      <c r="N72" s="1222"/>
      <c r="O72" s="1222"/>
      <c r="P72" s="987"/>
      <c r="Q72" s="909"/>
    </row>
    <row r="73" spans="1:17" s="703" customFormat="1" ht="15">
      <c r="A73" s="959"/>
      <c r="B73" s="939">
        <f>B23</f>
        <v>111</v>
      </c>
      <c r="C73" s="750"/>
      <c r="D73" s="750"/>
      <c r="E73" s="750"/>
      <c r="F73" s="750"/>
      <c r="G73" s="947"/>
      <c r="H73" s="947"/>
      <c r="I73" s="947"/>
      <c r="J73" s="947"/>
      <c r="K73" s="947"/>
      <c r="L73" s="1150"/>
      <c r="M73" s="1151"/>
      <c r="N73" s="1220"/>
      <c r="O73" s="1220"/>
      <c r="P73" s="987"/>
      <c r="Q73" s="909"/>
    </row>
    <row r="74" spans="1:17" s="703" customFormat="1" ht="15">
      <c r="A74" s="959"/>
      <c r="B74" s="941"/>
      <c r="C74" s="949"/>
      <c r="D74" s="938"/>
      <c r="E74" s="938"/>
      <c r="F74" s="938"/>
      <c r="G74" s="938"/>
      <c r="H74" s="938"/>
      <c r="I74" s="938"/>
      <c r="J74" s="938"/>
      <c r="K74" s="938"/>
      <c r="L74" s="938"/>
      <c r="M74" s="988"/>
      <c r="N74" s="1222"/>
      <c r="O74" s="1222"/>
      <c r="P74" s="987"/>
      <c r="Q74" s="909"/>
    </row>
    <row r="75" spans="1:17" s="703" customFormat="1" ht="15">
      <c r="A75" s="959"/>
      <c r="B75" s="939">
        <f>B24</f>
        <v>111</v>
      </c>
      <c r="C75" s="750"/>
      <c r="D75" s="750"/>
      <c r="E75" s="750"/>
      <c r="F75" s="750"/>
      <c r="G75" s="947"/>
      <c r="H75" s="947"/>
      <c r="I75" s="947"/>
      <c r="J75" s="947"/>
      <c r="K75" s="947"/>
      <c r="L75" s="947"/>
      <c r="M75" s="1151"/>
      <c r="N75" s="1220"/>
      <c r="O75" s="1220"/>
      <c r="P75" s="987"/>
      <c r="Q75" s="909"/>
    </row>
    <row r="76" spans="1:17" s="703" customFormat="1" ht="15">
      <c r="A76" s="959"/>
      <c r="B76" s="941"/>
      <c r="C76" s="949"/>
      <c r="D76" s="938"/>
      <c r="E76" s="938"/>
      <c r="F76" s="938"/>
      <c r="G76" s="938"/>
      <c r="H76" s="938"/>
      <c r="I76" s="938"/>
      <c r="J76" s="938"/>
      <c r="K76" s="938"/>
      <c r="L76" s="938"/>
      <c r="M76" s="988"/>
      <c r="N76" s="1222"/>
      <c r="O76" s="1222"/>
      <c r="P76" s="987"/>
      <c r="Q76" s="909"/>
    </row>
    <row r="77" spans="1:17" s="705" customFormat="1" ht="15">
      <c r="A77" s="946"/>
      <c r="B77" s="939">
        <f>B25</f>
        <v>111</v>
      </c>
      <c r="C77" s="947"/>
      <c r="D77" s="947"/>
      <c r="E77" s="947"/>
      <c r="F77" s="947"/>
      <c r="G77" s="947"/>
      <c r="H77" s="948"/>
      <c r="I77" s="948"/>
      <c r="J77" s="948"/>
      <c r="K77" s="948"/>
      <c r="L77" s="997"/>
      <c r="M77" s="998"/>
      <c r="N77" s="1223"/>
      <c r="O77" s="1223"/>
      <c r="P77" s="1000"/>
      <c r="Q77" s="1030"/>
    </row>
    <row r="78" spans="1:17" s="705" customFormat="1" ht="15">
      <c r="A78" s="946"/>
      <c r="B78" s="941"/>
      <c r="C78" s="949"/>
      <c r="D78" s="949"/>
      <c r="E78" s="949"/>
      <c r="F78" s="949"/>
      <c r="G78" s="938"/>
      <c r="H78" s="938"/>
      <c r="I78" s="938"/>
      <c r="J78" s="938"/>
      <c r="K78" s="938"/>
      <c r="L78" s="938"/>
      <c r="M78" s="988"/>
      <c r="N78" s="1223"/>
      <c r="O78" s="1223"/>
      <c r="P78" s="1000"/>
      <c r="Q78" s="1030"/>
    </row>
    <row r="79" spans="1:17" ht="27">
      <c r="A79" s="934" t="s">
        <v>1276</v>
      </c>
      <c r="B79" s="935" t="s">
        <v>1428</v>
      </c>
      <c r="C79" s="957">
        <f>C26</f>
        <v>0</v>
      </c>
      <c r="D79" s="882"/>
      <c r="E79" s="882"/>
      <c r="F79" s="882"/>
      <c r="G79" s="882"/>
      <c r="H79" s="882"/>
      <c r="I79" s="882"/>
      <c r="J79" s="882"/>
      <c r="K79" s="983"/>
      <c r="L79" s="984"/>
      <c r="M79" s="985"/>
      <c r="N79" s="1221"/>
      <c r="O79" s="1221"/>
      <c r="P79" s="987"/>
      <c r="Q79" s="909"/>
    </row>
    <row r="80" spans="1:17" ht="15">
      <c r="A80" s="936"/>
      <c r="B80" s="941"/>
      <c r="C80" s="942">
        <v>100</v>
      </c>
      <c r="D80" s="942">
        <f t="shared" ref="D80:M80" si="17">C80-$K26</f>
        <v>100</v>
      </c>
      <c r="E80" s="942">
        <f t="shared" si="17"/>
        <v>100</v>
      </c>
      <c r="F80" s="942">
        <f t="shared" si="17"/>
        <v>100</v>
      </c>
      <c r="G80" s="942">
        <f t="shared" si="17"/>
        <v>100</v>
      </c>
      <c r="H80" s="942">
        <f t="shared" si="17"/>
        <v>100</v>
      </c>
      <c r="I80" s="942">
        <f t="shared" si="17"/>
        <v>100</v>
      </c>
      <c r="J80" s="942">
        <f t="shared" si="17"/>
        <v>100</v>
      </c>
      <c r="K80" s="942">
        <f t="shared" si="17"/>
        <v>100</v>
      </c>
      <c r="L80" s="942">
        <f t="shared" si="17"/>
        <v>100</v>
      </c>
      <c r="M80" s="993">
        <f t="shared" si="17"/>
        <v>100</v>
      </c>
      <c r="N80" s="1222"/>
      <c r="O80" s="1222"/>
      <c r="P80" s="987"/>
      <c r="Q80" s="909"/>
    </row>
    <row r="81" spans="1:17" ht="15">
      <c r="A81" s="936"/>
      <c r="B81" s="939" t="s">
        <v>1419</v>
      </c>
      <c r="C81" s="1225"/>
      <c r="D81" s="1225"/>
      <c r="E81" s="1225"/>
      <c r="F81" s="1225"/>
      <c r="G81" s="1225"/>
      <c r="H81" s="1225"/>
      <c r="I81" s="1225"/>
      <c r="J81" s="1225"/>
      <c r="K81" s="1226"/>
      <c r="L81" s="1227"/>
      <c r="M81" s="1228"/>
      <c r="N81" s="1220"/>
      <c r="O81" s="1220"/>
      <c r="P81" s="987"/>
      <c r="Q81" s="909"/>
    </row>
    <row r="82" spans="1:17" s="705" customFormat="1" ht="15">
      <c r="A82" s="946"/>
      <c r="B82" s="941"/>
      <c r="C82" s="949"/>
      <c r="D82" s="938"/>
      <c r="E82" s="938"/>
      <c r="F82" s="938"/>
      <c r="G82" s="938"/>
      <c r="H82" s="938"/>
      <c r="I82" s="938"/>
      <c r="J82" s="938"/>
      <c r="K82" s="938"/>
      <c r="L82" s="938"/>
      <c r="M82" s="988"/>
      <c r="N82" s="1222"/>
      <c r="O82" s="1222"/>
      <c r="P82" s="1000"/>
      <c r="Q82" s="1030"/>
    </row>
    <row r="83" spans="1:17">
      <c r="A83" s="970"/>
      <c r="B83" s="939" t="s">
        <v>1282</v>
      </c>
      <c r="C83" s="947"/>
      <c r="D83" s="947"/>
      <c r="E83" s="963"/>
      <c r="F83" s="963"/>
      <c r="G83" s="963"/>
      <c r="H83" s="963"/>
      <c r="I83" s="963"/>
      <c r="J83" s="963"/>
      <c r="K83" s="1017"/>
      <c r="L83" s="1018"/>
      <c r="M83" s="1019"/>
      <c r="N83" s="1221"/>
      <c r="O83" s="1221"/>
      <c r="P83" s="987"/>
      <c r="Q83" s="909"/>
    </row>
    <row r="84" spans="1:17" ht="15">
      <c r="A84" s="936"/>
      <c r="B84" s="941"/>
      <c r="C84" s="942">
        <v>100</v>
      </c>
      <c r="D84" s="942">
        <f t="shared" ref="D84:M84" si="18">C84-$K28</f>
        <v>100</v>
      </c>
      <c r="E84" s="942">
        <f t="shared" si="18"/>
        <v>100</v>
      </c>
      <c r="F84" s="942">
        <f t="shared" si="18"/>
        <v>100</v>
      </c>
      <c r="G84" s="942">
        <f t="shared" si="18"/>
        <v>100</v>
      </c>
      <c r="H84" s="942">
        <f t="shared" si="18"/>
        <v>100</v>
      </c>
      <c r="I84" s="942">
        <f t="shared" si="18"/>
        <v>100</v>
      </c>
      <c r="J84" s="942">
        <f t="shared" si="18"/>
        <v>100</v>
      </c>
      <c r="K84" s="942">
        <f t="shared" si="18"/>
        <v>100</v>
      </c>
      <c r="L84" s="942">
        <f t="shared" si="18"/>
        <v>100</v>
      </c>
      <c r="M84" s="993">
        <f t="shared" si="18"/>
        <v>100</v>
      </c>
      <c r="N84" s="1222"/>
      <c r="O84" s="1222"/>
      <c r="P84" s="987"/>
      <c r="Q84" s="909"/>
    </row>
    <row r="85" spans="1:17">
      <c r="A85" s="970"/>
      <c r="B85" s="939" t="s">
        <v>1420</v>
      </c>
      <c r="C85" s="958" t="str">
        <f>C86&amp;"(含)"&amp;"-"&amp;D86</f>
        <v>0.5(含)-0.6</v>
      </c>
      <c r="D85" s="958" t="str">
        <f>D86&amp;"(含)"&amp;"-"&amp;E86</f>
        <v>0.6(含)-0.7</v>
      </c>
      <c r="E85" s="958" t="str">
        <f>E86&amp;"(含)"&amp;"-"&amp;F86</f>
        <v>0.7(含)-0.8</v>
      </c>
      <c r="F85" s="958" t="str">
        <f>F86&amp;"(含)"&amp;"-"&amp;G86</f>
        <v>0.8(含)-0.9</v>
      </c>
      <c r="G85" s="958" t="str">
        <f>G86&amp;"(含)"&amp;"-"&amp;H86</f>
        <v>0.9(含)-1</v>
      </c>
      <c r="H85" s="958"/>
      <c r="I85" s="963"/>
      <c r="J85" s="963"/>
      <c r="K85" s="1017"/>
      <c r="L85" s="1018"/>
      <c r="M85" s="1019"/>
      <c r="N85" s="1221"/>
      <c r="O85" s="1221"/>
      <c r="P85" s="987"/>
      <c r="Q85" s="909"/>
    </row>
    <row r="86" spans="1:17">
      <c r="A86" s="970"/>
      <c r="B86" s="943"/>
      <c r="C86" s="365">
        <v>0.5</v>
      </c>
      <c r="D86" s="365">
        <v>0.6</v>
      </c>
      <c r="E86" s="365">
        <v>0.7</v>
      </c>
      <c r="F86" s="365">
        <v>0.8</v>
      </c>
      <c r="G86" s="365">
        <v>0.9</v>
      </c>
      <c r="H86" s="365">
        <v>1</v>
      </c>
      <c r="I86" s="1229"/>
      <c r="J86" s="1229"/>
      <c r="K86" s="1230"/>
      <c r="L86" s="1231"/>
      <c r="M86" s="1232"/>
      <c r="N86" s="1221"/>
      <c r="O86" s="1221"/>
      <c r="P86" s="987"/>
      <c r="Q86" s="909"/>
    </row>
    <row r="87" spans="1:17" ht="15">
      <c r="A87" s="936"/>
      <c r="B87" s="941"/>
      <c r="C87" s="960">
        <v>100</v>
      </c>
      <c r="D87" s="942">
        <f>C87+$K$29</f>
        <v>100</v>
      </c>
      <c r="E87" s="942">
        <f t="shared" ref="E87:M87" si="19">D87+$K$29</f>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1222"/>
      <c r="O87" s="1222"/>
      <c r="P87" s="987"/>
      <c r="Q87" s="909"/>
    </row>
    <row r="88" spans="1:17">
      <c r="A88" s="970"/>
      <c r="B88" s="943" t="s">
        <v>1421</v>
      </c>
      <c r="C88" s="882"/>
      <c r="D88" s="882"/>
      <c r="E88" s="882"/>
      <c r="F88" s="882"/>
      <c r="G88" s="882"/>
      <c r="H88" s="882"/>
      <c r="I88" s="882"/>
      <c r="J88" s="882"/>
      <c r="K88" s="983"/>
      <c r="L88" s="984"/>
      <c r="M88" s="985"/>
      <c r="N88" s="1221"/>
      <c r="O88" s="1221"/>
      <c r="P88" s="987"/>
      <c r="Q88" s="909"/>
    </row>
    <row r="89" spans="1:17" ht="15">
      <c r="A89" s="936"/>
      <c r="B89" s="941"/>
      <c r="C89" s="960">
        <v>100</v>
      </c>
      <c r="D89" s="942">
        <f t="shared" ref="D89:M89" si="20">C89+$K30</f>
        <v>100</v>
      </c>
      <c r="E89" s="942">
        <f t="shared" si="20"/>
        <v>100</v>
      </c>
      <c r="F89" s="942">
        <f t="shared" si="20"/>
        <v>100</v>
      </c>
      <c r="G89" s="942">
        <f t="shared" si="20"/>
        <v>100</v>
      </c>
      <c r="H89" s="942">
        <f t="shared" si="20"/>
        <v>100</v>
      </c>
      <c r="I89" s="942">
        <f t="shared" si="20"/>
        <v>100</v>
      </c>
      <c r="J89" s="942">
        <f t="shared" si="20"/>
        <v>100</v>
      </c>
      <c r="K89" s="942">
        <f t="shared" si="20"/>
        <v>100</v>
      </c>
      <c r="L89" s="942">
        <f t="shared" si="20"/>
        <v>100</v>
      </c>
      <c r="M89" s="942">
        <f t="shared" si="20"/>
        <v>100</v>
      </c>
      <c r="N89" s="1222"/>
      <c r="O89" s="1222"/>
      <c r="P89" s="987"/>
      <c r="Q89" s="909"/>
    </row>
    <row r="90" spans="1:17" s="705" customFormat="1">
      <c r="A90" s="966"/>
      <c r="B90" s="939" t="s">
        <v>1422</v>
      </c>
      <c r="C90" s="958" t="str">
        <f>C91&amp;"(含)"&amp;"-"&amp;D91</f>
        <v>(含)-</v>
      </c>
      <c r="D90" s="958" t="str">
        <f t="shared" ref="D90:L90" si="21">D91&amp;"(含)"&amp;"-"&amp;E91</f>
        <v>(含)-</v>
      </c>
      <c r="E90" s="958" t="str">
        <f t="shared" si="21"/>
        <v>(含)-</v>
      </c>
      <c r="F90" s="958" t="str">
        <f t="shared" si="21"/>
        <v>(含)-</v>
      </c>
      <c r="G90" s="958" t="str">
        <f t="shared" si="21"/>
        <v>(含)-</v>
      </c>
      <c r="H90" s="958" t="str">
        <f t="shared" si="21"/>
        <v>(含)-</v>
      </c>
      <c r="I90" s="958" t="str">
        <f t="shared" si="21"/>
        <v>(含)-</v>
      </c>
      <c r="J90" s="958" t="str">
        <f t="shared" si="21"/>
        <v>(含)-</v>
      </c>
      <c r="K90" s="958" t="str">
        <f t="shared" si="21"/>
        <v>(含)-</v>
      </c>
      <c r="L90" s="958" t="str">
        <f t="shared" si="21"/>
        <v>(含)-</v>
      </c>
      <c r="M90" s="1012" t="str">
        <f>M91&amp;"(含)"&amp;"-"&amp;P91</f>
        <v>(含)-</v>
      </c>
      <c r="N90" s="1223"/>
      <c r="O90" s="1223"/>
      <c r="P90" s="1000"/>
      <c r="Q90" s="1030"/>
    </row>
    <row r="91" spans="1:17" s="705" customFormat="1">
      <c r="A91" s="966"/>
      <c r="B91" s="943"/>
      <c r="C91" s="923"/>
      <c r="D91" s="923"/>
      <c r="E91" s="923"/>
      <c r="F91" s="923"/>
      <c r="G91" s="923"/>
      <c r="H91" s="923"/>
      <c r="I91" s="923"/>
      <c r="J91" s="1024"/>
      <c r="K91" s="1024"/>
      <c r="L91" s="1025"/>
      <c r="M91" s="1026"/>
      <c r="N91" s="1223"/>
      <c r="O91" s="1223"/>
      <c r="P91" s="1000"/>
      <c r="Q91" s="1030"/>
    </row>
    <row r="92" spans="1:17" s="705" customFormat="1" ht="15">
      <c r="A92" s="946"/>
      <c r="B92" s="941"/>
      <c r="C92" s="949"/>
      <c r="D92" s="938"/>
      <c r="E92" s="938"/>
      <c r="F92" s="938"/>
      <c r="G92" s="938"/>
      <c r="H92" s="938"/>
      <c r="I92" s="938"/>
      <c r="J92" s="938"/>
      <c r="K92" s="938"/>
      <c r="L92" s="938"/>
      <c r="M92" s="988"/>
      <c r="N92" s="1223"/>
      <c r="O92" s="1223"/>
      <c r="P92" s="1000"/>
      <c r="Q92" s="1030"/>
    </row>
    <row r="93" spans="1:17">
      <c r="A93" s="970"/>
      <c r="B93" s="939" t="s">
        <v>1423</v>
      </c>
      <c r="C93" s="947"/>
      <c r="D93" s="947"/>
      <c r="E93" s="963"/>
      <c r="F93" s="963"/>
      <c r="G93" s="963"/>
      <c r="H93" s="963"/>
      <c r="I93" s="963"/>
      <c r="J93" s="963"/>
      <c r="K93" s="1017"/>
      <c r="L93" s="1018"/>
      <c r="M93" s="1019"/>
      <c r="N93" s="1221"/>
      <c r="O93" s="1221"/>
      <c r="P93" s="987"/>
      <c r="Q93" s="909"/>
    </row>
    <row r="94" spans="1:17" ht="15">
      <c r="A94" s="936"/>
      <c r="B94" s="941"/>
      <c r="C94" s="942">
        <v>100</v>
      </c>
      <c r="D94" s="942">
        <f t="shared" ref="D94:M94" si="22">C94-$K32</f>
        <v>100</v>
      </c>
      <c r="E94" s="942">
        <f t="shared" si="22"/>
        <v>100</v>
      </c>
      <c r="F94" s="942">
        <f t="shared" si="22"/>
        <v>100</v>
      </c>
      <c r="G94" s="942">
        <f t="shared" si="22"/>
        <v>100</v>
      </c>
      <c r="H94" s="942">
        <f t="shared" si="22"/>
        <v>100</v>
      </c>
      <c r="I94" s="942">
        <f t="shared" si="22"/>
        <v>100</v>
      </c>
      <c r="J94" s="942">
        <f t="shared" si="22"/>
        <v>100</v>
      </c>
      <c r="K94" s="942">
        <f t="shared" si="22"/>
        <v>100</v>
      </c>
      <c r="L94" s="942">
        <f t="shared" si="22"/>
        <v>100</v>
      </c>
      <c r="M94" s="993">
        <f t="shared" si="22"/>
        <v>100</v>
      </c>
      <c r="N94" s="1222"/>
      <c r="O94" s="1222"/>
      <c r="P94" s="987"/>
      <c r="Q94" s="909"/>
    </row>
    <row r="95" spans="1:17">
      <c r="A95" s="970"/>
      <c r="B95" s="939" t="s">
        <v>1424</v>
      </c>
      <c r="C95" s="882"/>
      <c r="D95" s="882"/>
      <c r="E95" s="882"/>
      <c r="F95" s="882"/>
      <c r="G95" s="882"/>
      <c r="H95" s="882"/>
      <c r="I95" s="882"/>
      <c r="J95" s="882"/>
      <c r="K95" s="983"/>
      <c r="L95" s="984"/>
      <c r="M95" s="985"/>
      <c r="N95" s="1221"/>
      <c r="O95" s="1221"/>
      <c r="P95" s="987"/>
      <c r="Q95" s="909"/>
    </row>
    <row r="96" spans="1:17" ht="15">
      <c r="A96" s="936"/>
      <c r="B96" s="941"/>
      <c r="C96" s="942">
        <v>100</v>
      </c>
      <c r="D96" s="942">
        <f>C96-$K33</f>
        <v>100</v>
      </c>
      <c r="E96" s="942">
        <f>D96-$K33</f>
        <v>100</v>
      </c>
      <c r="F96" s="942">
        <f>E96-$K33</f>
        <v>100</v>
      </c>
      <c r="G96" s="942">
        <f>F96-$K33</f>
        <v>100</v>
      </c>
      <c r="H96" s="942"/>
      <c r="I96" s="942"/>
      <c r="J96" s="942"/>
      <c r="K96" s="942"/>
      <c r="L96" s="942"/>
      <c r="M96" s="993"/>
      <c r="N96" s="1222"/>
      <c r="O96" s="1222"/>
      <c r="P96" s="987"/>
      <c r="Q96" s="909"/>
    </row>
    <row r="97" spans="1:17">
      <c r="A97" s="970"/>
      <c r="B97" s="1149">
        <f>B34</f>
        <v>111</v>
      </c>
      <c r="C97" s="750"/>
      <c r="D97" s="750"/>
      <c r="E97" s="750"/>
      <c r="F97" s="750"/>
      <c r="G97" s="947"/>
      <c r="H97" s="948"/>
      <c r="I97" s="948"/>
      <c r="J97" s="948"/>
      <c r="K97" s="948"/>
      <c r="L97" s="997"/>
      <c r="M97" s="998"/>
      <c r="N97" s="1222"/>
      <c r="O97" s="1222"/>
      <c r="P97" s="1155"/>
      <c r="Q97" s="1156"/>
    </row>
    <row r="98" spans="1:17" ht="15">
      <c r="A98" s="936"/>
      <c r="B98" s="941"/>
      <c r="C98" s="949"/>
      <c r="D98" s="938"/>
      <c r="E98" s="938"/>
      <c r="F98" s="938"/>
      <c r="G98" s="949"/>
      <c r="H98" s="950"/>
      <c r="I98" s="950"/>
      <c r="J98" s="950"/>
      <c r="K98" s="950"/>
      <c r="L98" s="950"/>
      <c r="M98" s="1002"/>
      <c r="N98" s="1222"/>
      <c r="O98" s="1222"/>
      <c r="P98" s="987"/>
      <c r="Q98" s="909"/>
    </row>
    <row r="99" spans="1:17" s="705" customFormat="1">
      <c r="A99" s="966"/>
      <c r="B99" s="939">
        <f>B35</f>
        <v>111</v>
      </c>
      <c r="C99" s="750"/>
      <c r="D99" s="750"/>
      <c r="E99" s="750"/>
      <c r="F99" s="750"/>
      <c r="G99" s="947"/>
      <c r="H99" s="948"/>
      <c r="I99" s="948"/>
      <c r="J99" s="948"/>
      <c r="K99" s="948"/>
      <c r="L99" s="997"/>
      <c r="M99" s="998"/>
      <c r="N99" s="1223"/>
      <c r="O99" s="1223"/>
      <c r="P99" s="1000"/>
      <c r="Q99" s="1030"/>
    </row>
    <row r="100" spans="1:17" s="705" customFormat="1" ht="15">
      <c r="A100" s="946"/>
      <c r="B100" s="937"/>
      <c r="C100" s="949"/>
      <c r="D100" s="938"/>
      <c r="E100" s="938"/>
      <c r="F100" s="938"/>
      <c r="G100" s="949"/>
      <c r="H100" s="950"/>
      <c r="I100" s="950"/>
      <c r="J100" s="950"/>
      <c r="K100" s="950"/>
      <c r="L100" s="950"/>
      <c r="M100" s="1002"/>
      <c r="N100" s="1223"/>
      <c r="O100" s="1223"/>
      <c r="P100" s="1000"/>
      <c r="Q100" s="1030"/>
    </row>
    <row r="101" spans="1:17">
      <c r="A101" s="970"/>
      <c r="B101" s="939">
        <f>B36</f>
        <v>111</v>
      </c>
      <c r="C101" s="947"/>
      <c r="D101" s="947"/>
      <c r="E101" s="947"/>
      <c r="F101" s="947"/>
      <c r="G101" s="947"/>
      <c r="H101" s="948"/>
      <c r="I101" s="948"/>
      <c r="J101" s="948"/>
      <c r="K101" s="948"/>
      <c r="L101" s="997"/>
      <c r="M101" s="998"/>
      <c r="N101" s="1221"/>
      <c r="O101" s="1221"/>
      <c r="P101" s="987"/>
      <c r="Q101" s="909"/>
    </row>
    <row r="102" spans="1:17" ht="15">
      <c r="A102" s="936"/>
      <c r="B102" s="941"/>
      <c r="C102" s="949"/>
      <c r="D102" s="949"/>
      <c r="E102" s="949"/>
      <c r="F102" s="949"/>
      <c r="G102" s="949"/>
      <c r="H102" s="950"/>
      <c r="I102" s="950"/>
      <c r="J102" s="950"/>
      <c r="K102" s="950"/>
      <c r="L102" s="950"/>
      <c r="M102" s="1002"/>
      <c r="N102" s="1222"/>
      <c r="O102" s="1222"/>
      <c r="P102" s="987"/>
      <c r="Q102"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0 E30 G30 I30">
      <formula1>车位物业等级</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sqref="A1:XFD1048576"/>
    </sheetView>
  </sheetViews>
  <sheetFormatPr defaultColWidth="9" defaultRowHeight="14.25"/>
  <cols>
    <col min="1" max="1" width="10.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1074" customFormat="1" ht="28.5" customHeight="1">
      <c r="A1" s="1075" t="s">
        <v>1416</v>
      </c>
      <c r="B1" s="1076"/>
      <c r="C1" s="1077"/>
      <c r="D1" s="1078"/>
      <c r="E1" s="1079"/>
      <c r="F1" s="1080" t="s">
        <v>1238</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832</v>
      </c>
      <c r="B2" s="1082" t="e">
        <f ca="1">IF(D2="——",IF(C2="元",ROUND(C37*D3,0),ROUND(C37*D3/10000,0)),IF(C2="元",ROUND(C37*D3,0),ROUND(C37*D3/10000,0))-E2)</f>
        <v>#DIV/0!</v>
      </c>
      <c r="C2" s="1083" t="str">
        <f>'数据-取费表'!B3</f>
        <v>万元</v>
      </c>
      <c r="D2" s="1084"/>
      <c r="E2" s="1085" t="e">
        <f ca="1">SUMIF(INDIRECT("'"&amp;G2&amp;"'"&amp;"!A:A"),"承租人权益价值",INDIRECT("'"&amp;G2&amp;"'"&amp;"!c:c"))</f>
        <v>#REF!</v>
      </c>
      <c r="F2" s="1086" t="str">
        <f>C2</f>
        <v>万元</v>
      </c>
      <c r="G2" s="1087"/>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833</v>
      </c>
      <c r="B3" s="721" t="e">
        <f ca="1">ROUND(IF(D2="——",C37,IF(C2="万元",B2*10000/D3,B2/D3)),0)</f>
        <v>#DIV/0!</v>
      </c>
      <c r="C3" s="1088" t="s">
        <v>1239</v>
      </c>
      <c r="D3" s="1089">
        <f>IF(C1="仅计算典型户型",'数据-取费表'!E5,'数据-取费表'!B5)</f>
        <v>1024.48</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1240</v>
      </c>
      <c r="B4" s="723"/>
      <c r="C4" s="3004" t="s">
        <v>1241</v>
      </c>
      <c r="D4" s="3005"/>
      <c r="E4" s="3006" t="s">
        <v>1242</v>
      </c>
      <c r="F4" s="3007"/>
      <c r="G4" s="3004" t="s">
        <v>1243</v>
      </c>
      <c r="H4" s="3005"/>
      <c r="I4" s="3004" t="s">
        <v>1244</v>
      </c>
      <c r="J4" s="3005"/>
      <c r="K4" s="859" t="s">
        <v>1245</v>
      </c>
      <c r="L4" s="860"/>
      <c r="M4" s="861"/>
      <c r="N4" s="861"/>
      <c r="O4" s="861"/>
      <c r="P4" s="3065" t="s">
        <v>1246</v>
      </c>
      <c r="Q4" s="3024"/>
      <c r="R4" s="3038" t="s">
        <v>1242</v>
      </c>
      <c r="S4" s="3039"/>
      <c r="T4" s="3038" t="s">
        <v>1243</v>
      </c>
      <c r="U4" s="3039"/>
      <c r="V4" s="3048" t="s">
        <v>1244</v>
      </c>
      <c r="W4" s="3048"/>
      <c r="X4" s="898"/>
      <c r="Y4" s="3038" t="s">
        <v>1246</v>
      </c>
      <c r="Z4" s="3039"/>
      <c r="AA4" s="3035" t="s">
        <v>1242</v>
      </c>
      <c r="AB4" s="3036" t="s">
        <v>1243</v>
      </c>
      <c r="AC4" s="3035" t="s">
        <v>1244</v>
      </c>
    </row>
    <row r="5" spans="1:29" ht="15">
      <c r="A5" s="724"/>
      <c r="B5" s="725"/>
      <c r="C5" s="3008" t="s">
        <v>1371</v>
      </c>
      <c r="D5" s="3009"/>
      <c r="E5" s="3055" t="s">
        <v>1372</v>
      </c>
      <c r="F5" s="3011"/>
      <c r="G5" s="3008" t="s">
        <v>1373</v>
      </c>
      <c r="H5" s="3009"/>
      <c r="I5" s="3008" t="s">
        <v>1374</v>
      </c>
      <c r="J5" s="3009"/>
      <c r="K5" s="859"/>
      <c r="L5" s="860"/>
      <c r="M5" s="861"/>
      <c r="N5" s="861"/>
      <c r="O5" s="861"/>
      <c r="P5" s="3066"/>
      <c r="Q5" s="3025"/>
      <c r="R5" s="3040"/>
      <c r="S5" s="3041"/>
      <c r="T5" s="3040"/>
      <c r="U5" s="3041"/>
      <c r="V5" s="3048"/>
      <c r="W5" s="3048"/>
      <c r="X5" s="898"/>
      <c r="Y5" s="3040"/>
      <c r="Z5" s="3041"/>
      <c r="AA5" s="3036"/>
      <c r="AB5" s="3036"/>
      <c r="AC5" s="3036"/>
    </row>
    <row r="6" spans="1:29" ht="15">
      <c r="A6" s="726"/>
      <c r="B6" s="727"/>
      <c r="C6" s="3017" t="s">
        <v>1250</v>
      </c>
      <c r="D6" s="3014"/>
      <c r="E6" s="3015" t="s">
        <v>1250</v>
      </c>
      <c r="F6" s="3016"/>
      <c r="G6" s="3017" t="s">
        <v>1250</v>
      </c>
      <c r="H6" s="3014"/>
      <c r="I6" s="3017" t="s">
        <v>1250</v>
      </c>
      <c r="J6" s="3014"/>
      <c r="K6" s="859" t="s">
        <v>1251</v>
      </c>
      <c r="L6" s="860"/>
      <c r="M6" s="861"/>
      <c r="N6" s="861"/>
      <c r="O6" s="861"/>
      <c r="P6" s="3067"/>
      <c r="Q6" s="3047"/>
      <c r="R6" s="3040"/>
      <c r="S6" s="3041"/>
      <c r="T6" s="3042"/>
      <c r="U6" s="3043"/>
      <c r="V6" s="3048"/>
      <c r="W6" s="3048"/>
      <c r="X6" s="898"/>
      <c r="Y6" s="3042"/>
      <c r="Z6" s="3043"/>
      <c r="AA6" s="3037"/>
      <c r="AB6" s="3037"/>
      <c r="AC6" s="3037"/>
    </row>
    <row r="7" spans="1:29" s="703" customFormat="1" ht="15">
      <c r="A7" s="728" t="s">
        <v>1252</v>
      </c>
      <c r="B7" s="729"/>
      <c r="C7" s="730">
        <f>'数据-取费表'!B2</f>
        <v>43646</v>
      </c>
      <c r="D7" s="731">
        <v>100</v>
      </c>
      <c r="E7" s="734"/>
      <c r="F7" s="731">
        <f>SUMIF(46:46,YEAR(E7)&amp;"-"&amp;MONTH(E7),47:47)</f>
        <v>0</v>
      </c>
      <c r="G7" s="732"/>
      <c r="H7" s="731">
        <f>SUMIF(46:46,YEAR(G7)&amp;"-"&amp;MONTH(G7),47:47)</f>
        <v>0</v>
      </c>
      <c r="I7" s="732"/>
      <c r="J7" s="731">
        <f>SUMIF(46:46,YEAR(I7)&amp;"-"&amp;MONTH(I7),47:47)</f>
        <v>0</v>
      </c>
      <c r="K7" s="862"/>
      <c r="L7" s="863"/>
      <c r="M7" s="864"/>
      <c r="N7" s="864"/>
      <c r="O7" s="864"/>
      <c r="P7" s="3019" t="s">
        <v>1253</v>
      </c>
      <c r="Q7" s="3018"/>
      <c r="R7" s="900" t="s">
        <v>1254</v>
      </c>
      <c r="S7" s="901">
        <f t="shared" ref="S7:S14" si="0">F7</f>
        <v>0</v>
      </c>
      <c r="T7" s="900" t="s">
        <v>1254</v>
      </c>
      <c r="U7" s="901">
        <f t="shared" ref="U7:U14" si="1">H7</f>
        <v>0</v>
      </c>
      <c r="V7" s="900" t="s">
        <v>1254</v>
      </c>
      <c r="W7" s="901">
        <f t="shared" ref="W7:W14" si="2">J7</f>
        <v>0</v>
      </c>
      <c r="X7" s="902"/>
      <c r="Y7" s="3019" t="s">
        <v>1253</v>
      </c>
      <c r="Z7" s="3020"/>
      <c r="AA7" s="913" t="e">
        <f>D7/F7</f>
        <v>#DIV/0!</v>
      </c>
      <c r="AB7" s="913" t="e">
        <f>D7/H7</f>
        <v>#DIV/0!</v>
      </c>
      <c r="AC7" s="913" t="e">
        <f>D7/J7</f>
        <v>#DIV/0!</v>
      </c>
    </row>
    <row r="8" spans="1:29" s="703" customFormat="1" ht="15">
      <c r="A8" s="728" t="s">
        <v>1255</v>
      </c>
      <c r="B8" s="729"/>
      <c r="C8" s="735" t="s">
        <v>1256</v>
      </c>
      <c r="D8" s="731">
        <v>100</v>
      </c>
      <c r="E8" s="735"/>
      <c r="F8" s="733">
        <f>SUMIF(49:49,E8,50:50)-SUMIF(49:49,C8,50:50)+100</f>
        <v>0</v>
      </c>
      <c r="G8" s="735"/>
      <c r="H8" s="731">
        <f>SUMIF(49:49,G8,50:50)-SUMIF(49:49,C8,50:50)+100</f>
        <v>0</v>
      </c>
      <c r="I8" s="735"/>
      <c r="J8" s="731">
        <f>SUMIF(49:49,I8,50:50)-SUMIF(49:49,C8,50:50)+100</f>
        <v>0</v>
      </c>
      <c r="K8" s="862"/>
      <c r="L8" s="863"/>
      <c r="M8" s="864"/>
      <c r="N8" s="864"/>
      <c r="O8" s="864"/>
      <c r="P8" s="3019" t="s">
        <v>1258</v>
      </c>
      <c r="Q8" s="3020"/>
      <c r="R8" s="900" t="s">
        <v>1254</v>
      </c>
      <c r="S8" s="901">
        <f t="shared" si="0"/>
        <v>0</v>
      </c>
      <c r="T8" s="900" t="s">
        <v>1254</v>
      </c>
      <c r="U8" s="901">
        <f t="shared" si="1"/>
        <v>0</v>
      </c>
      <c r="V8" s="900" t="s">
        <v>1254</v>
      </c>
      <c r="W8" s="901">
        <f t="shared" si="2"/>
        <v>0</v>
      </c>
      <c r="X8" s="902"/>
      <c r="Y8" s="3019" t="s">
        <v>1258</v>
      </c>
      <c r="Z8" s="3020"/>
      <c r="AA8" s="913" t="e">
        <f t="shared" ref="AA8:AA34" si="3">D8/F8</f>
        <v>#DIV/0!</v>
      </c>
      <c r="AB8" s="913" t="e">
        <f t="shared" ref="AB8:AB34" si="4">D8/H8</f>
        <v>#DIV/0!</v>
      </c>
      <c r="AC8" s="913" t="e">
        <f t="shared" ref="AC8:AC34" si="5">D8/J8</f>
        <v>#DIV/0!</v>
      </c>
    </row>
    <row r="9" spans="1:29" s="703" customFormat="1">
      <c r="A9" s="736" t="s">
        <v>1259</v>
      </c>
      <c r="B9" s="737" t="s">
        <v>1260</v>
      </c>
      <c r="C9" s="1090"/>
      <c r="D9" s="739">
        <v>100</v>
      </c>
      <c r="E9" s="1091"/>
      <c r="F9" s="739">
        <f>SUMIF(51:51,E9,52:52)-SUMIF(51:51,C9,52:52)+100</f>
        <v>100</v>
      </c>
      <c r="G9" s="1091"/>
      <c r="H9" s="739">
        <f>SUMIF(51:51,G9,52:52)-SUMIF(51:51,C9,52:52)+100</f>
        <v>100</v>
      </c>
      <c r="I9" s="1091"/>
      <c r="J9" s="739">
        <f>SUMIF(51:51,I9,52:52)-SUMIF(51:51,C9,52:52)+100</f>
        <v>100</v>
      </c>
      <c r="K9" s="862"/>
      <c r="L9" s="863"/>
      <c r="M9" s="864"/>
      <c r="N9" s="864"/>
      <c r="O9" s="865"/>
      <c r="P9" s="3022" t="s">
        <v>1261</v>
      </c>
      <c r="Q9" s="903" t="str">
        <f t="shared" ref="Q9:Q14" si="6">B9</f>
        <v>用途</v>
      </c>
      <c r="R9" s="900" t="s">
        <v>1254</v>
      </c>
      <c r="S9" s="901">
        <f t="shared" si="0"/>
        <v>100</v>
      </c>
      <c r="T9" s="900" t="s">
        <v>1254</v>
      </c>
      <c r="U9" s="901">
        <f t="shared" si="1"/>
        <v>100</v>
      </c>
      <c r="V9" s="900" t="s">
        <v>1254</v>
      </c>
      <c r="W9" s="901">
        <f t="shared" si="2"/>
        <v>100</v>
      </c>
      <c r="X9" s="902"/>
      <c r="Y9" s="2900" t="s">
        <v>1262</v>
      </c>
      <c r="Z9" s="914" t="str">
        <f t="shared" ref="Z9:Z14" si="7">Q9</f>
        <v>用途</v>
      </c>
      <c r="AA9" s="913">
        <f t="shared" si="3"/>
        <v>1</v>
      </c>
      <c r="AB9" s="913">
        <f t="shared" si="4"/>
        <v>1</v>
      </c>
      <c r="AC9" s="913">
        <f t="shared" si="5"/>
        <v>1</v>
      </c>
    </row>
    <row r="10" spans="1:29" s="704" customFormat="1" ht="27">
      <c r="A10" s="740"/>
      <c r="B10" s="741" t="s">
        <v>1263</v>
      </c>
      <c r="C10" s="1092"/>
      <c r="D10" s="743">
        <v>100</v>
      </c>
      <c r="E10" s="1092"/>
      <c r="F10" s="743">
        <f>SUMIF(53:53,E10,54:54)-SUMIF(53:53,C10,54:54)+100</f>
        <v>100</v>
      </c>
      <c r="G10" s="1093"/>
      <c r="H10" s="743">
        <f>SUMIF(53:53,G10,54:54)-SUMIF(53:53,C10,54:54)+100</f>
        <v>100</v>
      </c>
      <c r="I10" s="1092"/>
      <c r="J10" s="743">
        <f>SUMIF(53:53,I10,54:54)-SUMIF(53:53,C10,54:54)+100</f>
        <v>100</v>
      </c>
      <c r="K10" s="879"/>
      <c r="L10" s="867"/>
      <c r="M10" s="868"/>
      <c r="N10" s="868"/>
      <c r="O10" s="869"/>
      <c r="P10" s="3022"/>
      <c r="Q10" s="903" t="str">
        <f t="shared" si="6"/>
        <v>土地使用年限（年）</v>
      </c>
      <c r="R10" s="900" t="s">
        <v>1254</v>
      </c>
      <c r="S10" s="901">
        <f t="shared" si="0"/>
        <v>100</v>
      </c>
      <c r="T10" s="900" t="s">
        <v>1254</v>
      </c>
      <c r="U10" s="901">
        <f t="shared" si="1"/>
        <v>100</v>
      </c>
      <c r="V10" s="900" t="s">
        <v>1254</v>
      </c>
      <c r="W10" s="901">
        <f t="shared" si="2"/>
        <v>100</v>
      </c>
      <c r="X10" s="902"/>
      <c r="Y10" s="2900"/>
      <c r="Z10" s="914" t="str">
        <f t="shared" si="7"/>
        <v>土地使用年限（年）</v>
      </c>
      <c r="AA10" s="913">
        <f t="shared" si="3"/>
        <v>1</v>
      </c>
      <c r="AB10" s="913">
        <f t="shared" si="4"/>
        <v>1</v>
      </c>
      <c r="AC10" s="913">
        <f t="shared" si="5"/>
        <v>1</v>
      </c>
    </row>
    <row r="11" spans="1:29" ht="15">
      <c r="A11" s="744"/>
      <c r="B11" s="748">
        <v>111</v>
      </c>
      <c r="C11" s="742"/>
      <c r="D11" s="743">
        <v>100</v>
      </c>
      <c r="E11" s="1094"/>
      <c r="F11" s="743">
        <f>SUMIF(55:55,E11,56:56)-SUMIF(55:55,C11,56:56)+100</f>
        <v>100</v>
      </c>
      <c r="G11" s="1094"/>
      <c r="H11" s="743">
        <f>SUMIF(55:55,G11,56:56)-SUMIF(55:55,C11,56:56)+100</f>
        <v>100</v>
      </c>
      <c r="I11" s="1094"/>
      <c r="J11" s="743">
        <f>SUMIF(55:55,I11,56:56)-SUMIF(55:55,C11,56:56)+100</f>
        <v>100</v>
      </c>
      <c r="K11" s="878"/>
      <c r="L11" s="871"/>
      <c r="M11" s="861"/>
      <c r="N11" s="861"/>
      <c r="O11" s="872"/>
      <c r="P11" s="3022"/>
      <c r="Q11" s="903">
        <f t="shared" si="6"/>
        <v>111</v>
      </c>
      <c r="R11" s="900" t="s">
        <v>1254</v>
      </c>
      <c r="S11" s="901">
        <f t="shared" si="0"/>
        <v>100</v>
      </c>
      <c r="T11" s="900" t="s">
        <v>1254</v>
      </c>
      <c r="U11" s="901">
        <f t="shared" si="1"/>
        <v>100</v>
      </c>
      <c r="V11" s="900" t="s">
        <v>1254</v>
      </c>
      <c r="W11" s="901">
        <f t="shared" si="2"/>
        <v>100</v>
      </c>
      <c r="X11" s="902"/>
      <c r="Y11" s="2900"/>
      <c r="Z11" s="914">
        <f t="shared" si="7"/>
        <v>111</v>
      </c>
      <c r="AA11" s="913">
        <f t="shared" si="3"/>
        <v>1</v>
      </c>
      <c r="AB11" s="913">
        <f t="shared" si="4"/>
        <v>1</v>
      </c>
      <c r="AC11" s="913">
        <f t="shared" si="5"/>
        <v>1</v>
      </c>
    </row>
    <row r="12" spans="1:29" s="703" customFormat="1" ht="15">
      <c r="A12" s="747"/>
      <c r="B12" s="748">
        <v>111</v>
      </c>
      <c r="C12" s="742"/>
      <c r="D12" s="749">
        <v>100</v>
      </c>
      <c r="E12" s="1094"/>
      <c r="F12" s="743">
        <f>SUMIF(57:57,E12,58:58)-SUMIF(57:57,C12,58:58)+100</f>
        <v>100</v>
      </c>
      <c r="G12" s="1094"/>
      <c r="H12" s="743">
        <f>SUMIF(57:57,G12,58:58)-SUMIF(57:57,C12,58:58)+100</f>
        <v>100</v>
      </c>
      <c r="I12" s="1094"/>
      <c r="J12" s="743">
        <f>SUMIF(57:57,I12,58:58)-SUMIF(57:57,C12,58:58)+100</f>
        <v>100</v>
      </c>
      <c r="K12" s="878"/>
      <c r="L12" s="863"/>
      <c r="M12" s="864"/>
      <c r="N12" s="864"/>
      <c r="O12" s="865"/>
      <c r="P12" s="3022"/>
      <c r="Q12" s="903">
        <f t="shared" si="6"/>
        <v>111</v>
      </c>
      <c r="R12" s="900" t="s">
        <v>1254</v>
      </c>
      <c r="S12" s="901">
        <f t="shared" si="0"/>
        <v>100</v>
      </c>
      <c r="T12" s="900" t="s">
        <v>1254</v>
      </c>
      <c r="U12" s="901">
        <f t="shared" si="1"/>
        <v>100</v>
      </c>
      <c r="V12" s="900" t="s">
        <v>1254</v>
      </c>
      <c r="W12" s="901">
        <f t="shared" si="2"/>
        <v>100</v>
      </c>
      <c r="X12" s="902"/>
      <c r="Y12" s="2900"/>
      <c r="Z12" s="914">
        <f t="shared" si="7"/>
        <v>111</v>
      </c>
      <c r="AA12" s="913">
        <f t="shared" si="3"/>
        <v>1</v>
      </c>
      <c r="AB12" s="913">
        <f t="shared" si="4"/>
        <v>1</v>
      </c>
      <c r="AC12" s="913">
        <f t="shared" si="5"/>
        <v>1</v>
      </c>
    </row>
    <row r="13" spans="1:29" ht="15">
      <c r="A13" s="744"/>
      <c r="B13" s="748">
        <v>111</v>
      </c>
      <c r="C13" s="752"/>
      <c r="D13" s="753">
        <v>100</v>
      </c>
      <c r="E13" s="1094"/>
      <c r="F13" s="743">
        <f>SUMIF(59:59,E13,60:60)-SUMIF(59:59,C13,60:60)+100</f>
        <v>100</v>
      </c>
      <c r="G13" s="1094"/>
      <c r="H13" s="753">
        <f>SUMIF(59:59,G13,60:60)-SUMIF(59:59,C13,60:60)+100</f>
        <v>100</v>
      </c>
      <c r="I13" s="1094"/>
      <c r="J13" s="753">
        <f>SUMIF(59:59,I13,60:60)-SUMIF(59:59,C13,60:60)+100</f>
        <v>100</v>
      </c>
      <c r="K13" s="878"/>
      <c r="L13" s="873"/>
      <c r="M13" s="861"/>
      <c r="N13" s="861"/>
      <c r="O13" s="872"/>
      <c r="P13" s="3022"/>
      <c r="Q13" s="903">
        <f t="shared" si="6"/>
        <v>111</v>
      </c>
      <c r="R13" s="900" t="s">
        <v>1254</v>
      </c>
      <c r="S13" s="901">
        <f t="shared" si="0"/>
        <v>100</v>
      </c>
      <c r="T13" s="900" t="s">
        <v>1254</v>
      </c>
      <c r="U13" s="901">
        <f t="shared" si="1"/>
        <v>100</v>
      </c>
      <c r="V13" s="900" t="s">
        <v>1254</v>
      </c>
      <c r="W13" s="901">
        <f t="shared" si="2"/>
        <v>100</v>
      </c>
      <c r="X13" s="902"/>
      <c r="Y13" s="2900"/>
      <c r="Z13" s="914">
        <f t="shared" si="7"/>
        <v>111</v>
      </c>
      <c r="AA13" s="913">
        <f t="shared" si="3"/>
        <v>1</v>
      </c>
      <c r="AB13" s="913">
        <f t="shared" si="4"/>
        <v>1</v>
      </c>
      <c r="AC13" s="913">
        <f t="shared" si="5"/>
        <v>1</v>
      </c>
    </row>
    <row r="14" spans="1:29" ht="85.5">
      <c r="A14" s="758" t="s">
        <v>1266</v>
      </c>
      <c r="B14" s="1095" t="s">
        <v>211</v>
      </c>
      <c r="C14" s="760" t="str">
        <f>IF(B1="工业",估价对象房地状况!G4,估价对象房地状况!C6)</f>
        <v>估价对象周边道路状况、公共交通通达情况、停车便捷程度，综合评价交通便捷度较好</v>
      </c>
      <c r="D14" s="761">
        <v>100</v>
      </c>
      <c r="E14" s="762"/>
      <c r="F14" s="1096">
        <f>SUMIF(61:61,E15,62:62)-SUMIF(61:61,C15,62:62)+100</f>
        <v>100</v>
      </c>
      <c r="G14" s="874"/>
      <c r="H14" s="761">
        <f>SUMIF(61:61,G15,62:62)-SUMIF(61:61,C15,62:62)+100</f>
        <v>100</v>
      </c>
      <c r="I14" s="762"/>
      <c r="J14" s="761">
        <f>SUMIF(61:61,I15,62:62)-SUMIF(61:61,C15,62:62)+100</f>
        <v>100</v>
      </c>
      <c r="K14" s="1140"/>
      <c r="L14" s="873"/>
      <c r="M14" s="861"/>
      <c r="N14" s="861"/>
      <c r="O14" s="872"/>
      <c r="P14" s="3029" t="s">
        <v>1267</v>
      </c>
      <c r="Q14" s="492" t="str">
        <f t="shared" si="6"/>
        <v>交通便捷度</v>
      </c>
      <c r="R14" s="904" t="s">
        <v>1254</v>
      </c>
      <c r="S14" s="905">
        <f t="shared" si="0"/>
        <v>100</v>
      </c>
      <c r="T14" s="904" t="s">
        <v>1254</v>
      </c>
      <c r="U14" s="905">
        <f t="shared" si="1"/>
        <v>100</v>
      </c>
      <c r="V14" s="904" t="s">
        <v>1254</v>
      </c>
      <c r="W14" s="905">
        <f t="shared" si="2"/>
        <v>100</v>
      </c>
      <c r="X14" s="898"/>
      <c r="Y14" s="3029" t="s">
        <v>1267</v>
      </c>
      <c r="Z14" s="833" t="str">
        <f t="shared" si="7"/>
        <v>交通便捷度</v>
      </c>
      <c r="AA14" s="915">
        <f t="shared" si="3"/>
        <v>1</v>
      </c>
      <c r="AB14" s="915">
        <f t="shared" si="4"/>
        <v>1</v>
      </c>
      <c r="AC14" s="915">
        <f t="shared" si="5"/>
        <v>1</v>
      </c>
    </row>
    <row r="15" spans="1:29" ht="15">
      <c r="A15" s="744"/>
      <c r="B15" s="1097"/>
      <c r="C15" s="764"/>
      <c r="D15" s="765"/>
      <c r="E15" s="764"/>
      <c r="F15" s="1098"/>
      <c r="G15" s="764"/>
      <c r="H15" s="767"/>
      <c r="I15" s="764"/>
      <c r="J15" s="765"/>
      <c r="K15" s="1141"/>
      <c r="L15" s="873"/>
      <c r="M15" s="861"/>
      <c r="N15" s="861"/>
      <c r="O15" s="872"/>
      <c r="P15" s="3030"/>
      <c r="Q15" s="492"/>
      <c r="R15" s="904"/>
      <c r="S15" s="905"/>
      <c r="T15" s="904"/>
      <c r="U15" s="905"/>
      <c r="V15" s="904"/>
      <c r="W15" s="905"/>
      <c r="X15" s="898"/>
      <c r="Y15" s="3030"/>
      <c r="Z15" s="833"/>
      <c r="AA15" s="915">
        <v>1</v>
      </c>
      <c r="AB15" s="915">
        <v>1</v>
      </c>
      <c r="AC15" s="915">
        <v>1</v>
      </c>
    </row>
    <row r="16" spans="1:29" ht="42.75">
      <c r="A16" s="744"/>
      <c r="B16" s="768" t="s">
        <v>213</v>
      </c>
      <c r="C16" s="769" t="str">
        <f>IF(B1="工业",估价对象房地状况!G5,估价对象房地状况!C7)</f>
        <v>估价对象所在区域公共配套设施齐备情况</v>
      </c>
      <c r="D16" s="767">
        <v>100</v>
      </c>
      <c r="E16" s="770"/>
      <c r="F16" s="1099">
        <f>SUMIF(63:63,E17,64:64)-SUMIF(63:63,C17,64:64)+100</f>
        <v>100</v>
      </c>
      <c r="G16" s="875"/>
      <c r="H16" s="771">
        <f>SUMIF(63:63,G17,64:64)-SUMIF(63:63,C17,64:64)+100</f>
        <v>100</v>
      </c>
      <c r="I16" s="770"/>
      <c r="J16" s="771">
        <f>SUMIF(63:63,I17,64:64)-SUMIF(63:63,C17,64:64)+100</f>
        <v>100</v>
      </c>
      <c r="K16" s="1140"/>
      <c r="L16" s="873"/>
      <c r="M16" s="861"/>
      <c r="N16" s="861"/>
      <c r="O16" s="872"/>
      <c r="P16" s="3030"/>
      <c r="Q16" s="492" t="str">
        <f>B16</f>
        <v>公共配套设施</v>
      </c>
      <c r="R16" s="904" t="s">
        <v>1254</v>
      </c>
      <c r="S16" s="905">
        <f>F16</f>
        <v>100</v>
      </c>
      <c r="T16" s="904" t="s">
        <v>1254</v>
      </c>
      <c r="U16" s="905">
        <f>H16</f>
        <v>100</v>
      </c>
      <c r="V16" s="904" t="s">
        <v>1254</v>
      </c>
      <c r="W16" s="905">
        <f>J16</f>
        <v>100</v>
      </c>
      <c r="X16" s="898"/>
      <c r="Y16" s="3030"/>
      <c r="Z16" s="833" t="str">
        <f>Q16</f>
        <v>公共配套设施</v>
      </c>
      <c r="AA16" s="915">
        <f t="shared" si="3"/>
        <v>1</v>
      </c>
      <c r="AB16" s="915">
        <f t="shared" si="4"/>
        <v>1</v>
      </c>
      <c r="AC16" s="915">
        <f t="shared" si="5"/>
        <v>1</v>
      </c>
    </row>
    <row r="17" spans="1:29" ht="15">
      <c r="A17" s="744"/>
      <c r="B17" s="772"/>
      <c r="C17" s="1100"/>
      <c r="D17" s="765"/>
      <c r="E17" s="764"/>
      <c r="F17" s="1098"/>
      <c r="G17" s="764"/>
      <c r="H17" s="765"/>
      <c r="I17" s="764"/>
      <c r="J17" s="765"/>
      <c r="K17" s="1141"/>
      <c r="L17" s="873"/>
      <c r="M17" s="861"/>
      <c r="N17" s="861"/>
      <c r="O17" s="872"/>
      <c r="P17" s="3030"/>
      <c r="Q17" s="492"/>
      <c r="R17" s="904"/>
      <c r="S17" s="905"/>
      <c r="T17" s="904"/>
      <c r="U17" s="905"/>
      <c r="V17" s="904"/>
      <c r="W17" s="905"/>
      <c r="X17" s="898"/>
      <c r="Y17" s="3030"/>
      <c r="Z17" s="833"/>
      <c r="AA17" s="915">
        <v>1</v>
      </c>
      <c r="AB17" s="915">
        <v>1</v>
      </c>
      <c r="AC17" s="915">
        <v>1</v>
      </c>
    </row>
    <row r="18" spans="1:29" ht="28.5">
      <c r="A18" s="744"/>
      <c r="B18" s="776" t="s">
        <v>214</v>
      </c>
      <c r="C18" s="769" t="str">
        <f>IF(B1="工业",估价对象房地状况!G6,估价对象房地状况!C8)</f>
        <v>估价对象所在区域基础设施水平</v>
      </c>
      <c r="D18" s="767">
        <v>100</v>
      </c>
      <c r="E18" s="770"/>
      <c r="F18" s="1099">
        <f>SUMIF(65:65,E19,66:66)-SUMIF(65:65,C19,66:66)+100</f>
        <v>100</v>
      </c>
      <c r="G18" s="875"/>
      <c r="H18" s="767">
        <f>SUMIF(65:65,G19,66:66)-SUMIF(65:65,C19,66:66)+100</f>
        <v>100</v>
      </c>
      <c r="I18" s="770"/>
      <c r="J18" s="767">
        <f>SUMIF(65:65,I19,66:66)-SUMIF(65:65,C19,66:66)+100</f>
        <v>100</v>
      </c>
      <c r="K18" s="1140"/>
      <c r="L18" s="873"/>
      <c r="M18" s="861"/>
      <c r="N18" s="861"/>
      <c r="O18" s="872"/>
      <c r="P18" s="3030"/>
      <c r="Q18" s="492" t="str">
        <f>B18</f>
        <v>基础设施水平</v>
      </c>
      <c r="R18" s="904" t="s">
        <v>1254</v>
      </c>
      <c r="S18" s="905">
        <f>F18</f>
        <v>100</v>
      </c>
      <c r="T18" s="904" t="s">
        <v>1254</v>
      </c>
      <c r="U18" s="905">
        <f>H18</f>
        <v>100</v>
      </c>
      <c r="V18" s="904" t="s">
        <v>1254</v>
      </c>
      <c r="W18" s="905">
        <f>J18</f>
        <v>100</v>
      </c>
      <c r="X18" s="898"/>
      <c r="Y18" s="3030"/>
      <c r="Z18" s="833" t="str">
        <f>Q18</f>
        <v>基础设施水平</v>
      </c>
      <c r="AA18" s="915">
        <f t="shared" ref="AA18" si="8">D18/F18</f>
        <v>1</v>
      </c>
      <c r="AB18" s="915">
        <f t="shared" ref="AB18" si="9">D18/H18</f>
        <v>1</v>
      </c>
      <c r="AC18" s="915">
        <f t="shared" ref="AC18" si="10">D18/J18</f>
        <v>1</v>
      </c>
    </row>
    <row r="19" spans="1:29" ht="15">
      <c r="A19" s="744"/>
      <c r="B19" s="776"/>
      <c r="C19" s="1100"/>
      <c r="D19" s="765"/>
      <c r="E19" s="1100"/>
      <c r="F19" s="1099"/>
      <c r="G19" s="1100"/>
      <c r="H19" s="765"/>
      <c r="I19" s="764"/>
      <c r="J19" s="765"/>
      <c r="K19" s="1142"/>
      <c r="L19" s="873"/>
      <c r="M19" s="861"/>
      <c r="N19" s="861"/>
      <c r="O19" s="872"/>
      <c r="P19" s="3030"/>
      <c r="Q19" s="492"/>
      <c r="R19" s="904"/>
      <c r="S19" s="905"/>
      <c r="T19" s="904"/>
      <c r="U19" s="905"/>
      <c r="V19" s="904"/>
      <c r="W19" s="905"/>
      <c r="X19" s="898"/>
      <c r="Y19" s="3030"/>
      <c r="Z19" s="833"/>
      <c r="AA19" s="915">
        <v>1</v>
      </c>
      <c r="AB19" s="915">
        <v>1</v>
      </c>
      <c r="AC19" s="915">
        <v>1</v>
      </c>
    </row>
    <row r="20" spans="1:29" ht="57">
      <c r="A20" s="744"/>
      <c r="B20" s="1101" t="s">
        <v>570</v>
      </c>
      <c r="C20" s="769" t="str">
        <f>IF(B1="工业",估价对象房地状况!G7,估价对象房地状况!C9)</f>
        <v>区域自然环境：；人文环境；综合评价环境状况一般</v>
      </c>
      <c r="D20" s="771">
        <v>100</v>
      </c>
      <c r="E20" s="1045"/>
      <c r="F20" s="1102">
        <f>SUMIF(67:67,E21,68:68)-SUMIF(67:67,C21,68:68)+100</f>
        <v>100</v>
      </c>
      <c r="G20" s="1062"/>
      <c r="H20" s="767">
        <f>SUMIF(67:67,G21,68:68)-SUMIF(67:67,C21,68:68)+100</f>
        <v>100</v>
      </c>
      <c r="I20" s="770"/>
      <c r="J20" s="767">
        <f>SUMIF(67:67,I21,68:68)-SUMIF(67:67,C21,68:68)+100</f>
        <v>100</v>
      </c>
      <c r="K20" s="1140"/>
      <c r="L20" s="873"/>
      <c r="M20" s="861"/>
      <c r="N20" s="861"/>
      <c r="O20" s="872"/>
      <c r="P20" s="3030"/>
      <c r="Q20" s="492" t="str">
        <f>B20</f>
        <v>自然及人文环境</v>
      </c>
      <c r="R20" s="904" t="s">
        <v>1254</v>
      </c>
      <c r="S20" s="905">
        <f>F20</f>
        <v>100</v>
      </c>
      <c r="T20" s="904" t="s">
        <v>1254</v>
      </c>
      <c r="U20" s="905">
        <f>H20</f>
        <v>100</v>
      </c>
      <c r="V20" s="904" t="s">
        <v>1254</v>
      </c>
      <c r="W20" s="905">
        <f>J20</f>
        <v>100</v>
      </c>
      <c r="X20" s="898"/>
      <c r="Y20" s="3030"/>
      <c r="Z20" s="833" t="str">
        <f>Q20</f>
        <v>自然及人文环境</v>
      </c>
      <c r="AA20" s="915">
        <f t="shared" si="3"/>
        <v>1</v>
      </c>
      <c r="AB20" s="915">
        <f t="shared" si="4"/>
        <v>1</v>
      </c>
      <c r="AC20" s="915">
        <f t="shared" si="5"/>
        <v>1</v>
      </c>
    </row>
    <row r="21" spans="1:29" ht="15">
      <c r="A21" s="744"/>
      <c r="B21" s="793"/>
      <c r="C21" s="764"/>
      <c r="D21" s="765"/>
      <c r="E21" s="764"/>
      <c r="F21" s="1098"/>
      <c r="G21" s="764"/>
      <c r="H21" s="765"/>
      <c r="I21" s="764"/>
      <c r="J21" s="765"/>
      <c r="K21" s="1141"/>
      <c r="L21" s="873"/>
      <c r="M21" s="861"/>
      <c r="N21" s="861"/>
      <c r="O21" s="872"/>
      <c r="P21" s="3030"/>
      <c r="Q21" s="492"/>
      <c r="R21" s="904"/>
      <c r="S21" s="905"/>
      <c r="T21" s="904"/>
      <c r="U21" s="905"/>
      <c r="V21" s="904"/>
      <c r="W21" s="905"/>
      <c r="X21" s="898"/>
      <c r="Y21" s="3030"/>
      <c r="Z21" s="833"/>
      <c r="AA21" s="915">
        <v>1</v>
      </c>
      <c r="AB21" s="915">
        <v>1</v>
      </c>
      <c r="AC21" s="915">
        <v>1</v>
      </c>
    </row>
    <row r="22" spans="1:29" ht="15">
      <c r="A22" s="744"/>
      <c r="B22" s="1101" t="s">
        <v>1272</v>
      </c>
      <c r="C22" s="778"/>
      <c r="D22" s="767">
        <v>100</v>
      </c>
      <c r="E22" s="778"/>
      <c r="F22" s="1103">
        <f>SUMIF(69:69,E22,70:70)-SUMIF(69:69,C22,70:70)+100</f>
        <v>100</v>
      </c>
      <c r="G22" s="778"/>
      <c r="H22" s="753">
        <f>SUMIF(69:69,G22,70:70)-SUMIF(69:69,C22,70:70)+100</f>
        <v>100</v>
      </c>
      <c r="I22" s="778"/>
      <c r="J22" s="753">
        <f>SUMIF(69:69,I22,70:70)-SUMIF(69:69,C22,70:70)+100</f>
        <v>100</v>
      </c>
      <c r="K22" s="879"/>
      <c r="L22" s="873"/>
      <c r="M22" s="861"/>
      <c r="N22" s="861"/>
      <c r="O22" s="872"/>
      <c r="P22" s="3030"/>
      <c r="Q22" s="492" t="str">
        <f>B22</f>
        <v>楼层</v>
      </c>
      <c r="R22" s="904" t="s">
        <v>1254</v>
      </c>
      <c r="S22" s="905">
        <f>F22</f>
        <v>100</v>
      </c>
      <c r="T22" s="904" t="s">
        <v>1254</v>
      </c>
      <c r="U22" s="905">
        <f>H22</f>
        <v>100</v>
      </c>
      <c r="V22" s="904" t="s">
        <v>1254</v>
      </c>
      <c r="W22" s="905">
        <f>J22</f>
        <v>100</v>
      </c>
      <c r="X22" s="898"/>
      <c r="Y22" s="3030"/>
      <c r="Z22" s="833" t="str">
        <f>Q22</f>
        <v>楼层</v>
      </c>
      <c r="AA22" s="915">
        <f t="shared" si="3"/>
        <v>1</v>
      </c>
      <c r="AB22" s="915">
        <f t="shared" si="4"/>
        <v>1</v>
      </c>
      <c r="AC22" s="915">
        <f t="shared" si="5"/>
        <v>1</v>
      </c>
    </row>
    <row r="23" spans="1:29" ht="15">
      <c r="A23" s="724"/>
      <c r="B23" s="748">
        <v>111</v>
      </c>
      <c r="C23" s="742"/>
      <c r="D23" s="753">
        <v>100</v>
      </c>
      <c r="E23" s="752"/>
      <c r="F23" s="1103">
        <f>SUMIF(71:71,E23,72:72)-SUMIF(71:71,C23,72:72)+100</f>
        <v>100</v>
      </c>
      <c r="G23" s="752"/>
      <c r="H23" s="753">
        <f>SUMIF(71:71,G23,72:72)-SUMIF(71:71,C23,72:72)+100</f>
        <v>100</v>
      </c>
      <c r="I23" s="752"/>
      <c r="J23" s="753">
        <f>SUMIF(71:71,I23,72:72)-SUMIF(71:71,C23,72:72)+100</f>
        <v>100</v>
      </c>
      <c r="K23" s="878"/>
      <c r="L23" s="873"/>
      <c r="M23" s="861"/>
      <c r="N23" s="861"/>
      <c r="O23" s="872"/>
      <c r="P23" s="3030"/>
      <c r="Q23" s="492">
        <f>B23</f>
        <v>111</v>
      </c>
      <c r="R23" s="904" t="s">
        <v>1254</v>
      </c>
      <c r="S23" s="905">
        <f>F23</f>
        <v>100</v>
      </c>
      <c r="T23" s="904" t="s">
        <v>1254</v>
      </c>
      <c r="U23" s="905">
        <f>H23</f>
        <v>100</v>
      </c>
      <c r="V23" s="904" t="s">
        <v>1254</v>
      </c>
      <c r="W23" s="905">
        <f>J23</f>
        <v>100</v>
      </c>
      <c r="X23" s="898"/>
      <c r="Y23" s="3030"/>
      <c r="Z23" s="833">
        <f>Q23</f>
        <v>111</v>
      </c>
      <c r="AA23" s="915">
        <f t="shared" si="3"/>
        <v>1</v>
      </c>
      <c r="AB23" s="915">
        <f t="shared" si="4"/>
        <v>1</v>
      </c>
      <c r="AC23" s="915">
        <f t="shared" si="5"/>
        <v>1</v>
      </c>
    </row>
    <row r="24" spans="1:29" ht="15">
      <c r="A24" s="744"/>
      <c r="B24" s="748">
        <v>111</v>
      </c>
      <c r="C24" s="742"/>
      <c r="D24" s="753">
        <v>100</v>
      </c>
      <c r="E24" s="752"/>
      <c r="F24" s="1103">
        <f>SUMIF(73:73,E24,74:74)-SUMIF(73:73,C24,74:74)+100</f>
        <v>100</v>
      </c>
      <c r="G24" s="752"/>
      <c r="H24" s="753">
        <f>SUMIF(73:73,G24,74:74)-SUMIF(73:73,C24,74:74)+100</f>
        <v>100</v>
      </c>
      <c r="I24" s="752"/>
      <c r="J24" s="753">
        <f>SUMIF(73:73,I24,74:74)-SUMIF(73:73,C24,74:74)+100</f>
        <v>100</v>
      </c>
      <c r="K24" s="878"/>
      <c r="L24" s="873"/>
      <c r="M24" s="861"/>
      <c r="N24" s="861"/>
      <c r="O24" s="872"/>
      <c r="P24" s="3030"/>
      <c r="Q24" s="492">
        <f t="shared" ref="Q24:Q34" si="11">B24</f>
        <v>111</v>
      </c>
      <c r="R24" s="904" t="s">
        <v>1254</v>
      </c>
      <c r="S24" s="905">
        <f>F24</f>
        <v>100</v>
      </c>
      <c r="T24" s="904" t="s">
        <v>1254</v>
      </c>
      <c r="U24" s="905">
        <f>H24</f>
        <v>100</v>
      </c>
      <c r="V24" s="904" t="s">
        <v>1254</v>
      </c>
      <c r="W24" s="905">
        <f>J24</f>
        <v>100</v>
      </c>
      <c r="X24" s="898"/>
      <c r="Y24" s="3030"/>
      <c r="Z24" s="833">
        <f>Q24</f>
        <v>111</v>
      </c>
      <c r="AA24" s="915">
        <f t="shared" si="3"/>
        <v>1</v>
      </c>
      <c r="AB24" s="915">
        <f t="shared" si="4"/>
        <v>1</v>
      </c>
      <c r="AC24" s="915">
        <f t="shared" si="5"/>
        <v>1</v>
      </c>
    </row>
    <row r="25" spans="1:29" s="703" customFormat="1" ht="15">
      <c r="A25" s="747"/>
      <c r="B25" s="748">
        <v>111</v>
      </c>
      <c r="C25" s="1104"/>
      <c r="D25" s="1105">
        <v>100</v>
      </c>
      <c r="E25" s="1104"/>
      <c r="F25" s="1106">
        <f>SUMIF(75:75,E25,76:76)-SUMIF(75:75,C25,76:76)+100</f>
        <v>100</v>
      </c>
      <c r="G25" s="1104"/>
      <c r="H25" s="1105">
        <f>SUMIF(75:75,G25,76:76)-SUMIF(75:75,C25,76:76)+100</f>
        <v>100</v>
      </c>
      <c r="I25" s="1104"/>
      <c r="J25" s="1105">
        <f>SUMIF(75:75,I25,76:76)-SUMIF(75:75,C25,76:76)+100</f>
        <v>100</v>
      </c>
      <c r="K25" s="878"/>
      <c r="L25" s="863"/>
      <c r="M25" s="864"/>
      <c r="N25" s="864"/>
      <c r="O25" s="865"/>
      <c r="P25" s="3030"/>
      <c r="Q25" s="903">
        <f t="shared" si="11"/>
        <v>111</v>
      </c>
      <c r="R25" s="900" t="s">
        <v>1254</v>
      </c>
      <c r="S25" s="901">
        <f>F25</f>
        <v>100</v>
      </c>
      <c r="T25" s="900" t="s">
        <v>1254</v>
      </c>
      <c r="U25" s="901">
        <f>H25</f>
        <v>100</v>
      </c>
      <c r="V25" s="900" t="s">
        <v>1254</v>
      </c>
      <c r="W25" s="901">
        <f>J25</f>
        <v>100</v>
      </c>
      <c r="X25" s="902"/>
      <c r="Y25" s="3030"/>
      <c r="Z25" s="914">
        <f>Q25</f>
        <v>111</v>
      </c>
      <c r="AA25" s="915">
        <f t="shared" si="3"/>
        <v>1</v>
      </c>
      <c r="AB25" s="915">
        <f t="shared" si="4"/>
        <v>1</v>
      </c>
      <c r="AC25" s="915">
        <f t="shared" si="5"/>
        <v>1</v>
      </c>
    </row>
    <row r="26" spans="1:29" ht="28.5">
      <c r="A26" s="1107" t="s">
        <v>1276</v>
      </c>
      <c r="B26" s="737" t="s">
        <v>1282</v>
      </c>
      <c r="C26" s="1108"/>
      <c r="D26" s="795">
        <v>100</v>
      </c>
      <c r="E26" s="1108"/>
      <c r="F26" s="1109">
        <f>SUMIF(77:77,E26,78:78)-SUMIF(77:77,C26,78:78)+100</f>
        <v>100</v>
      </c>
      <c r="G26" s="1108"/>
      <c r="H26" s="795">
        <f>SUMIF(77:77,G26,78:78)-SUMIF(77:77,C26,78:78)+100</f>
        <v>100</v>
      </c>
      <c r="I26" s="1108"/>
      <c r="J26" s="795">
        <f>SUMIF(77:77,I26,78:78)-SUMIF(77:77,C26,78:78)+100</f>
        <v>100</v>
      </c>
      <c r="K26" s="879"/>
      <c r="L26" s="873"/>
      <c r="M26" s="861"/>
      <c r="N26" s="861"/>
      <c r="O26" s="872"/>
      <c r="P26" s="3068" t="s">
        <v>1279</v>
      </c>
      <c r="Q26" s="492" t="str">
        <f t="shared" si="11"/>
        <v>公共部分装修</v>
      </c>
      <c r="R26" s="904" t="s">
        <v>1254</v>
      </c>
      <c r="S26" s="905">
        <f t="shared" ref="S26:S34" si="12">F26</f>
        <v>100</v>
      </c>
      <c r="T26" s="904" t="s">
        <v>1254</v>
      </c>
      <c r="U26" s="905">
        <f t="shared" ref="U26:U34" si="13">H26</f>
        <v>100</v>
      </c>
      <c r="V26" s="904" t="s">
        <v>1254</v>
      </c>
      <c r="W26" s="905">
        <f t="shared" ref="W26:W34" si="14">J26</f>
        <v>100</v>
      </c>
      <c r="X26" s="898"/>
      <c r="Y26" s="3031" t="s">
        <v>1279</v>
      </c>
      <c r="Z26" s="833" t="str">
        <f t="shared" ref="Z26:Z34" si="15">Q26</f>
        <v>公共部分装修</v>
      </c>
      <c r="AA26" s="915">
        <f t="shared" si="3"/>
        <v>1</v>
      </c>
      <c r="AB26" s="915">
        <f t="shared" si="4"/>
        <v>1</v>
      </c>
      <c r="AC26" s="915">
        <f t="shared" si="5"/>
        <v>1</v>
      </c>
    </row>
    <row r="27" spans="1:29" s="705" customFormat="1" ht="15">
      <c r="A27" s="800"/>
      <c r="B27" s="741" t="s">
        <v>1420</v>
      </c>
      <c r="C27" s="1110"/>
      <c r="D27" s="743">
        <v>100</v>
      </c>
      <c r="E27" s="1111"/>
      <c r="F27" s="1103" t="e">
        <f>LOOKUP(E27,80:80,81:81)-LOOKUP(C27,80:80,81:81)+100</f>
        <v>#N/A</v>
      </c>
      <c r="G27" s="1112"/>
      <c r="H27" s="753" t="e">
        <f>LOOKUP(G27,80:80,81:81)-LOOKUP(C27,80:80,81:81)+100</f>
        <v>#N/A</v>
      </c>
      <c r="I27" s="1112"/>
      <c r="J27" s="753" t="e">
        <f>LOOKUP(I27,80:80,81:81)-LOOKUP(C27,80:80,81:81)+100</f>
        <v>#N/A</v>
      </c>
      <c r="K27" s="879"/>
      <c r="L27" s="871"/>
      <c r="M27" s="880"/>
      <c r="N27" s="880"/>
      <c r="O27" s="881"/>
      <c r="P27" s="3031"/>
      <c r="Q27" s="1147" t="str">
        <f t="shared" si="11"/>
        <v>成新率</v>
      </c>
      <c r="R27" s="906" t="s">
        <v>1254</v>
      </c>
      <c r="S27" s="907" t="e">
        <f t="shared" si="12"/>
        <v>#N/A</v>
      </c>
      <c r="T27" s="906" t="s">
        <v>1254</v>
      </c>
      <c r="U27" s="907" t="e">
        <f t="shared" si="13"/>
        <v>#N/A</v>
      </c>
      <c r="V27" s="906" t="s">
        <v>1254</v>
      </c>
      <c r="W27" s="907" t="e">
        <f t="shared" si="14"/>
        <v>#N/A</v>
      </c>
      <c r="X27" s="908"/>
      <c r="Y27" s="3031"/>
      <c r="Z27" s="916" t="str">
        <f t="shared" si="15"/>
        <v>成新率</v>
      </c>
      <c r="AA27" s="915" t="e">
        <f t="shared" si="3"/>
        <v>#N/A</v>
      </c>
      <c r="AB27" s="915" t="e">
        <f t="shared" si="4"/>
        <v>#N/A</v>
      </c>
      <c r="AC27" s="915" t="e">
        <f t="shared" si="5"/>
        <v>#N/A</v>
      </c>
    </row>
    <row r="28" spans="1:29" ht="15">
      <c r="A28" s="792"/>
      <c r="B28" s="741" t="s">
        <v>1421</v>
      </c>
      <c r="C28" s="1113"/>
      <c r="D28" s="753">
        <v>100</v>
      </c>
      <c r="E28" s="1113"/>
      <c r="F28" s="1103">
        <f>SUMIF(82:82,E28,83:83)-SUMIF(82:82,C28,83:83)+100</f>
        <v>100</v>
      </c>
      <c r="G28" s="1113"/>
      <c r="H28" s="753">
        <f>SUMIF(82:82,G28,83:83)-SUMIF(82:82,C28,83:83)+100</f>
        <v>100</v>
      </c>
      <c r="I28" s="1113"/>
      <c r="J28" s="753">
        <f>SUMIF(82:82,I28,83:83)-SUMIF(82:82,C28,83:83)+100</f>
        <v>100</v>
      </c>
      <c r="K28" s="879"/>
      <c r="L28" s="873"/>
      <c r="M28" s="861"/>
      <c r="N28" s="861"/>
      <c r="O28" s="872"/>
      <c r="P28" s="3031"/>
      <c r="Q28" s="492" t="str">
        <f t="shared" si="11"/>
        <v>物业等级</v>
      </c>
      <c r="R28" s="904" t="s">
        <v>1254</v>
      </c>
      <c r="S28" s="905">
        <f t="shared" si="12"/>
        <v>100</v>
      </c>
      <c r="T28" s="904" t="s">
        <v>1254</v>
      </c>
      <c r="U28" s="905">
        <f t="shared" si="13"/>
        <v>100</v>
      </c>
      <c r="V28" s="904" t="s">
        <v>1254</v>
      </c>
      <c r="W28" s="905">
        <f t="shared" si="14"/>
        <v>100</v>
      </c>
      <c r="X28" s="898"/>
      <c r="Y28" s="3031"/>
      <c r="Z28" s="833" t="str">
        <f t="shared" si="15"/>
        <v>物业等级</v>
      </c>
      <c r="AA28" s="915">
        <f t="shared" si="3"/>
        <v>1</v>
      </c>
      <c r="AB28" s="915">
        <f t="shared" si="4"/>
        <v>1</v>
      </c>
      <c r="AC28" s="915">
        <f t="shared" si="5"/>
        <v>1</v>
      </c>
    </row>
    <row r="29" spans="1:29" ht="15">
      <c r="A29" s="792"/>
      <c r="B29" s="741" t="s">
        <v>1429</v>
      </c>
      <c r="C29" s="1114"/>
      <c r="D29" s="753">
        <v>100</v>
      </c>
      <c r="E29" s="1114"/>
      <c r="F29" s="1103">
        <f>SUMIF(84:84,E29,85:85)-SUMIF(84:84,C29,85:85)+100</f>
        <v>100</v>
      </c>
      <c r="G29" s="1114"/>
      <c r="H29" s="753">
        <f>SUMIF(84:84,G29,85:85)-SUMIF(84:84,C29,85:85)+100</f>
        <v>100</v>
      </c>
      <c r="I29" s="1114"/>
      <c r="J29" s="753">
        <f>SUMIF(84:84,I29,85:85)-SUMIF(84:84,C29,85:85)+100</f>
        <v>100</v>
      </c>
      <c r="K29" s="879"/>
      <c r="L29" s="873"/>
      <c r="M29" s="861"/>
      <c r="N29" s="861"/>
      <c r="O29" s="872"/>
      <c r="P29" s="3031"/>
      <c r="Q29" s="492" t="str">
        <f t="shared" si="11"/>
        <v>有无电梯</v>
      </c>
      <c r="R29" s="904" t="s">
        <v>1254</v>
      </c>
      <c r="S29" s="905">
        <f t="shared" si="12"/>
        <v>100</v>
      </c>
      <c r="T29" s="904" t="s">
        <v>1254</v>
      </c>
      <c r="U29" s="905">
        <f t="shared" si="13"/>
        <v>100</v>
      </c>
      <c r="V29" s="904" t="s">
        <v>1254</v>
      </c>
      <c r="W29" s="905">
        <f t="shared" si="14"/>
        <v>100</v>
      </c>
      <c r="X29" s="898"/>
      <c r="Y29" s="3031"/>
      <c r="Z29" s="833" t="str">
        <f t="shared" si="15"/>
        <v>有无电梯</v>
      </c>
      <c r="AA29" s="915">
        <f t="shared" si="3"/>
        <v>1</v>
      </c>
      <c r="AB29" s="915">
        <f t="shared" si="4"/>
        <v>1</v>
      </c>
      <c r="AC29" s="915">
        <f t="shared" si="5"/>
        <v>1</v>
      </c>
    </row>
    <row r="30" spans="1:29" ht="15">
      <c r="A30" s="792"/>
      <c r="B30" s="741" t="s">
        <v>804</v>
      </c>
      <c r="C30" s="1094"/>
      <c r="D30" s="753">
        <v>100</v>
      </c>
      <c r="E30" s="1094"/>
      <c r="F30" s="1103" t="e">
        <f>LOOKUP(E30,87:87,88:88)-LOOKUP(C30,87:87,88:88)+100</f>
        <v>#N/A</v>
      </c>
      <c r="G30" s="1094"/>
      <c r="H30" s="753" t="e">
        <f>LOOKUP(G30,87:87,88:88)-LOOKUP(C30,87:87,88:88)+100</f>
        <v>#N/A</v>
      </c>
      <c r="I30" s="1094"/>
      <c r="J30" s="753" t="e">
        <f>LOOKUP(I30,87:87,88:88)-LOOKUP(C30,87:87,88:88)+100</f>
        <v>#N/A</v>
      </c>
      <c r="K30" s="878"/>
      <c r="L30" s="873"/>
      <c r="M30" s="861"/>
      <c r="N30" s="861"/>
      <c r="O30" s="872"/>
      <c r="P30" s="3031"/>
      <c r="Q30" s="492" t="str">
        <f t="shared" si="11"/>
        <v>建筑面积</v>
      </c>
      <c r="R30" s="904" t="s">
        <v>1254</v>
      </c>
      <c r="S30" s="905" t="e">
        <f t="shared" si="12"/>
        <v>#N/A</v>
      </c>
      <c r="T30" s="904" t="s">
        <v>1254</v>
      </c>
      <c r="U30" s="905" t="e">
        <f t="shared" si="13"/>
        <v>#N/A</v>
      </c>
      <c r="V30" s="904" t="s">
        <v>1254</v>
      </c>
      <c r="W30" s="905" t="e">
        <f t="shared" si="14"/>
        <v>#N/A</v>
      </c>
      <c r="X30" s="898"/>
      <c r="Y30" s="3031"/>
      <c r="Z30" s="833" t="str">
        <f t="shared" si="15"/>
        <v>建筑面积</v>
      </c>
      <c r="AA30" s="915" t="e">
        <f t="shared" si="3"/>
        <v>#N/A</v>
      </c>
      <c r="AB30" s="915" t="e">
        <f t="shared" si="4"/>
        <v>#N/A</v>
      </c>
      <c r="AC30" s="915" t="e">
        <f t="shared" si="5"/>
        <v>#N/A</v>
      </c>
    </row>
    <row r="31" spans="1:29" s="703" customFormat="1" ht="15">
      <c r="A31" s="797"/>
      <c r="B31" s="741" t="s">
        <v>1430</v>
      </c>
      <c r="C31" s="1114"/>
      <c r="D31" s="743">
        <v>100</v>
      </c>
      <c r="E31" s="1114"/>
      <c r="F31" s="1103">
        <f>SUMIF(89:89,E31,90:90)-SUMIF(89:89,C31,90:90)+100</f>
        <v>100</v>
      </c>
      <c r="G31" s="1114"/>
      <c r="H31" s="753">
        <f>SUMIF(89:89,G31,90:90)-SUMIF(89:89,C31,90:90)+100</f>
        <v>100</v>
      </c>
      <c r="I31" s="1114"/>
      <c r="J31" s="753">
        <f>SUMIF(89:89,I31,90:90)-SUMIF(89:89,C31,90:90)+100</f>
        <v>100</v>
      </c>
      <c r="K31" s="879"/>
      <c r="L31" s="863"/>
      <c r="M31" s="864"/>
      <c r="N31" s="864"/>
      <c r="O31" s="865"/>
      <c r="P31" s="3031"/>
      <c r="Q31" s="903" t="str">
        <f t="shared" si="11"/>
        <v>是否封闭</v>
      </c>
      <c r="R31" s="900" t="s">
        <v>1254</v>
      </c>
      <c r="S31" s="901">
        <f t="shared" si="12"/>
        <v>100</v>
      </c>
      <c r="T31" s="900" t="s">
        <v>1254</v>
      </c>
      <c r="U31" s="901">
        <f t="shared" si="13"/>
        <v>100</v>
      </c>
      <c r="V31" s="900" t="s">
        <v>1254</v>
      </c>
      <c r="W31" s="901">
        <f t="shared" si="14"/>
        <v>100</v>
      </c>
      <c r="X31" s="902"/>
      <c r="Y31" s="3031"/>
      <c r="Z31" s="914" t="str">
        <f t="shared" si="15"/>
        <v>是否封闭</v>
      </c>
      <c r="AA31" s="913">
        <f t="shared" si="3"/>
        <v>1</v>
      </c>
      <c r="AB31" s="913">
        <f t="shared" si="4"/>
        <v>1</v>
      </c>
      <c r="AC31" s="913">
        <f t="shared" si="5"/>
        <v>1</v>
      </c>
    </row>
    <row r="32" spans="1:29" ht="15">
      <c r="A32" s="792"/>
      <c r="B32" s="748">
        <v>111</v>
      </c>
      <c r="C32" s="742"/>
      <c r="D32" s="753">
        <v>100</v>
      </c>
      <c r="E32" s="1094"/>
      <c r="F32" s="1103">
        <f>SUMIF(91:91,E32,92:92)-SUMIF(91:91,C32,92:92)+100</f>
        <v>100</v>
      </c>
      <c r="G32" s="1094"/>
      <c r="H32" s="753">
        <f>SUMIF(91:91,G32,92:92)-SUMIF(91:91,C32,92:92)+100</f>
        <v>100</v>
      </c>
      <c r="I32" s="1094"/>
      <c r="J32" s="753">
        <f>SUMIF(91:91,I32,92:92)-SUMIF(91:91,C32,92:92)+100</f>
        <v>100</v>
      </c>
      <c r="K32" s="878"/>
      <c r="L32" s="873"/>
      <c r="M32" s="861"/>
      <c r="N32" s="861"/>
      <c r="O32" s="872"/>
      <c r="P32" s="3031" t="s">
        <v>1279</v>
      </c>
      <c r="Q32" s="492">
        <f t="shared" si="11"/>
        <v>111</v>
      </c>
      <c r="R32" s="904" t="s">
        <v>1254</v>
      </c>
      <c r="S32" s="905">
        <f t="shared" si="12"/>
        <v>100</v>
      </c>
      <c r="T32" s="904" t="s">
        <v>1254</v>
      </c>
      <c r="U32" s="905">
        <f t="shared" si="13"/>
        <v>100</v>
      </c>
      <c r="V32" s="904" t="s">
        <v>1254</v>
      </c>
      <c r="W32" s="905">
        <f t="shared" si="14"/>
        <v>100</v>
      </c>
      <c r="X32" s="898"/>
      <c r="Y32" s="3031" t="s">
        <v>1279</v>
      </c>
      <c r="Z32" s="833">
        <f t="shared" si="15"/>
        <v>111</v>
      </c>
      <c r="AA32" s="915">
        <f t="shared" si="3"/>
        <v>1</v>
      </c>
      <c r="AB32" s="915">
        <f t="shared" si="4"/>
        <v>1</v>
      </c>
      <c r="AC32" s="915">
        <f t="shared" si="5"/>
        <v>1</v>
      </c>
    </row>
    <row r="33" spans="1:29" ht="15">
      <c r="A33" s="792"/>
      <c r="B33" s="748">
        <v>111</v>
      </c>
      <c r="C33" s="742"/>
      <c r="D33" s="753">
        <v>100</v>
      </c>
      <c r="E33" s="1094"/>
      <c r="F33" s="1103">
        <f>SUMIF(93:93,E33,94:94)-SUMIF(93:93,C33,94:94)+100</f>
        <v>100</v>
      </c>
      <c r="G33" s="1094"/>
      <c r="H33" s="753">
        <f>SUMIF(93:93,G33,94:94)-SUMIF(93:93,C33,94:94)+100</f>
        <v>100</v>
      </c>
      <c r="I33" s="1094"/>
      <c r="J33" s="753">
        <f>SUMIF(93:93,I33,94:94)-SUMIF(93:93,C33,94:94)+100</f>
        <v>100</v>
      </c>
      <c r="K33" s="878"/>
      <c r="L33" s="873"/>
      <c r="M33" s="861"/>
      <c r="N33" s="861"/>
      <c r="O33" s="872"/>
      <c r="P33" s="3031"/>
      <c r="Q33" s="492">
        <f t="shared" si="11"/>
        <v>111</v>
      </c>
      <c r="R33" s="904" t="s">
        <v>1254</v>
      </c>
      <c r="S33" s="905">
        <f t="shared" si="12"/>
        <v>100</v>
      </c>
      <c r="T33" s="904" t="s">
        <v>1254</v>
      </c>
      <c r="U33" s="905">
        <f t="shared" si="13"/>
        <v>100</v>
      </c>
      <c r="V33" s="904" t="s">
        <v>1254</v>
      </c>
      <c r="W33" s="905">
        <f t="shared" si="14"/>
        <v>100</v>
      </c>
      <c r="X33" s="898"/>
      <c r="Y33" s="3031"/>
      <c r="Z33" s="833">
        <f t="shared" si="15"/>
        <v>111</v>
      </c>
      <c r="AA33" s="915">
        <f t="shared" si="3"/>
        <v>1</v>
      </c>
      <c r="AB33" s="915">
        <f t="shared" si="4"/>
        <v>1</v>
      </c>
      <c r="AC33" s="915">
        <f t="shared" si="5"/>
        <v>1</v>
      </c>
    </row>
    <row r="34" spans="1:29" ht="15">
      <c r="A34" s="1115"/>
      <c r="B34" s="755">
        <v>111</v>
      </c>
      <c r="C34" s="756"/>
      <c r="D34" s="757">
        <v>100</v>
      </c>
      <c r="E34" s="1116"/>
      <c r="F34" s="1117">
        <f>SUMIF(95:95,E34,96:96)-SUMIF(95:95,C34,96:96)+100</f>
        <v>100</v>
      </c>
      <c r="G34" s="1116"/>
      <c r="H34" s="757">
        <f>SUMIF(95:95,G34,96:96)-SUMIF(95:95,C34,96:96)+100</f>
        <v>100</v>
      </c>
      <c r="I34" s="1116"/>
      <c r="J34" s="757">
        <f>SUMIF(95:95,I34,96:96)-SUMIF(95:95,C34,96:96)+100</f>
        <v>100</v>
      </c>
      <c r="K34" s="878"/>
      <c r="L34" s="873"/>
      <c r="M34" s="861"/>
      <c r="N34" s="861"/>
      <c r="O34" s="872"/>
      <c r="P34" s="3031"/>
      <c r="Q34" s="492">
        <f t="shared" si="11"/>
        <v>111</v>
      </c>
      <c r="R34" s="904" t="s">
        <v>1254</v>
      </c>
      <c r="S34" s="905">
        <f t="shared" si="12"/>
        <v>100</v>
      </c>
      <c r="T34" s="904" t="s">
        <v>1254</v>
      </c>
      <c r="U34" s="905">
        <f t="shared" si="13"/>
        <v>100</v>
      </c>
      <c r="V34" s="904" t="s">
        <v>1254</v>
      </c>
      <c r="W34" s="905">
        <f t="shared" si="14"/>
        <v>100</v>
      </c>
      <c r="X34" s="898"/>
      <c r="Y34" s="3031"/>
      <c r="Z34" s="833">
        <f t="shared" si="15"/>
        <v>111</v>
      </c>
      <c r="AA34" s="915">
        <f t="shared" si="3"/>
        <v>1</v>
      </c>
      <c r="AB34" s="915">
        <f t="shared" si="4"/>
        <v>1</v>
      </c>
      <c r="AC34" s="915">
        <f t="shared" si="5"/>
        <v>1</v>
      </c>
    </row>
    <row r="35" spans="1:29" ht="15">
      <c r="A35" s="802" t="s">
        <v>1294</v>
      </c>
      <c r="B35" s="1118"/>
      <c r="C35" s="1119" t="s">
        <v>121</v>
      </c>
      <c r="D35" s="1120"/>
      <c r="E35" s="1121"/>
      <c r="F35" s="1122"/>
      <c r="G35" s="1123"/>
      <c r="H35" s="1124"/>
      <c r="I35" s="1121"/>
      <c r="J35" s="1124"/>
      <c r="K35" s="884"/>
      <c r="L35" s="885"/>
      <c r="M35" s="819"/>
      <c r="N35" s="861"/>
      <c r="O35" s="819"/>
      <c r="P35" s="3022" t="str">
        <f>A35</f>
        <v>成交单价（元/平方米）</v>
      </c>
      <c r="Q35" s="3022"/>
      <c r="R35" s="3023">
        <f>E35</f>
        <v>0</v>
      </c>
      <c r="S35" s="3023"/>
      <c r="T35" s="3023">
        <f>G35</f>
        <v>0</v>
      </c>
      <c r="U35" s="3023"/>
      <c r="V35" s="3023">
        <f>I35</f>
        <v>0</v>
      </c>
      <c r="W35" s="3023"/>
      <c r="X35" s="849"/>
      <c r="Y35" s="917"/>
      <c r="Z35" s="849"/>
      <c r="AA35" s="849"/>
      <c r="AB35" s="849"/>
      <c r="AC35" s="849"/>
    </row>
    <row r="36" spans="1:29" ht="15">
      <c r="A36" s="810" t="s">
        <v>1295</v>
      </c>
      <c r="B36" s="1125"/>
      <c r="C36" s="1126" t="e">
        <f>R37</f>
        <v>#DIV/0!</v>
      </c>
      <c r="D36" s="1127"/>
      <c r="E36" s="1128" t="e">
        <f>R36</f>
        <v>#DIV/0!</v>
      </c>
      <c r="F36" s="1128"/>
      <c r="G36" s="1126" t="e">
        <f>T36</f>
        <v>#DIV/0!</v>
      </c>
      <c r="H36" s="1127"/>
      <c r="I36" s="1128" t="e">
        <f>V36</f>
        <v>#DIV/0!</v>
      </c>
      <c r="J36" s="1127"/>
      <c r="K36" s="886"/>
      <c r="L36" s="885"/>
      <c r="M36" s="819"/>
      <c r="N36" s="861"/>
      <c r="O36" s="819"/>
      <c r="P36" s="3022" t="str">
        <f>A36</f>
        <v>比较价值（元/平方米）</v>
      </c>
      <c r="Q36" s="3022"/>
      <c r="R36" s="3023" t="e">
        <f>IF(E1="售价",ROUND(PRODUCT(R35,AA7:AA34),0),ROUND(PRODUCT(R35,AA7:AA34),1))</f>
        <v>#DIV/0!</v>
      </c>
      <c r="S36" s="3023"/>
      <c r="T36" s="3023" t="e">
        <f>IF(E1="售价",ROUND(PRODUCT(T35,AB7:AB34),0),ROUND(PRODUCT(T35,AB7:AB34),1))</f>
        <v>#DIV/0!</v>
      </c>
      <c r="U36" s="3023"/>
      <c r="V36" s="3023" t="e">
        <f>IF(E1="售价",ROUND(PRODUCT(V35,AC7:AC34),0),ROUND(PRODUCT(V35,AC7:AC34),1))</f>
        <v>#DIV/0!</v>
      </c>
      <c r="W36" s="3023"/>
      <c r="X36" s="849"/>
      <c r="Y36" s="849"/>
      <c r="Z36" s="849"/>
      <c r="AA36" s="849"/>
      <c r="AB36" s="849"/>
      <c r="AC36" s="849"/>
    </row>
    <row r="37" spans="1:29" ht="15">
      <c r="A37" s="816" t="s">
        <v>1296</v>
      </c>
      <c r="B37" s="817"/>
      <c r="C37" s="1129" t="e">
        <f>R37</f>
        <v>#DIV/0!</v>
      </c>
      <c r="D37" s="1129"/>
      <c r="E37" s="1129"/>
      <c r="F37" s="1129"/>
      <c r="G37" s="1129"/>
      <c r="H37" s="1129"/>
      <c r="I37" s="1129"/>
      <c r="J37" s="1129"/>
      <c r="K37" s="887"/>
      <c r="L37" s="885"/>
      <c r="M37" s="819"/>
      <c r="N37" s="819"/>
      <c r="O37" s="819"/>
      <c r="P37" s="3064" t="str">
        <f>A37</f>
        <v>估价对象XX用房的比较价值（楼面单价，元/平方米）</v>
      </c>
      <c r="Q37" s="3021"/>
      <c r="R37" s="3034" t="e">
        <f>IF(E1="售价",ROUND(AVERAGE(R36:V36),0),ROUND(AVERAGE(R36:V36),1))</f>
        <v>#DIV/0!</v>
      </c>
      <c r="S37" s="3034"/>
      <c r="T37" s="3034"/>
      <c r="U37" s="3034"/>
      <c r="V37" s="3034"/>
      <c r="W37" s="3034"/>
      <c r="X37" s="849"/>
      <c r="Y37" s="849"/>
      <c r="Z37" s="849"/>
      <c r="AA37" s="849"/>
      <c r="AB37" s="849"/>
      <c r="AC37" s="849"/>
    </row>
    <row r="38" spans="1:29">
      <c r="A38" s="819"/>
      <c r="B38" s="819"/>
      <c r="C38" s="819"/>
      <c r="D38" s="819"/>
      <c r="E38" s="819"/>
      <c r="F38" s="819"/>
      <c r="G38" s="820"/>
      <c r="H38" s="819"/>
      <c r="I38" s="819"/>
      <c r="J38" s="819"/>
      <c r="K38" s="889"/>
      <c r="L38" s="890"/>
      <c r="M38" s="819"/>
      <c r="N38" s="819"/>
      <c r="O38" s="819"/>
    </row>
    <row r="39" spans="1:29">
      <c r="A39" s="819"/>
      <c r="B39" s="819"/>
      <c r="C39" s="819"/>
      <c r="D39" s="819"/>
      <c r="E39" s="819"/>
      <c r="F39" s="819"/>
      <c r="G39" s="819"/>
      <c r="H39" s="819"/>
      <c r="I39" s="819"/>
      <c r="J39" s="819"/>
      <c r="K39" s="889"/>
      <c r="L39" s="890"/>
      <c r="M39" s="819"/>
      <c r="N39" s="819"/>
      <c r="O39" s="819"/>
    </row>
    <row r="40" spans="1:29" ht="13.5" customHeight="1">
      <c r="A40" s="819"/>
      <c r="B40" s="819"/>
      <c r="C40" s="821" t="s">
        <v>1297</v>
      </c>
      <c r="D40" s="533"/>
      <c r="E40" s="822" t="e">
        <f>IF(E35&lt;E36,E36/E35-1,E35/E36-1)</f>
        <v>#DIV/0!</v>
      </c>
      <c r="F40" s="823" t="e">
        <f>IF(OR(E40&gt;=0.3,E40&lt;=-0.3),"超过30%","")</f>
        <v>#DIV/0!</v>
      </c>
      <c r="G40" s="822" t="e">
        <f>IF(G35&lt;G36,G36/G35-1,G35/G36-1)</f>
        <v>#DIV/0!</v>
      </c>
      <c r="H40" s="823" t="e">
        <f>IF(OR(G40&gt;=0.3,G40&lt;=-0.3),"超过30%","")</f>
        <v>#DIV/0!</v>
      </c>
      <c r="I40" s="822" t="e">
        <f>IF(I35&lt;I36,I36/I35-1,I35/I36-1)</f>
        <v>#DIV/0!</v>
      </c>
      <c r="J40" s="823" t="e">
        <f>IF(OR(I40&gt;=0.3,I40&lt;=-0.3),"超过30%","")</f>
        <v>#DIV/0!</v>
      </c>
      <c r="K40" s="889"/>
      <c r="L40" s="890"/>
      <c r="M40" s="819"/>
      <c r="N40" s="819"/>
      <c r="O40" s="819"/>
    </row>
    <row r="41" spans="1:29" ht="13.5" customHeight="1">
      <c r="A41" s="819"/>
      <c r="B41" s="819"/>
      <c r="C41" s="821" t="s">
        <v>1298</v>
      </c>
      <c r="D41" s="532"/>
      <c r="E41" s="822" t="e">
        <f>IF(E36&lt;G36,G36/E36-1,E36/G36-1)</f>
        <v>#DIV/0!</v>
      </c>
      <c r="F41" s="823" t="e">
        <f>IF(OR(E41&gt;=0.2,E41&lt;=-0.2),"超过20%","")</f>
        <v>#DIV/0!</v>
      </c>
      <c r="G41" s="822" t="e">
        <f>IF(G36&lt;I36,I36/G36-1,G36/I36-1)</f>
        <v>#DIV/0!</v>
      </c>
      <c r="H41" s="823" t="e">
        <f>IF(OR(G41&gt;=0.2,G41&lt;=-0.2),"超过20%","")</f>
        <v>#DIV/0!</v>
      </c>
      <c r="I41" s="822" t="e">
        <f>IF(I36&lt;E36,E36/I36-1,I36/E36-1)</f>
        <v>#DIV/0!</v>
      </c>
      <c r="J41" s="823" t="e">
        <f>IF(OR(I41&gt;=0.2,I41&lt;=-0.2),"超过20%","")</f>
        <v>#DIV/0!</v>
      </c>
      <c r="K41" s="889"/>
      <c r="L41" s="890"/>
      <c r="M41" s="819"/>
      <c r="N41" s="819"/>
      <c r="O41" s="819"/>
    </row>
    <row r="42" spans="1:29" s="706" customFormat="1" ht="13.5" customHeight="1">
      <c r="A42" s="824"/>
      <c r="B42" s="824"/>
      <c r="C42" s="821" t="s">
        <v>1299</v>
      </c>
      <c r="D42" s="532"/>
      <c r="E42" s="822" t="e">
        <f>IF(E35&lt;G35,G35/E35-1,E35/G35-1)</f>
        <v>#DIV/0!</v>
      </c>
      <c r="F42" s="823" t="e">
        <f>IF(OR(E42&gt;=0.3,E42&lt;=-0.3),"超过30%","")</f>
        <v>#DIV/0!</v>
      </c>
      <c r="G42" s="822" t="e">
        <f>IF(G35&lt;I35,I35/G35-1,G35/I35-1)</f>
        <v>#DIV/0!</v>
      </c>
      <c r="H42" s="823" t="e">
        <f>IF(OR(G42&gt;=0.3,G42&lt;=-0.3),"超过30%","")</f>
        <v>#DIV/0!</v>
      </c>
      <c r="I42" s="822" t="e">
        <f>IF(I35&lt;E35,E35/I35-1,I35/E35-1)</f>
        <v>#DIV/0!</v>
      </c>
      <c r="J42" s="823" t="e">
        <f>IF(OR(I42&gt;=0.3,I42&lt;=-0.3),"超过30%","")</f>
        <v>#DIV/0!</v>
      </c>
      <c r="K42" s="891"/>
      <c r="L42" s="892"/>
      <c r="M42" s="824"/>
      <c r="N42" s="824"/>
      <c r="O42" s="824"/>
    </row>
    <row r="43" spans="1:29" s="706" customFormat="1">
      <c r="A43" s="824"/>
      <c r="B43" s="825"/>
      <c r="C43" s="826"/>
      <c r="D43" s="824"/>
      <c r="E43" s="824"/>
      <c r="F43" s="824"/>
      <c r="G43" s="824"/>
      <c r="H43" s="824"/>
      <c r="I43" s="824"/>
      <c r="J43" s="824"/>
      <c r="K43" s="891"/>
      <c r="L43" s="892"/>
      <c r="M43" s="824"/>
      <c r="N43" s="824"/>
      <c r="O43" s="824"/>
    </row>
    <row r="44" spans="1:29">
      <c r="A44" s="819"/>
      <c r="B44" s="825"/>
      <c r="C44" s="826"/>
      <c r="D44" s="819"/>
      <c r="E44" s="819"/>
      <c r="F44" s="819"/>
      <c r="G44" s="819"/>
      <c r="H44" s="819"/>
      <c r="I44" s="819"/>
      <c r="J44" s="819"/>
      <c r="K44" s="889"/>
      <c r="L44" s="890"/>
      <c r="M44" s="819"/>
      <c r="N44" s="819"/>
      <c r="O44" s="819"/>
    </row>
    <row r="45" spans="1:29" ht="21">
      <c r="A45" s="848" t="s">
        <v>1300</v>
      </c>
      <c r="B45" s="849"/>
      <c r="C45" s="850"/>
      <c r="D45" s="850"/>
      <c r="E45" s="850"/>
      <c r="F45" s="851"/>
      <c r="G45" s="851"/>
      <c r="H45" s="850"/>
      <c r="I45" s="850"/>
      <c r="J45" s="850"/>
      <c r="K45" s="1143"/>
      <c r="L45" s="1144"/>
      <c r="M45" s="850"/>
      <c r="N45" s="850"/>
      <c r="O45" s="850"/>
      <c r="P45" s="897"/>
      <c r="Q45" s="909"/>
    </row>
    <row r="46" spans="1:29" s="708" customFormat="1" ht="15">
      <c r="A46" s="1130" t="s">
        <v>1252</v>
      </c>
      <c r="B46" s="1131"/>
      <c r="C46" s="1132" t="str">
        <f>YEAR(C7)&amp;"-"&amp;MONTH(C7)</f>
        <v>2019-6</v>
      </c>
      <c r="D46" s="1133">
        <f>EDATE(C46,-1)</f>
        <v>43586</v>
      </c>
      <c r="E46" s="1133">
        <f t="shared" ref="E46:O46" si="16">EDATE(D46,-1)</f>
        <v>43556</v>
      </c>
      <c r="F46" s="1133">
        <f t="shared" si="16"/>
        <v>43525</v>
      </c>
      <c r="G46" s="1133">
        <f t="shared" si="16"/>
        <v>43497</v>
      </c>
      <c r="H46" s="1133">
        <f t="shared" si="16"/>
        <v>43466</v>
      </c>
      <c r="I46" s="1133">
        <f t="shared" si="16"/>
        <v>43435</v>
      </c>
      <c r="J46" s="1133">
        <f t="shared" si="16"/>
        <v>43405</v>
      </c>
      <c r="K46" s="1133">
        <f t="shared" si="16"/>
        <v>43374</v>
      </c>
      <c r="L46" s="1133">
        <f t="shared" si="16"/>
        <v>43344</v>
      </c>
      <c r="M46" s="1133">
        <f t="shared" si="16"/>
        <v>43313</v>
      </c>
      <c r="N46" s="1133">
        <f t="shared" si="16"/>
        <v>43282</v>
      </c>
      <c r="O46" s="1133">
        <f t="shared" si="16"/>
        <v>43252</v>
      </c>
      <c r="P46" s="973"/>
    </row>
    <row r="47" spans="1:29" s="703" customFormat="1" ht="15">
      <c r="A47" s="1134"/>
      <c r="B47" s="929"/>
      <c r="C47" s="1135">
        <v>100</v>
      </c>
      <c r="D47" s="933"/>
      <c r="E47" s="933"/>
      <c r="F47" s="933"/>
      <c r="G47" s="933"/>
      <c r="H47" s="933"/>
      <c r="I47" s="933"/>
      <c r="J47" s="933"/>
      <c r="K47" s="933"/>
      <c r="L47" s="933"/>
      <c r="M47" s="1145"/>
      <c r="N47" s="933"/>
      <c r="O47" s="982"/>
      <c r="P47" s="909"/>
    </row>
    <row r="48" spans="1:29" s="703" customFormat="1" ht="15">
      <c r="A48" s="924" t="s">
        <v>1301</v>
      </c>
      <c r="B48" s="925"/>
      <c r="C48" s="926"/>
      <c r="D48" s="927"/>
      <c r="E48" s="927"/>
      <c r="F48" s="927"/>
      <c r="G48" s="927"/>
      <c r="H48" s="927"/>
      <c r="I48" s="927"/>
      <c r="J48" s="927"/>
      <c r="K48" s="927"/>
      <c r="L48" s="927"/>
      <c r="M48" s="976"/>
      <c r="N48" s="927"/>
      <c r="O48" s="1146"/>
      <c r="P48" s="909"/>
      <c r="Q48" s="909"/>
    </row>
    <row r="49" spans="1:17" s="703" customFormat="1" ht="15">
      <c r="A49" s="928" t="s">
        <v>1255</v>
      </c>
      <c r="B49" s="929"/>
      <c r="C49" s="930" t="s">
        <v>1256</v>
      </c>
      <c r="D49" s="931"/>
      <c r="E49" s="931"/>
      <c r="F49" s="931"/>
      <c r="G49" s="931"/>
      <c r="H49" s="931"/>
      <c r="I49" s="931"/>
      <c r="J49" s="931"/>
      <c r="K49" s="931"/>
      <c r="L49" s="978"/>
      <c r="M49" s="979"/>
      <c r="N49" s="980"/>
      <c r="O49" s="980"/>
      <c r="P49" s="981"/>
      <c r="Q49" s="909"/>
    </row>
    <row r="50" spans="1:17" s="703" customFormat="1" ht="15">
      <c r="A50" s="928"/>
      <c r="B50" s="929"/>
      <c r="C50" s="932">
        <v>100</v>
      </c>
      <c r="D50" s="933"/>
      <c r="E50" s="933"/>
      <c r="F50" s="933"/>
      <c r="G50" s="933"/>
      <c r="H50" s="933"/>
      <c r="I50" s="933"/>
      <c r="J50" s="933"/>
      <c r="K50" s="933"/>
      <c r="L50" s="933"/>
      <c r="M50" s="982"/>
      <c r="N50" s="980"/>
      <c r="O50" s="980"/>
      <c r="P50" s="909"/>
      <c r="Q50" s="909"/>
    </row>
    <row r="51" spans="1:17">
      <c r="A51" s="934" t="s">
        <v>1302</v>
      </c>
      <c r="B51" s="935" t="s">
        <v>1260</v>
      </c>
      <c r="C51" s="957">
        <f>C9</f>
        <v>0</v>
      </c>
      <c r="D51" s="882"/>
      <c r="E51" s="882"/>
      <c r="F51" s="882"/>
      <c r="G51" s="882"/>
      <c r="H51" s="882"/>
      <c r="I51" s="882"/>
      <c r="J51" s="882"/>
      <c r="K51" s="983"/>
      <c r="L51" s="984"/>
      <c r="M51" s="985"/>
      <c r="N51" s="986"/>
      <c r="O51" s="986"/>
      <c r="P51" s="987"/>
      <c r="Q51" s="909"/>
    </row>
    <row r="52" spans="1:17" ht="15">
      <c r="A52" s="936"/>
      <c r="B52" s="937"/>
      <c r="C52" s="938">
        <v>100</v>
      </c>
      <c r="D52" s="938"/>
      <c r="E52" s="938"/>
      <c r="F52" s="938"/>
      <c r="G52" s="938"/>
      <c r="H52" s="938"/>
      <c r="I52" s="938"/>
      <c r="J52" s="938"/>
      <c r="K52" s="938"/>
      <c r="L52" s="938"/>
      <c r="M52" s="988"/>
      <c r="N52" s="989"/>
      <c r="O52" s="989"/>
      <c r="P52" s="987"/>
      <c r="Q52" s="909"/>
    </row>
    <row r="53" spans="1:17" ht="27">
      <c r="A53" s="936"/>
      <c r="B53" s="939" t="s">
        <v>1263</v>
      </c>
      <c r="C53" s="940" t="s">
        <v>1303</v>
      </c>
      <c r="D53" s="940" t="s">
        <v>1304</v>
      </c>
      <c r="E53" s="940" t="s">
        <v>1305</v>
      </c>
      <c r="F53" s="940" t="s">
        <v>1306</v>
      </c>
      <c r="G53" s="940" t="s">
        <v>1307</v>
      </c>
      <c r="H53" s="940" t="s">
        <v>1308</v>
      </c>
      <c r="I53" s="940" t="s">
        <v>1309</v>
      </c>
      <c r="J53" s="940"/>
      <c r="K53" s="990"/>
      <c r="L53" s="991"/>
      <c r="M53" s="992"/>
      <c r="N53" s="986"/>
      <c r="O53" s="986"/>
      <c r="P53" s="987"/>
      <c r="Q53" s="909"/>
    </row>
    <row r="54" spans="1:17" ht="15">
      <c r="A54" s="936"/>
      <c r="B54" s="941"/>
      <c r="C54" s="942" t="s">
        <v>1310</v>
      </c>
      <c r="D54" s="942" t="s">
        <v>1310</v>
      </c>
      <c r="E54" s="942">
        <v>100</v>
      </c>
      <c r="F54" s="942">
        <f>E54-$K10</f>
        <v>100</v>
      </c>
      <c r="G54" s="942">
        <f>F54-$K10</f>
        <v>100</v>
      </c>
      <c r="H54" s="942">
        <f>G54-$K10</f>
        <v>100</v>
      </c>
      <c r="I54" s="942">
        <f>H54-$K10</f>
        <v>100</v>
      </c>
      <c r="J54" s="942"/>
      <c r="K54" s="942"/>
      <c r="L54" s="942"/>
      <c r="M54" s="993"/>
      <c r="N54" s="989"/>
      <c r="O54" s="989"/>
      <c r="P54" s="987"/>
      <c r="Q54" s="909"/>
    </row>
    <row r="55" spans="1:17" ht="15">
      <c r="A55" s="936"/>
      <c r="B55" s="1070">
        <f>B11</f>
        <v>111</v>
      </c>
      <c r="C55" s="750"/>
      <c r="D55" s="750"/>
      <c r="E55" s="750"/>
      <c r="F55" s="750"/>
      <c r="G55" s="750"/>
      <c r="H55" s="750"/>
      <c r="I55" s="750"/>
      <c r="J55" s="750"/>
      <c r="K55" s="994"/>
      <c r="L55" s="995"/>
      <c r="M55" s="996"/>
      <c r="N55" s="986"/>
      <c r="O55" s="986"/>
      <c r="P55" s="987"/>
      <c r="Q55" s="909"/>
    </row>
    <row r="56" spans="1:17" ht="15">
      <c r="A56" s="936"/>
      <c r="B56" s="937"/>
      <c r="C56" s="949"/>
      <c r="D56" s="938"/>
      <c r="E56" s="938"/>
      <c r="F56" s="938"/>
      <c r="G56" s="938"/>
      <c r="H56" s="938"/>
      <c r="I56" s="938"/>
      <c r="J56" s="938"/>
      <c r="K56" s="938"/>
      <c r="L56" s="938"/>
      <c r="M56" s="988"/>
      <c r="N56" s="989"/>
      <c r="O56" s="989"/>
      <c r="P56" s="987"/>
      <c r="Q56" s="909"/>
    </row>
    <row r="57" spans="1:17" s="705" customFormat="1" ht="15">
      <c r="A57" s="946"/>
      <c r="B57" s="939">
        <f>B12</f>
        <v>111</v>
      </c>
      <c r="C57" s="750"/>
      <c r="D57" s="750"/>
      <c r="E57" s="750"/>
      <c r="F57" s="750"/>
      <c r="G57" s="947"/>
      <c r="H57" s="948"/>
      <c r="I57" s="948"/>
      <c r="J57" s="948"/>
      <c r="K57" s="948"/>
      <c r="L57" s="997"/>
      <c r="M57" s="998"/>
      <c r="N57" s="999"/>
      <c r="O57" s="999"/>
      <c r="P57" s="1000"/>
      <c r="Q57" s="1030"/>
    </row>
    <row r="58" spans="1:17" s="705" customFormat="1" ht="15">
      <c r="A58" s="946"/>
      <c r="B58" s="941"/>
      <c r="C58" s="949"/>
      <c r="D58" s="938"/>
      <c r="E58" s="938"/>
      <c r="F58" s="938"/>
      <c r="G58" s="938"/>
      <c r="H58" s="938"/>
      <c r="I58" s="938"/>
      <c r="J58" s="938"/>
      <c r="K58" s="938"/>
      <c r="L58" s="938"/>
      <c r="M58" s="988"/>
      <c r="N58" s="989"/>
      <c r="O58" s="989"/>
      <c r="P58" s="1000"/>
      <c r="Q58" s="1030"/>
    </row>
    <row r="59" spans="1:17" s="705" customFormat="1" ht="15">
      <c r="A59" s="946"/>
      <c r="B59" s="939">
        <f>B13</f>
        <v>111</v>
      </c>
      <c r="C59" s="750"/>
      <c r="D59" s="750"/>
      <c r="E59" s="750"/>
      <c r="F59" s="750"/>
      <c r="G59" s="947"/>
      <c r="H59" s="948"/>
      <c r="I59" s="948"/>
      <c r="J59" s="948"/>
      <c r="K59" s="948"/>
      <c r="L59" s="997"/>
      <c r="M59" s="998"/>
      <c r="N59" s="999"/>
      <c r="O59" s="999"/>
      <c r="P59" s="1001"/>
      <c r="Q59" s="1031"/>
    </row>
    <row r="60" spans="1:17" s="705" customFormat="1" ht="15">
      <c r="A60" s="946"/>
      <c r="B60" s="941"/>
      <c r="C60" s="949"/>
      <c r="D60" s="949"/>
      <c r="E60" s="949"/>
      <c r="F60" s="949"/>
      <c r="G60" s="949"/>
      <c r="H60" s="950"/>
      <c r="I60" s="950"/>
      <c r="J60" s="950"/>
      <c r="K60" s="950"/>
      <c r="L60" s="950"/>
      <c r="M60" s="1002"/>
      <c r="N60" s="999"/>
      <c r="O60" s="999"/>
      <c r="P60" s="1000"/>
      <c r="Q60" s="1030"/>
    </row>
    <row r="61" spans="1:17">
      <c r="A61" s="934" t="s">
        <v>1266</v>
      </c>
      <c r="B61" s="935" t="s">
        <v>211</v>
      </c>
      <c r="C61" s="956" t="s">
        <v>228</v>
      </c>
      <c r="D61" s="956" t="s">
        <v>240</v>
      </c>
      <c r="E61" s="956" t="s">
        <v>251</v>
      </c>
      <c r="F61" s="956" t="s">
        <v>261</v>
      </c>
      <c r="G61" s="956" t="s">
        <v>268</v>
      </c>
      <c r="H61" s="957"/>
      <c r="I61" s="957"/>
      <c r="J61" s="957"/>
      <c r="K61" s="1007"/>
      <c r="L61" s="1008"/>
      <c r="M61" s="1009"/>
      <c r="N61" s="986"/>
      <c r="O61" s="986"/>
      <c r="P61" s="1010"/>
      <c r="Q61" s="909"/>
    </row>
    <row r="62" spans="1:17" ht="15">
      <c r="A62" s="936"/>
      <c r="B62" s="941"/>
      <c r="C62" s="942">
        <v>100</v>
      </c>
      <c r="D62" s="942">
        <f>C62-$K14</f>
        <v>100</v>
      </c>
      <c r="E62" s="942">
        <f>D62-$K14</f>
        <v>100</v>
      </c>
      <c r="F62" s="942">
        <f>E62-$K14</f>
        <v>100</v>
      </c>
      <c r="G62" s="942">
        <f>F62-$K14</f>
        <v>100</v>
      </c>
      <c r="H62" s="942"/>
      <c r="I62" s="942"/>
      <c r="J62" s="942"/>
      <c r="K62" s="942"/>
      <c r="L62" s="942"/>
      <c r="M62" s="993"/>
      <c r="N62" s="989"/>
      <c r="O62" s="989"/>
      <c r="P62" s="987"/>
      <c r="Q62" s="909"/>
    </row>
    <row r="63" spans="1:17" ht="15">
      <c r="A63" s="936"/>
      <c r="B63" s="939" t="s">
        <v>213</v>
      </c>
      <c r="C63" s="958" t="s">
        <v>228</v>
      </c>
      <c r="D63" s="958" t="s">
        <v>240</v>
      </c>
      <c r="E63" s="958" t="s">
        <v>251</v>
      </c>
      <c r="F63" s="958" t="s">
        <v>261</v>
      </c>
      <c r="G63" s="958" t="s">
        <v>268</v>
      </c>
      <c r="H63" s="940"/>
      <c r="I63" s="940"/>
      <c r="J63" s="940"/>
      <c r="K63" s="990"/>
      <c r="L63" s="991"/>
      <c r="M63" s="992"/>
      <c r="N63" s="986"/>
      <c r="O63" s="986"/>
      <c r="P63" s="987"/>
      <c r="Q63" s="909"/>
    </row>
    <row r="64" spans="1:17" ht="15">
      <c r="A64" s="936"/>
      <c r="B64" s="941"/>
      <c r="C64" s="942">
        <v>100</v>
      </c>
      <c r="D64" s="942">
        <f>C64-$K16</f>
        <v>100</v>
      </c>
      <c r="E64" s="942">
        <f>D64-$K16</f>
        <v>100</v>
      </c>
      <c r="F64" s="942">
        <f>E64-$K16</f>
        <v>100</v>
      </c>
      <c r="G64" s="942">
        <f>F64-$K16</f>
        <v>100</v>
      </c>
      <c r="H64" s="942"/>
      <c r="I64" s="942"/>
      <c r="J64" s="942"/>
      <c r="K64" s="942"/>
      <c r="L64" s="942"/>
      <c r="M64" s="993"/>
      <c r="N64" s="989"/>
      <c r="O64" s="989"/>
      <c r="P64" s="987"/>
      <c r="Q64" s="909"/>
    </row>
    <row r="65" spans="1:17" ht="15">
      <c r="A65" s="936"/>
      <c r="B65" s="943" t="s">
        <v>214</v>
      </c>
      <c r="C65" s="940" t="s">
        <v>1311</v>
      </c>
      <c r="D65" s="940" t="s">
        <v>1312</v>
      </c>
      <c r="E65" s="940" t="s">
        <v>1313</v>
      </c>
      <c r="F65" s="940" t="s">
        <v>1314</v>
      </c>
      <c r="G65" s="940" t="s">
        <v>1315</v>
      </c>
      <c r="H65" s="940"/>
      <c r="I65" s="940"/>
      <c r="J65" s="940"/>
      <c r="K65" s="940"/>
      <c r="L65" s="940"/>
      <c r="M65" s="1072"/>
      <c r="N65" s="989"/>
      <c r="O65" s="989"/>
      <c r="P65" s="987"/>
      <c r="Q65" s="909"/>
    </row>
    <row r="66" spans="1:17" ht="15">
      <c r="A66" s="936"/>
      <c r="B66" s="943"/>
      <c r="C66" s="942">
        <v>100</v>
      </c>
      <c r="D66" s="942">
        <f>C66-$K18</f>
        <v>100</v>
      </c>
      <c r="E66" s="942">
        <f>D66-$K18</f>
        <v>100</v>
      </c>
      <c r="F66" s="942">
        <f>E66-$K18</f>
        <v>100</v>
      </c>
      <c r="G66" s="942">
        <f>F66-$K18</f>
        <v>100</v>
      </c>
      <c r="H66" s="1070"/>
      <c r="I66" s="1070"/>
      <c r="J66" s="1070"/>
      <c r="K66" s="1070"/>
      <c r="L66" s="1070"/>
      <c r="M66" s="767"/>
      <c r="N66" s="989"/>
      <c r="O66" s="989"/>
      <c r="P66" s="987"/>
      <c r="Q66" s="909"/>
    </row>
    <row r="67" spans="1:17" ht="15">
      <c r="A67" s="936"/>
      <c r="B67" s="939" t="s">
        <v>570</v>
      </c>
      <c r="C67" s="958" t="s">
        <v>228</v>
      </c>
      <c r="D67" s="958" t="s">
        <v>240</v>
      </c>
      <c r="E67" s="958" t="s">
        <v>251</v>
      </c>
      <c r="F67" s="958" t="s">
        <v>261</v>
      </c>
      <c r="G67" s="958" t="s">
        <v>268</v>
      </c>
      <c r="H67" s="940"/>
      <c r="I67" s="940"/>
      <c r="J67" s="940"/>
      <c r="K67" s="990"/>
      <c r="L67" s="991"/>
      <c r="M67" s="992"/>
      <c r="N67" s="986"/>
      <c r="O67" s="986"/>
      <c r="P67" s="987"/>
      <c r="Q67" s="909"/>
    </row>
    <row r="68" spans="1:17" ht="15">
      <c r="A68" s="936"/>
      <c r="B68" s="941"/>
      <c r="C68" s="942">
        <v>100</v>
      </c>
      <c r="D68" s="942">
        <f>C68-$K20</f>
        <v>100</v>
      </c>
      <c r="E68" s="942">
        <f>D68-$K20</f>
        <v>100</v>
      </c>
      <c r="F68" s="942">
        <f>E68-$K20</f>
        <v>100</v>
      </c>
      <c r="G68" s="942">
        <f>F68-$K20</f>
        <v>100</v>
      </c>
      <c r="H68" s="942"/>
      <c r="I68" s="942"/>
      <c r="J68" s="942"/>
      <c r="K68" s="942"/>
      <c r="L68" s="942"/>
      <c r="M68" s="993"/>
      <c r="N68" s="989"/>
      <c r="O68" s="989"/>
      <c r="P68" s="987"/>
      <c r="Q68" s="909"/>
    </row>
    <row r="69" spans="1:17" ht="15">
      <c r="A69" s="936"/>
      <c r="B69" s="939" t="s">
        <v>1272</v>
      </c>
      <c r="C69" s="947"/>
      <c r="D69" s="947"/>
      <c r="E69" s="947"/>
      <c r="F69" s="947"/>
      <c r="G69" s="947"/>
      <c r="H69" s="963"/>
      <c r="I69" s="963"/>
      <c r="J69" s="963"/>
      <c r="K69" s="1017"/>
      <c r="L69" s="1018"/>
      <c r="M69" s="1019"/>
      <c r="N69" s="986"/>
      <c r="O69" s="986"/>
      <c r="P69" s="987"/>
      <c r="Q69" s="909"/>
    </row>
    <row r="70" spans="1:17" ht="15">
      <c r="A70" s="936"/>
      <c r="B70" s="941"/>
      <c r="C70" s="942">
        <v>100</v>
      </c>
      <c r="D70" s="942">
        <f>C70-$K22</f>
        <v>100</v>
      </c>
      <c r="E70" s="942"/>
      <c r="F70" s="942"/>
      <c r="G70" s="942"/>
      <c r="H70" s="942"/>
      <c r="I70" s="942"/>
      <c r="J70" s="942"/>
      <c r="K70" s="942"/>
      <c r="L70" s="942"/>
      <c r="M70" s="993"/>
      <c r="N70" s="989"/>
      <c r="O70" s="989"/>
      <c r="P70" s="987"/>
      <c r="Q70" s="909"/>
    </row>
    <row r="71" spans="1:17" s="703" customFormat="1" ht="15">
      <c r="A71" s="959"/>
      <c r="B71" s="939">
        <f>B23</f>
        <v>111</v>
      </c>
      <c r="C71" s="750"/>
      <c r="D71" s="750"/>
      <c r="E71" s="750"/>
      <c r="F71" s="750"/>
      <c r="G71" s="947"/>
      <c r="H71" s="947"/>
      <c r="I71" s="947"/>
      <c r="J71" s="947"/>
      <c r="K71" s="947"/>
      <c r="L71" s="1150"/>
      <c r="M71" s="1151"/>
      <c r="N71" s="980"/>
      <c r="O71" s="980"/>
      <c r="P71" s="987"/>
      <c r="Q71" s="909"/>
    </row>
    <row r="72" spans="1:17" s="703" customFormat="1" ht="15">
      <c r="A72" s="959"/>
      <c r="B72" s="941"/>
      <c r="C72" s="949"/>
      <c r="D72" s="938"/>
      <c r="E72" s="938"/>
      <c r="F72" s="938"/>
      <c r="G72" s="938"/>
      <c r="H72" s="938"/>
      <c r="I72" s="938"/>
      <c r="J72" s="938"/>
      <c r="K72" s="938"/>
      <c r="L72" s="938"/>
      <c r="M72" s="988"/>
      <c r="N72" s="989"/>
      <c r="O72" s="989"/>
      <c r="P72" s="987"/>
      <c r="Q72" s="909"/>
    </row>
    <row r="73" spans="1:17" s="703" customFormat="1" ht="15">
      <c r="A73" s="959"/>
      <c r="B73" s="939">
        <f>B24</f>
        <v>111</v>
      </c>
      <c r="C73" s="750"/>
      <c r="D73" s="750"/>
      <c r="E73" s="750"/>
      <c r="F73" s="750"/>
      <c r="G73" s="947"/>
      <c r="H73" s="947"/>
      <c r="I73" s="947"/>
      <c r="J73" s="947"/>
      <c r="K73" s="947"/>
      <c r="L73" s="947"/>
      <c r="M73" s="1151"/>
      <c r="N73" s="980"/>
      <c r="O73" s="980"/>
      <c r="P73" s="987"/>
      <c r="Q73" s="909"/>
    </row>
    <row r="74" spans="1:17" s="703" customFormat="1" ht="15">
      <c r="A74" s="959"/>
      <c r="B74" s="941"/>
      <c r="C74" s="949"/>
      <c r="D74" s="938"/>
      <c r="E74" s="938"/>
      <c r="F74" s="938"/>
      <c r="G74" s="938"/>
      <c r="H74" s="938"/>
      <c r="I74" s="938"/>
      <c r="J74" s="938"/>
      <c r="K74" s="938"/>
      <c r="L74" s="938"/>
      <c r="M74" s="988"/>
      <c r="N74" s="989"/>
      <c r="O74" s="989"/>
      <c r="P74" s="987"/>
      <c r="Q74" s="909"/>
    </row>
    <row r="75" spans="1:17" s="705" customFormat="1" ht="15">
      <c r="A75" s="946"/>
      <c r="B75" s="939">
        <f>B25</f>
        <v>111</v>
      </c>
      <c r="C75" s="750"/>
      <c r="D75" s="750"/>
      <c r="E75" s="750"/>
      <c r="F75" s="750"/>
      <c r="G75" s="947"/>
      <c r="H75" s="948"/>
      <c r="I75" s="948"/>
      <c r="J75" s="948"/>
      <c r="K75" s="948"/>
      <c r="L75" s="997"/>
      <c r="M75" s="998"/>
      <c r="N75" s="999"/>
      <c r="O75" s="999"/>
      <c r="P75" s="1000"/>
      <c r="Q75" s="1030"/>
    </row>
    <row r="76" spans="1:17" s="705" customFormat="1" ht="15">
      <c r="A76" s="946"/>
      <c r="B76" s="941"/>
      <c r="C76" s="949"/>
      <c r="D76" s="949"/>
      <c r="E76" s="949"/>
      <c r="F76" s="949"/>
      <c r="G76" s="938"/>
      <c r="H76" s="938"/>
      <c r="I76" s="938"/>
      <c r="J76" s="938"/>
      <c r="K76" s="938"/>
      <c r="L76" s="938"/>
      <c r="M76" s="988"/>
      <c r="N76" s="999"/>
      <c r="O76" s="999"/>
      <c r="P76" s="1000"/>
      <c r="Q76" s="1030"/>
    </row>
    <row r="77" spans="1:17">
      <c r="A77" s="934" t="s">
        <v>1276</v>
      </c>
      <c r="B77" s="935" t="s">
        <v>1282</v>
      </c>
      <c r="C77" s="947"/>
      <c r="D77" s="947"/>
      <c r="E77" s="882"/>
      <c r="F77" s="882"/>
      <c r="G77" s="882"/>
      <c r="H77" s="882"/>
      <c r="I77" s="882"/>
      <c r="J77" s="882"/>
      <c r="K77" s="983"/>
      <c r="L77" s="984"/>
      <c r="M77" s="985"/>
      <c r="N77" s="986"/>
      <c r="O77" s="986"/>
      <c r="P77" s="987"/>
      <c r="Q77" s="909"/>
    </row>
    <row r="78" spans="1:17" ht="15">
      <c r="A78" s="936"/>
      <c r="B78" s="941"/>
      <c r="C78" s="942">
        <v>100</v>
      </c>
      <c r="D78" s="942">
        <f t="shared" ref="D78:M78" si="17">C78-$K26</f>
        <v>100</v>
      </c>
      <c r="E78" s="942">
        <f t="shared" si="17"/>
        <v>100</v>
      </c>
      <c r="F78" s="942">
        <f t="shared" si="17"/>
        <v>100</v>
      </c>
      <c r="G78" s="942">
        <f t="shared" si="17"/>
        <v>100</v>
      </c>
      <c r="H78" s="942">
        <f t="shared" si="17"/>
        <v>100</v>
      </c>
      <c r="I78" s="942">
        <f t="shared" si="17"/>
        <v>100</v>
      </c>
      <c r="J78" s="942">
        <f t="shared" si="17"/>
        <v>100</v>
      </c>
      <c r="K78" s="942">
        <f t="shared" si="17"/>
        <v>100</v>
      </c>
      <c r="L78" s="942">
        <f t="shared" si="17"/>
        <v>100</v>
      </c>
      <c r="M78" s="993">
        <f t="shared" si="17"/>
        <v>100</v>
      </c>
      <c r="N78" s="989"/>
      <c r="O78" s="989"/>
      <c r="P78" s="987"/>
      <c r="Q78" s="909"/>
    </row>
    <row r="79" spans="1:17" ht="15">
      <c r="A79" s="936"/>
      <c r="B79" s="939" t="s">
        <v>1420</v>
      </c>
      <c r="C79" s="958" t="str">
        <f>C80&amp;"(含)"&amp;"-"&amp;D80</f>
        <v>0.5(含)-0.6</v>
      </c>
      <c r="D79" s="958" t="str">
        <f>D80&amp;"(含)"&amp;"-"&amp;E80</f>
        <v>0.6(含)-0.7</v>
      </c>
      <c r="E79" s="958" t="str">
        <f>E80&amp;"(含)"&amp;"-"&amp;F80</f>
        <v>0.7(含)-0.8</v>
      </c>
      <c r="F79" s="958" t="str">
        <f>F80&amp;"(含)"&amp;"-"&amp;G80</f>
        <v>0.8(含)-0.9</v>
      </c>
      <c r="G79" s="958" t="str">
        <f>G80&amp;"(含)"&amp;"-"&amp;H80</f>
        <v>0.9(含)-1</v>
      </c>
      <c r="H79" s="958"/>
      <c r="I79" s="940"/>
      <c r="J79" s="940"/>
      <c r="K79" s="990"/>
      <c r="L79" s="991"/>
      <c r="M79" s="992"/>
      <c r="N79" s="980"/>
      <c r="O79" s="980"/>
      <c r="P79" s="987"/>
      <c r="Q79" s="909"/>
    </row>
    <row r="80" spans="1:17" ht="15">
      <c r="A80" s="936"/>
      <c r="B80" s="943"/>
      <c r="C80" s="365">
        <v>0.5</v>
      </c>
      <c r="D80" s="365">
        <v>0.6</v>
      </c>
      <c r="E80" s="365">
        <v>0.7</v>
      </c>
      <c r="F80" s="365">
        <v>0.8</v>
      </c>
      <c r="G80" s="365">
        <v>0.9</v>
      </c>
      <c r="H80" s="365">
        <v>1</v>
      </c>
      <c r="I80" s="1070"/>
      <c r="J80" s="1070"/>
      <c r="K80" s="1152"/>
      <c r="L80" s="1153"/>
      <c r="M80" s="1154"/>
      <c r="N80" s="980"/>
      <c r="O80" s="980"/>
      <c r="P80" s="987"/>
      <c r="Q80" s="909"/>
    </row>
    <row r="81" spans="1:17" s="705" customFormat="1" ht="15">
      <c r="A81" s="946"/>
      <c r="B81" s="941"/>
      <c r="C81" s="960">
        <v>100</v>
      </c>
      <c r="D81" s="942">
        <f t="shared" ref="D81:M81" si="18">C81+$K27</f>
        <v>100</v>
      </c>
      <c r="E81" s="942">
        <f t="shared" si="18"/>
        <v>100</v>
      </c>
      <c r="F81" s="942">
        <f t="shared" si="18"/>
        <v>100</v>
      </c>
      <c r="G81" s="942">
        <f t="shared" si="18"/>
        <v>100</v>
      </c>
      <c r="H81" s="942">
        <f t="shared" si="18"/>
        <v>100</v>
      </c>
      <c r="I81" s="942">
        <f t="shared" si="18"/>
        <v>100</v>
      </c>
      <c r="J81" s="942">
        <f t="shared" si="18"/>
        <v>100</v>
      </c>
      <c r="K81" s="942">
        <f t="shared" si="18"/>
        <v>100</v>
      </c>
      <c r="L81" s="942">
        <f t="shared" si="18"/>
        <v>100</v>
      </c>
      <c r="M81" s="942">
        <f t="shared" si="18"/>
        <v>100</v>
      </c>
      <c r="N81" s="989"/>
      <c r="O81" s="989"/>
      <c r="P81" s="1000"/>
      <c r="Q81" s="1030"/>
    </row>
    <row r="82" spans="1:17">
      <c r="A82" s="970"/>
      <c r="B82" s="943" t="s">
        <v>1421</v>
      </c>
      <c r="C82" s="947"/>
      <c r="D82" s="947"/>
      <c r="E82" s="963"/>
      <c r="F82" s="963"/>
      <c r="G82" s="963"/>
      <c r="H82" s="963"/>
      <c r="I82" s="963"/>
      <c r="J82" s="963"/>
      <c r="K82" s="1017"/>
      <c r="L82" s="1018"/>
      <c r="M82" s="1019"/>
      <c r="N82" s="986"/>
      <c r="O82" s="986"/>
      <c r="P82" s="987"/>
      <c r="Q82" s="909"/>
    </row>
    <row r="83" spans="1:17" ht="15">
      <c r="A83" s="936"/>
      <c r="B83" s="941"/>
      <c r="C83" s="942">
        <v>100</v>
      </c>
      <c r="D83" s="942">
        <f t="shared" ref="D83:M83" si="19">C83-$K28</f>
        <v>100</v>
      </c>
      <c r="E83" s="942">
        <f t="shared" si="19"/>
        <v>100</v>
      </c>
      <c r="F83" s="942">
        <f t="shared" si="19"/>
        <v>100</v>
      </c>
      <c r="G83" s="942">
        <f t="shared" si="19"/>
        <v>100</v>
      </c>
      <c r="H83" s="942">
        <f t="shared" si="19"/>
        <v>100</v>
      </c>
      <c r="I83" s="942">
        <f t="shared" si="19"/>
        <v>100</v>
      </c>
      <c r="J83" s="942">
        <f t="shared" si="19"/>
        <v>100</v>
      </c>
      <c r="K83" s="942">
        <f t="shared" si="19"/>
        <v>100</v>
      </c>
      <c r="L83" s="942">
        <f t="shared" si="19"/>
        <v>100</v>
      </c>
      <c r="M83" s="993">
        <f t="shared" si="19"/>
        <v>100</v>
      </c>
      <c r="N83" s="989"/>
      <c r="O83" s="989"/>
      <c r="P83" s="987"/>
      <c r="Q83" s="909"/>
    </row>
    <row r="84" spans="1:17">
      <c r="A84" s="970"/>
      <c r="B84" s="939" t="s">
        <v>1429</v>
      </c>
      <c r="C84" s="947"/>
      <c r="D84" s="947"/>
      <c r="E84" s="947"/>
      <c r="F84" s="947"/>
      <c r="G84" s="947"/>
      <c r="H84" s="947"/>
      <c r="I84" s="963"/>
      <c r="J84" s="963"/>
      <c r="K84" s="1017"/>
      <c r="L84" s="1018"/>
      <c r="M84" s="1019"/>
      <c r="N84" s="986"/>
      <c r="O84" s="986"/>
      <c r="P84" s="987"/>
      <c r="Q84" s="909"/>
    </row>
    <row r="85" spans="1:17" ht="15">
      <c r="A85" s="936"/>
      <c r="B85" s="941"/>
      <c r="C85" s="960">
        <v>100</v>
      </c>
      <c r="D85" s="942">
        <f t="shared" ref="D85:M85" si="20">C85+$K29</f>
        <v>100</v>
      </c>
      <c r="E85" s="942">
        <f t="shared" si="20"/>
        <v>100</v>
      </c>
      <c r="F85" s="942">
        <f t="shared" si="20"/>
        <v>100</v>
      </c>
      <c r="G85" s="942">
        <f t="shared" si="20"/>
        <v>100</v>
      </c>
      <c r="H85" s="942">
        <f t="shared" si="20"/>
        <v>100</v>
      </c>
      <c r="I85" s="942">
        <f t="shared" si="20"/>
        <v>100</v>
      </c>
      <c r="J85" s="942">
        <f t="shared" si="20"/>
        <v>100</v>
      </c>
      <c r="K85" s="942">
        <f t="shared" si="20"/>
        <v>100</v>
      </c>
      <c r="L85" s="942">
        <f t="shared" si="20"/>
        <v>100</v>
      </c>
      <c r="M85" s="942">
        <f t="shared" si="20"/>
        <v>100</v>
      </c>
      <c r="N85" s="989"/>
      <c r="O85" s="989"/>
      <c r="P85" s="987"/>
      <c r="Q85" s="909"/>
    </row>
    <row r="86" spans="1:17">
      <c r="A86" s="970"/>
      <c r="B86" s="943" t="s">
        <v>804</v>
      </c>
      <c r="C86" s="958" t="str">
        <f t="shared" ref="C86:L86" si="21">C87&amp;"(含)"&amp;"-"&amp;D87</f>
        <v>(含)-</v>
      </c>
      <c r="D86" s="958" t="str">
        <f t="shared" si="21"/>
        <v>(含)-</v>
      </c>
      <c r="E86" s="958" t="str">
        <f t="shared" si="21"/>
        <v>(含)-</v>
      </c>
      <c r="F86" s="958" t="str">
        <f t="shared" si="21"/>
        <v>(含)-</v>
      </c>
      <c r="G86" s="958" t="str">
        <f t="shared" si="21"/>
        <v>(含)-</v>
      </c>
      <c r="H86" s="958" t="str">
        <f t="shared" si="21"/>
        <v>(含)-</v>
      </c>
      <c r="I86" s="958" t="str">
        <f t="shared" si="21"/>
        <v>(含)-</v>
      </c>
      <c r="J86" s="958" t="str">
        <f t="shared" si="21"/>
        <v>(含)-</v>
      </c>
      <c r="K86" s="958" t="str">
        <f t="shared" si="21"/>
        <v>(含)-</v>
      </c>
      <c r="L86" s="958" t="str">
        <f t="shared" si="21"/>
        <v>(含)-</v>
      </c>
      <c r="M86" s="1012" t="str">
        <f>M87&amp;"(含)"&amp;"-"&amp;P87</f>
        <v>(含)-</v>
      </c>
      <c r="N86" s="986"/>
      <c r="O86" s="986"/>
      <c r="P86" s="987"/>
      <c r="Q86" s="909"/>
    </row>
    <row r="87" spans="1:17">
      <c r="A87" s="970"/>
      <c r="B87" s="943"/>
      <c r="C87" s="923"/>
      <c r="D87" s="923"/>
      <c r="E87" s="923"/>
      <c r="F87" s="923"/>
      <c r="G87" s="923"/>
      <c r="H87" s="923"/>
      <c r="I87" s="923"/>
      <c r="J87" s="1024"/>
      <c r="K87" s="1024"/>
      <c r="L87" s="1025"/>
      <c r="M87" s="1026"/>
      <c r="N87" s="986"/>
      <c r="O87" s="986"/>
      <c r="P87" s="987"/>
      <c r="Q87" s="909"/>
    </row>
    <row r="88" spans="1:17" ht="15">
      <c r="A88" s="936"/>
      <c r="B88" s="941"/>
      <c r="C88" s="949"/>
      <c r="D88" s="938"/>
      <c r="E88" s="938"/>
      <c r="F88" s="938"/>
      <c r="G88" s="938"/>
      <c r="H88" s="938"/>
      <c r="I88" s="938"/>
      <c r="J88" s="938"/>
      <c r="K88" s="938"/>
      <c r="L88" s="938"/>
      <c r="M88" s="938"/>
      <c r="N88" s="989"/>
      <c r="O88" s="989"/>
      <c r="P88" s="987"/>
      <c r="Q88" s="909"/>
    </row>
    <row r="89" spans="1:17" s="705" customFormat="1">
      <c r="A89" s="966"/>
      <c r="B89" s="939" t="s">
        <v>1430</v>
      </c>
      <c r="C89" s="947"/>
      <c r="D89" s="947"/>
      <c r="E89" s="947"/>
      <c r="F89" s="947"/>
      <c r="G89" s="947"/>
      <c r="H89" s="947"/>
      <c r="I89" s="947"/>
      <c r="J89" s="947"/>
      <c r="K89" s="947"/>
      <c r="L89" s="947"/>
      <c r="M89" s="1151"/>
      <c r="N89" s="999"/>
      <c r="O89" s="999"/>
      <c r="P89" s="1000"/>
      <c r="Q89" s="1030"/>
    </row>
    <row r="90" spans="1:17" s="705" customFormat="1" ht="15">
      <c r="A90" s="946"/>
      <c r="B90" s="941"/>
      <c r="C90" s="949"/>
      <c r="D90" s="938"/>
      <c r="E90" s="938"/>
      <c r="F90" s="938"/>
      <c r="G90" s="938"/>
      <c r="H90" s="938"/>
      <c r="I90" s="938"/>
      <c r="J90" s="938"/>
      <c r="K90" s="938"/>
      <c r="L90" s="938"/>
      <c r="M90" s="988"/>
      <c r="N90" s="999"/>
      <c r="O90" s="999"/>
      <c r="P90" s="1000"/>
      <c r="Q90" s="1030"/>
    </row>
    <row r="91" spans="1:17">
      <c r="A91" s="970"/>
      <c r="B91" s="939">
        <f>B32</f>
        <v>111</v>
      </c>
      <c r="C91" s="750"/>
      <c r="D91" s="750"/>
      <c r="E91" s="750"/>
      <c r="F91" s="750"/>
      <c r="G91" s="947"/>
      <c r="H91" s="948"/>
      <c r="I91" s="948"/>
      <c r="J91" s="948"/>
      <c r="K91" s="948"/>
      <c r="L91" s="997"/>
      <c r="M91" s="998"/>
      <c r="N91" s="986"/>
      <c r="O91" s="986"/>
      <c r="P91" s="987"/>
      <c r="Q91" s="909"/>
    </row>
    <row r="92" spans="1:17" ht="15">
      <c r="A92" s="936"/>
      <c r="B92" s="941"/>
      <c r="C92" s="949"/>
      <c r="D92" s="938"/>
      <c r="E92" s="938"/>
      <c r="F92" s="938"/>
      <c r="G92" s="949"/>
      <c r="H92" s="950"/>
      <c r="I92" s="950"/>
      <c r="J92" s="950"/>
      <c r="K92" s="950"/>
      <c r="L92" s="950"/>
      <c r="M92" s="1002"/>
      <c r="N92" s="989"/>
      <c r="O92" s="989"/>
      <c r="P92" s="987"/>
      <c r="Q92" s="909"/>
    </row>
    <row r="93" spans="1:17">
      <c r="A93" s="970"/>
      <c r="B93" s="939">
        <f>B33</f>
        <v>111</v>
      </c>
      <c r="C93" s="750"/>
      <c r="D93" s="750"/>
      <c r="E93" s="750"/>
      <c r="F93" s="750"/>
      <c r="G93" s="947"/>
      <c r="H93" s="948"/>
      <c r="I93" s="948"/>
      <c r="J93" s="948"/>
      <c r="K93" s="948"/>
      <c r="L93" s="997"/>
      <c r="M93" s="998"/>
      <c r="N93" s="986"/>
      <c r="O93" s="986"/>
      <c r="P93" s="987"/>
      <c r="Q93" s="909"/>
    </row>
    <row r="94" spans="1:17" ht="15">
      <c r="A94" s="936"/>
      <c r="B94" s="941"/>
      <c r="C94" s="949"/>
      <c r="D94" s="938"/>
      <c r="E94" s="938"/>
      <c r="F94" s="938"/>
      <c r="G94" s="949"/>
      <c r="H94" s="950"/>
      <c r="I94" s="950"/>
      <c r="J94" s="950"/>
      <c r="K94" s="950"/>
      <c r="L94" s="950"/>
      <c r="M94" s="1002"/>
      <c r="N94" s="989"/>
      <c r="O94" s="989"/>
      <c r="P94" s="987"/>
      <c r="Q94" s="909"/>
    </row>
    <row r="95" spans="1:17">
      <c r="A95" s="970"/>
      <c r="B95" s="1149">
        <f>B34</f>
        <v>111</v>
      </c>
      <c r="C95" s="750"/>
      <c r="D95" s="750"/>
      <c r="E95" s="750"/>
      <c r="F95" s="750"/>
      <c r="G95" s="947"/>
      <c r="H95" s="948"/>
      <c r="I95" s="948"/>
      <c r="J95" s="948"/>
      <c r="K95" s="948"/>
      <c r="L95" s="997"/>
      <c r="M95" s="998"/>
      <c r="N95" s="989"/>
      <c r="O95" s="989"/>
      <c r="P95" s="1155"/>
      <c r="Q95" s="1156"/>
    </row>
    <row r="96" spans="1:17" ht="15">
      <c r="A96" s="936"/>
      <c r="B96" s="941"/>
      <c r="C96" s="949"/>
      <c r="D96" s="949"/>
      <c r="E96" s="949"/>
      <c r="F96" s="949"/>
      <c r="G96" s="949"/>
      <c r="H96" s="950"/>
      <c r="I96" s="950"/>
      <c r="J96" s="950"/>
      <c r="K96" s="950"/>
      <c r="L96" s="950"/>
      <c r="M96" s="1002"/>
      <c r="N96" s="989"/>
      <c r="O96" s="989"/>
      <c r="P96" s="987"/>
      <c r="Q96" s="909"/>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E9 G9 I9">
      <formula1>仓储用途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6 E26 G26 I26">
      <formula1>仓储公共部分装修</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G2">
      <formula1>估价方法</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30" s="702" customFormat="1" ht="28.5" customHeight="1">
      <c r="A1" s="712" t="s">
        <v>1431</v>
      </c>
      <c r="B1" s="713"/>
      <c r="C1" s="714" t="s">
        <v>1432</v>
      </c>
      <c r="D1" s="715"/>
      <c r="E1" s="715"/>
      <c r="F1" s="716" t="s">
        <v>1238</v>
      </c>
      <c r="G1" s="715"/>
      <c r="H1" s="715"/>
      <c r="I1" s="715"/>
      <c r="J1" s="715"/>
      <c r="K1" s="852"/>
      <c r="L1" s="853"/>
      <c r="M1" s="854"/>
      <c r="N1" s="854"/>
      <c r="O1" s="854"/>
      <c r="P1" s="855"/>
      <c r="Q1" s="855"/>
      <c r="R1" s="855"/>
      <c r="S1" s="855"/>
      <c r="T1" s="855"/>
      <c r="U1" s="855"/>
      <c r="V1" s="855"/>
      <c r="W1" s="855"/>
      <c r="X1" s="855"/>
      <c r="Y1" s="855"/>
      <c r="Z1" s="855"/>
      <c r="AA1" s="855"/>
      <c r="AB1" s="855"/>
      <c r="AC1" s="910"/>
      <c r="AD1" s="1067"/>
    </row>
    <row r="2" spans="1:30" s="702" customFormat="1" ht="28.5" customHeight="1">
      <c r="A2" s="400" t="s">
        <v>832</v>
      </c>
      <c r="B2" s="717" t="e">
        <f>F66</f>
        <v>#DIV/0!</v>
      </c>
      <c r="C2" s="718" t="s">
        <v>1433</v>
      </c>
      <c r="D2" s="1034"/>
      <c r="E2" s="719"/>
      <c r="F2" s="720"/>
      <c r="G2" s="719"/>
      <c r="H2" s="719"/>
      <c r="I2" s="719"/>
      <c r="J2" s="719"/>
      <c r="K2" s="856"/>
      <c r="L2" s="857"/>
      <c r="M2" s="858"/>
      <c r="N2" s="858"/>
      <c r="O2" s="858"/>
      <c r="P2" s="855"/>
      <c r="Q2" s="855"/>
      <c r="R2" s="855"/>
      <c r="S2" s="855"/>
      <c r="T2" s="855"/>
      <c r="U2" s="855"/>
      <c r="V2" s="855"/>
      <c r="W2" s="855"/>
      <c r="X2" s="855"/>
      <c r="Y2" s="855"/>
      <c r="Z2" s="855"/>
      <c r="AA2" s="855"/>
      <c r="AB2" s="855"/>
      <c r="AC2" s="910"/>
      <c r="AD2" s="1067"/>
    </row>
    <row r="3" spans="1:30" s="702" customFormat="1" ht="28.5" customHeight="1">
      <c r="A3" s="407" t="s">
        <v>833</v>
      </c>
      <c r="B3" s="721" t="e">
        <f>ROUND(B2/'数据-取费表'!B5,0)</f>
        <v>#DIV/0!</v>
      </c>
      <c r="C3" s="718" t="s">
        <v>834</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30" ht="15">
      <c r="A4" s="722" t="s">
        <v>1240</v>
      </c>
      <c r="B4" s="723"/>
      <c r="C4" s="3004" t="s">
        <v>1241</v>
      </c>
      <c r="D4" s="3005"/>
      <c r="E4" s="3006" t="s">
        <v>1242</v>
      </c>
      <c r="F4" s="3007"/>
      <c r="G4" s="3004" t="s">
        <v>1243</v>
      </c>
      <c r="H4" s="3005"/>
      <c r="I4" s="3004" t="s">
        <v>1244</v>
      </c>
      <c r="J4" s="3005"/>
      <c r="K4" s="859" t="s">
        <v>1245</v>
      </c>
      <c r="L4" s="860"/>
      <c r="M4" s="861"/>
      <c r="N4" s="861"/>
      <c r="O4" s="861"/>
      <c r="P4" s="3065" t="s">
        <v>1246</v>
      </c>
      <c r="Q4" s="3024"/>
      <c r="R4" s="3038" t="s">
        <v>1242</v>
      </c>
      <c r="S4" s="3039"/>
      <c r="T4" s="3038" t="s">
        <v>1243</v>
      </c>
      <c r="U4" s="3039"/>
      <c r="V4" s="3048" t="s">
        <v>1244</v>
      </c>
      <c r="W4" s="3048"/>
      <c r="X4" s="898"/>
      <c r="Y4" s="3038" t="s">
        <v>1246</v>
      </c>
      <c r="Z4" s="3039"/>
      <c r="AA4" s="3035" t="s">
        <v>1242</v>
      </c>
      <c r="AB4" s="3036" t="s">
        <v>1243</v>
      </c>
      <c r="AC4" s="3035" t="s">
        <v>1244</v>
      </c>
    </row>
    <row r="5" spans="1:30" ht="15">
      <c r="A5" s="724"/>
      <c r="B5" s="725"/>
      <c r="C5" s="3008" t="s">
        <v>1371</v>
      </c>
      <c r="D5" s="3009"/>
      <c r="E5" s="3055" t="s">
        <v>1372</v>
      </c>
      <c r="F5" s="3011"/>
      <c r="G5" s="3008" t="s">
        <v>1373</v>
      </c>
      <c r="H5" s="3009"/>
      <c r="I5" s="3008" t="s">
        <v>1374</v>
      </c>
      <c r="J5" s="3009"/>
      <c r="K5" s="859"/>
      <c r="L5" s="860"/>
      <c r="M5" s="861"/>
      <c r="N5" s="861"/>
      <c r="O5" s="861"/>
      <c r="P5" s="3066"/>
      <c r="Q5" s="3025"/>
      <c r="R5" s="3040"/>
      <c r="S5" s="3041"/>
      <c r="T5" s="3040"/>
      <c r="U5" s="3041"/>
      <c r="V5" s="3048"/>
      <c r="W5" s="3048"/>
      <c r="X5" s="898"/>
      <c r="Y5" s="3040"/>
      <c r="Z5" s="3041"/>
      <c r="AA5" s="3036"/>
      <c r="AB5" s="3036"/>
      <c r="AC5" s="3036"/>
    </row>
    <row r="6" spans="1:30" ht="15">
      <c r="A6" s="726"/>
      <c r="B6" s="727"/>
      <c r="C6" s="3017" t="s">
        <v>1250</v>
      </c>
      <c r="D6" s="3014"/>
      <c r="E6" s="3015" t="s">
        <v>1250</v>
      </c>
      <c r="F6" s="3016"/>
      <c r="G6" s="3017" t="s">
        <v>1250</v>
      </c>
      <c r="H6" s="3014"/>
      <c r="I6" s="3017" t="s">
        <v>1250</v>
      </c>
      <c r="J6" s="3014"/>
      <c r="K6" s="859" t="s">
        <v>1251</v>
      </c>
      <c r="L6" s="860"/>
      <c r="M6" s="861"/>
      <c r="N6" s="861"/>
      <c r="O6" s="861"/>
      <c r="P6" s="3067"/>
      <c r="Q6" s="3047"/>
      <c r="R6" s="3040"/>
      <c r="S6" s="3041"/>
      <c r="T6" s="3042"/>
      <c r="U6" s="3043"/>
      <c r="V6" s="3048"/>
      <c r="W6" s="3048"/>
      <c r="X6" s="898"/>
      <c r="Y6" s="3042"/>
      <c r="Z6" s="3043"/>
      <c r="AA6" s="3037"/>
      <c r="AB6" s="3037"/>
      <c r="AC6" s="3037"/>
    </row>
    <row r="7" spans="1:30" s="703" customFormat="1" ht="15">
      <c r="A7" s="728" t="s">
        <v>1252</v>
      </c>
      <c r="B7" s="729"/>
      <c r="C7" s="730">
        <f>'数据-取费表'!B2</f>
        <v>43646</v>
      </c>
      <c r="D7" s="731">
        <v>100</v>
      </c>
      <c r="E7" s="732"/>
      <c r="F7" s="733">
        <f>SUMIF(70:70,YEAR(E7)&amp;"-"&amp;INT((MONTH(E7)+2)/3),71:71)</f>
        <v>0</v>
      </c>
      <c r="G7" s="734"/>
      <c r="H7" s="731">
        <f>SUMIF(70:70,YEAR(G7)&amp;"-"&amp;INT((MONTH(G7)+2)/3),71:71)</f>
        <v>0</v>
      </c>
      <c r="I7" s="734"/>
      <c r="J7" s="731">
        <f>SUMIF(70:70,YEAR(I7)&amp;"-"&amp;INT((MONTH(I7)+2)/3),71:71)</f>
        <v>0</v>
      </c>
      <c r="K7" s="862"/>
      <c r="L7" s="863"/>
      <c r="M7" s="864"/>
      <c r="N7" s="864"/>
      <c r="O7" s="864"/>
      <c r="P7" s="3019" t="s">
        <v>1253</v>
      </c>
      <c r="Q7" s="3018"/>
      <c r="R7" s="900" t="s">
        <v>1254</v>
      </c>
      <c r="S7" s="901">
        <f t="shared" ref="S7:S15" si="0">F7</f>
        <v>0</v>
      </c>
      <c r="T7" s="900" t="s">
        <v>1254</v>
      </c>
      <c r="U7" s="901">
        <f t="shared" ref="U7:U15" si="1">H7</f>
        <v>0</v>
      </c>
      <c r="V7" s="900" t="s">
        <v>1254</v>
      </c>
      <c r="W7" s="901">
        <f t="shared" ref="W7:W15" si="2">J7</f>
        <v>0</v>
      </c>
      <c r="X7" s="902"/>
      <c r="Y7" s="3019" t="s">
        <v>1253</v>
      </c>
      <c r="Z7" s="3020"/>
      <c r="AA7" s="913" t="e">
        <f>D7/F7</f>
        <v>#DIV/0!</v>
      </c>
      <c r="AB7" s="913" t="e">
        <f>D7/H7</f>
        <v>#DIV/0!</v>
      </c>
      <c r="AC7" s="913" t="e">
        <f>D7/J7</f>
        <v>#DIV/0!</v>
      </c>
    </row>
    <row r="8" spans="1:30" s="703" customFormat="1" ht="15">
      <c r="A8" s="728" t="s">
        <v>1255</v>
      </c>
      <c r="B8" s="729"/>
      <c r="C8" s="735" t="s">
        <v>1256</v>
      </c>
      <c r="D8" s="731">
        <v>100</v>
      </c>
      <c r="E8" s="735"/>
      <c r="F8" s="733">
        <f>SUMIF(73:73,E8,74:74)-SUMIF(73:73,C8,74:74)+100</f>
        <v>0</v>
      </c>
      <c r="G8" s="735"/>
      <c r="H8" s="731">
        <f>SUMIF(73:73,G8,74:74)-SUMIF(73:73,C8,74:74)+100</f>
        <v>0</v>
      </c>
      <c r="I8" s="735"/>
      <c r="J8" s="731">
        <f>SUMIF(73:73,I8,74:74)-SUMIF(73:73,C8,74:74)+100</f>
        <v>0</v>
      </c>
      <c r="K8" s="862"/>
      <c r="L8" s="863"/>
      <c r="M8" s="864"/>
      <c r="N8" s="864"/>
      <c r="O8" s="864"/>
      <c r="P8" s="3019" t="s">
        <v>1258</v>
      </c>
      <c r="Q8" s="3020"/>
      <c r="R8" s="900" t="s">
        <v>1254</v>
      </c>
      <c r="S8" s="901">
        <f t="shared" si="0"/>
        <v>0</v>
      </c>
      <c r="T8" s="900" t="s">
        <v>1254</v>
      </c>
      <c r="U8" s="901">
        <f t="shared" si="1"/>
        <v>0</v>
      </c>
      <c r="V8" s="900" t="s">
        <v>1254</v>
      </c>
      <c r="W8" s="901">
        <f t="shared" si="2"/>
        <v>0</v>
      </c>
      <c r="X8" s="902"/>
      <c r="Y8" s="3019" t="s">
        <v>1258</v>
      </c>
      <c r="Z8" s="3020"/>
      <c r="AA8" s="913" t="e">
        <f t="shared" ref="AA8:AA45" si="3">D8/F8</f>
        <v>#DIV/0!</v>
      </c>
      <c r="AB8" s="913" t="e">
        <f t="shared" ref="AB8:AB45" si="4">D8/H8</f>
        <v>#DIV/0!</v>
      </c>
      <c r="AC8" s="913" t="e">
        <f t="shared" ref="AC8:AC45" si="5">D8/J8</f>
        <v>#DIV/0!</v>
      </c>
    </row>
    <row r="9" spans="1:30" s="703" customFormat="1">
      <c r="A9" s="736" t="s">
        <v>1259</v>
      </c>
      <c r="B9" s="737" t="s">
        <v>1260</v>
      </c>
      <c r="C9" s="738"/>
      <c r="D9" s="739">
        <v>100</v>
      </c>
      <c r="E9" s="738"/>
      <c r="F9" s="739">
        <f>SUMIF(75:75,E9,76:76)-SUMIF(75:75,C9,76:76)+100</f>
        <v>100</v>
      </c>
      <c r="G9" s="738"/>
      <c r="H9" s="739">
        <f>SUMIF(75:75,G9,76:76)-SUMIF(75:75,C9,76:76)+100</f>
        <v>100</v>
      </c>
      <c r="I9" s="738"/>
      <c r="J9" s="739">
        <f>SUMIF(75:75,I9,76:76)-SUMIF(75:75,C9,76:76)+100</f>
        <v>100</v>
      </c>
      <c r="K9" s="862"/>
      <c r="L9" s="863"/>
      <c r="M9" s="864"/>
      <c r="N9" s="864"/>
      <c r="O9" s="865"/>
      <c r="P9" s="3022" t="s">
        <v>1261</v>
      </c>
      <c r="Q9" s="903" t="str">
        <f t="shared" ref="Q9:Q15" si="6">B9</f>
        <v>用途</v>
      </c>
      <c r="R9" s="900" t="s">
        <v>1254</v>
      </c>
      <c r="S9" s="901">
        <f t="shared" si="0"/>
        <v>100</v>
      </c>
      <c r="T9" s="900" t="s">
        <v>1254</v>
      </c>
      <c r="U9" s="901">
        <f t="shared" si="1"/>
        <v>100</v>
      </c>
      <c r="V9" s="900" t="s">
        <v>1254</v>
      </c>
      <c r="W9" s="901">
        <f t="shared" si="2"/>
        <v>100</v>
      </c>
      <c r="X9" s="902"/>
      <c r="Y9" s="2900" t="s">
        <v>1262</v>
      </c>
      <c r="Z9" s="914" t="str">
        <f t="shared" ref="Z9:Z15" si="7">Q9</f>
        <v>用途</v>
      </c>
      <c r="AA9" s="913">
        <f t="shared" si="3"/>
        <v>1</v>
      </c>
      <c r="AB9" s="913">
        <f t="shared" si="4"/>
        <v>1</v>
      </c>
      <c r="AC9" s="913">
        <f t="shared" si="5"/>
        <v>1</v>
      </c>
    </row>
    <row r="10" spans="1:30" s="704" customFormat="1" ht="27">
      <c r="A10" s="740"/>
      <c r="B10" s="741" t="s">
        <v>1263</v>
      </c>
      <c r="C10" s="742"/>
      <c r="D10" s="743">
        <v>100</v>
      </c>
      <c r="E10" s="1035"/>
      <c r="F10" s="743">
        <f>ROUND(100/'数据-取费表'!B14,0)</f>
        <v>134</v>
      </c>
      <c r="G10" s="1036"/>
      <c r="H10" s="743">
        <f>ROUND(100/'数据-取费表'!B14,0)</f>
        <v>134</v>
      </c>
      <c r="I10" s="1036"/>
      <c r="J10" s="743">
        <f>ROUND(100/'数据-取费表'!B14,0)</f>
        <v>134</v>
      </c>
      <c r="K10" s="866"/>
      <c r="L10" s="867"/>
      <c r="M10" s="868"/>
      <c r="N10" s="868"/>
      <c r="O10" s="869"/>
      <c r="P10" s="3022"/>
      <c r="Q10" s="903" t="str">
        <f t="shared" si="6"/>
        <v>土地使用年限（年）</v>
      </c>
      <c r="R10" s="900" t="s">
        <v>1254</v>
      </c>
      <c r="S10" s="901">
        <f t="shared" si="0"/>
        <v>134</v>
      </c>
      <c r="T10" s="900" t="s">
        <v>1254</v>
      </c>
      <c r="U10" s="901">
        <f t="shared" si="1"/>
        <v>134</v>
      </c>
      <c r="V10" s="900" t="s">
        <v>1254</v>
      </c>
      <c r="W10" s="901">
        <f t="shared" si="2"/>
        <v>134</v>
      </c>
      <c r="X10" s="902"/>
      <c r="Y10" s="2900"/>
      <c r="Z10" s="914" t="str">
        <f t="shared" si="7"/>
        <v>土地使用年限（年）</v>
      </c>
      <c r="AA10" s="913">
        <f t="shared" si="3"/>
        <v>0.74626865671641796</v>
      </c>
      <c r="AB10" s="913">
        <f t="shared" si="4"/>
        <v>0.74626865671641796</v>
      </c>
      <c r="AC10" s="913">
        <f t="shared" si="5"/>
        <v>0.74626865671641796</v>
      </c>
    </row>
    <row r="11" spans="1:30" ht="15">
      <c r="A11" s="744"/>
      <c r="B11" s="741" t="s">
        <v>1265</v>
      </c>
      <c r="C11" s="745"/>
      <c r="D11" s="743">
        <v>100</v>
      </c>
      <c r="E11" s="745"/>
      <c r="F11" s="743" t="e">
        <f>LOOKUP(E11,80:80,81:81)-LOOKUP(C11,80:80,81:81)+100</f>
        <v>#N/A</v>
      </c>
      <c r="G11" s="746"/>
      <c r="H11" s="743" t="e">
        <f>LOOKUP(G11,80:80,81:81)-LOOKUP(C11,80:80,81:81)+100</f>
        <v>#N/A</v>
      </c>
      <c r="I11" s="745"/>
      <c r="J11" s="743" t="e">
        <f>LOOKUP(I11,80:80,81:81)-LOOKUP(C11,80:80,81:81)+100</f>
        <v>#N/A</v>
      </c>
      <c r="K11" s="870"/>
      <c r="L11" s="871"/>
      <c r="M11" s="861"/>
      <c r="N11" s="861"/>
      <c r="O11" s="872"/>
      <c r="P11" s="3022"/>
      <c r="Q11" s="903" t="str">
        <f t="shared" si="6"/>
        <v>容积率</v>
      </c>
      <c r="R11" s="900" t="s">
        <v>1254</v>
      </c>
      <c r="S11" s="901" t="e">
        <f t="shared" si="0"/>
        <v>#N/A</v>
      </c>
      <c r="T11" s="900" t="s">
        <v>1254</v>
      </c>
      <c r="U11" s="901" t="e">
        <f t="shared" si="1"/>
        <v>#N/A</v>
      </c>
      <c r="V11" s="900" t="s">
        <v>1254</v>
      </c>
      <c r="W11" s="901" t="e">
        <f t="shared" si="2"/>
        <v>#N/A</v>
      </c>
      <c r="X11" s="902"/>
      <c r="Y11" s="2900"/>
      <c r="Z11" s="914" t="str">
        <f t="shared" si="7"/>
        <v>容积率</v>
      </c>
      <c r="AA11" s="913" t="e">
        <f t="shared" si="3"/>
        <v>#N/A</v>
      </c>
      <c r="AB11" s="913" t="e">
        <f t="shared" si="4"/>
        <v>#N/A</v>
      </c>
      <c r="AC11" s="913" t="e">
        <f t="shared" si="5"/>
        <v>#N/A</v>
      </c>
    </row>
    <row r="12" spans="1:30" s="703" customFormat="1" ht="15">
      <c r="A12" s="747"/>
      <c r="B12" s="748" t="s">
        <v>1434</v>
      </c>
      <c r="C12" s="742"/>
      <c r="D12" s="749">
        <v>100</v>
      </c>
      <c r="E12" s="1035"/>
      <c r="F12" s="743">
        <f>SUMIF(82:82,E12,83:83)-SUMIF(82:82,C12,83:83)+100</f>
        <v>100</v>
      </c>
      <c r="G12" s="1036"/>
      <c r="H12" s="743">
        <f>SUMIF(82:82,G12,83:83)-SUMIF(82:82,C12,83:83)+100</f>
        <v>100</v>
      </c>
      <c r="I12" s="1035"/>
      <c r="J12" s="743">
        <f>SUMIF(82:82,I12,83:83)-SUMIF(82:82,C12,83:83)+100</f>
        <v>100</v>
      </c>
      <c r="K12" s="866"/>
      <c r="L12" s="863"/>
      <c r="M12" s="864"/>
      <c r="N12" s="864"/>
      <c r="O12" s="865"/>
      <c r="P12" s="3022"/>
      <c r="Q12" s="903" t="str">
        <f t="shared" si="6"/>
        <v>配建</v>
      </c>
      <c r="R12" s="900" t="s">
        <v>1254</v>
      </c>
      <c r="S12" s="901">
        <f t="shared" si="0"/>
        <v>100</v>
      </c>
      <c r="T12" s="900" t="s">
        <v>1254</v>
      </c>
      <c r="U12" s="901">
        <f t="shared" si="1"/>
        <v>100</v>
      </c>
      <c r="V12" s="900" t="s">
        <v>1254</v>
      </c>
      <c r="W12" s="901">
        <f t="shared" si="2"/>
        <v>100</v>
      </c>
      <c r="X12" s="902"/>
      <c r="Y12" s="2900"/>
      <c r="Z12" s="914" t="str">
        <f t="shared" si="7"/>
        <v>配建</v>
      </c>
      <c r="AA12" s="913">
        <f t="shared" si="3"/>
        <v>1</v>
      </c>
      <c r="AB12" s="913">
        <f t="shared" si="4"/>
        <v>1</v>
      </c>
      <c r="AC12" s="913">
        <f t="shared" si="5"/>
        <v>1</v>
      </c>
    </row>
    <row r="13" spans="1:30" ht="15">
      <c r="A13" s="744"/>
      <c r="B13" s="748">
        <v>111</v>
      </c>
      <c r="C13" s="752"/>
      <c r="D13" s="753">
        <v>100</v>
      </c>
      <c r="E13" s="750"/>
      <c r="F13" s="743">
        <f>SUMIF(84:84,E13,85:85)-SUMIF(84:84,C13,85:85)+100</f>
        <v>100</v>
      </c>
      <c r="G13" s="751"/>
      <c r="H13" s="753">
        <f>SUMIF(84:84,G13,85:85)-SUMIF(84:84,C13,85:85)+100</f>
        <v>100</v>
      </c>
      <c r="I13" s="751"/>
      <c r="J13" s="753">
        <f>SUMIF(84:84,I13,85:85)-SUMIF(84:84,C13,85:85)+100</f>
        <v>100</v>
      </c>
      <c r="K13" s="866"/>
      <c r="L13" s="873"/>
      <c r="M13" s="861"/>
      <c r="N13" s="861"/>
      <c r="O13" s="872"/>
      <c r="P13" s="3022"/>
      <c r="Q13" s="903">
        <f t="shared" si="6"/>
        <v>111</v>
      </c>
      <c r="R13" s="900" t="s">
        <v>1254</v>
      </c>
      <c r="S13" s="901">
        <f t="shared" si="0"/>
        <v>100</v>
      </c>
      <c r="T13" s="900" t="s">
        <v>1254</v>
      </c>
      <c r="U13" s="901">
        <f t="shared" si="1"/>
        <v>100</v>
      </c>
      <c r="V13" s="900" t="s">
        <v>1254</v>
      </c>
      <c r="W13" s="901">
        <f t="shared" si="2"/>
        <v>100</v>
      </c>
      <c r="X13" s="902"/>
      <c r="Y13" s="2900"/>
      <c r="Z13" s="914">
        <f t="shared" si="7"/>
        <v>111</v>
      </c>
      <c r="AA13" s="913">
        <f t="shared" si="3"/>
        <v>1</v>
      </c>
      <c r="AB13" s="913">
        <f t="shared" si="4"/>
        <v>1</v>
      </c>
      <c r="AC13" s="913">
        <f t="shared" si="5"/>
        <v>1</v>
      </c>
    </row>
    <row r="14" spans="1:30" ht="15">
      <c r="A14" s="754"/>
      <c r="B14" s="755">
        <v>111</v>
      </c>
      <c r="C14" s="756"/>
      <c r="D14" s="757">
        <v>100</v>
      </c>
      <c r="E14" s="750"/>
      <c r="F14" s="757">
        <f>SUMIF(86:86,E14,87:87)-SUMIF(86:86,C14,87:87)+100</f>
        <v>100</v>
      </c>
      <c r="G14" s="751"/>
      <c r="H14" s="757">
        <f>SUMIF(86:86,G14,87:87)-SUMIF(86:86,C14,87:87)+100</f>
        <v>100</v>
      </c>
      <c r="I14" s="751"/>
      <c r="J14" s="757">
        <f>SUMIF(86:86,I14,87:87)-SUMIF(86:86,C14,87:87)+100</f>
        <v>100</v>
      </c>
      <c r="K14" s="866"/>
      <c r="L14" s="873"/>
      <c r="M14" s="861"/>
      <c r="N14" s="861"/>
      <c r="O14" s="872"/>
      <c r="P14" s="3022"/>
      <c r="Q14" s="903">
        <f t="shared" si="6"/>
        <v>111</v>
      </c>
      <c r="R14" s="900" t="s">
        <v>1254</v>
      </c>
      <c r="S14" s="901">
        <f t="shared" si="0"/>
        <v>100</v>
      </c>
      <c r="T14" s="900" t="s">
        <v>1254</v>
      </c>
      <c r="U14" s="901">
        <f t="shared" si="1"/>
        <v>100</v>
      </c>
      <c r="V14" s="900" t="s">
        <v>1254</v>
      </c>
      <c r="W14" s="901">
        <f t="shared" si="2"/>
        <v>100</v>
      </c>
      <c r="X14" s="902"/>
      <c r="Y14" s="2900"/>
      <c r="Z14" s="914">
        <f t="shared" si="7"/>
        <v>111</v>
      </c>
      <c r="AA14" s="913">
        <f t="shared" si="3"/>
        <v>1</v>
      </c>
      <c r="AB14" s="913">
        <f t="shared" si="4"/>
        <v>1</v>
      </c>
      <c r="AC14" s="913">
        <f t="shared" si="5"/>
        <v>1</v>
      </c>
    </row>
    <row r="15" spans="1:30" ht="99.75">
      <c r="A15" s="722" t="s">
        <v>1266</v>
      </c>
      <c r="B15" s="1037" t="s">
        <v>207</v>
      </c>
      <c r="C15" s="1038" t="str">
        <f>估价对象房地状况!C15</f>
        <v>估价对象周边居住用地比例、居住小区规模和社区发展完善程度，综合评价居住社区成熟度一般</v>
      </c>
      <c r="D15" s="761">
        <v>100</v>
      </c>
      <c r="E15" s="762"/>
      <c r="F15" s="761">
        <f>SUMIF(88:88,E16,89:89)-SUMIF(88:88,C16,89:89)+100</f>
        <v>100</v>
      </c>
      <c r="G15" s="762"/>
      <c r="H15" s="761">
        <f>SUMIF(88:88,G16,89:89)-SUMIF(88:88,C16,89:89)+100</f>
        <v>100</v>
      </c>
      <c r="I15" s="874"/>
      <c r="J15" s="761">
        <f>SUMIF(88:88,I16,89:89)-SUMIF(88:88,C16,89:89)+100</f>
        <v>100</v>
      </c>
      <c r="K15" s="870"/>
      <c r="L15" s="873"/>
      <c r="M15" s="861"/>
      <c r="N15" s="861"/>
      <c r="O15" s="872"/>
      <c r="P15" s="3029" t="s">
        <v>1267</v>
      </c>
      <c r="Q15" s="492" t="str">
        <f t="shared" si="6"/>
        <v>居住社区成熟度</v>
      </c>
      <c r="R15" s="904" t="s">
        <v>1254</v>
      </c>
      <c r="S15" s="905">
        <f t="shared" si="0"/>
        <v>100</v>
      </c>
      <c r="T15" s="904" t="s">
        <v>1254</v>
      </c>
      <c r="U15" s="905">
        <f t="shared" si="1"/>
        <v>100</v>
      </c>
      <c r="V15" s="904" t="s">
        <v>1254</v>
      </c>
      <c r="W15" s="905">
        <f t="shared" si="2"/>
        <v>100</v>
      </c>
      <c r="X15" s="898"/>
      <c r="Y15" s="3029" t="s">
        <v>1267</v>
      </c>
      <c r="Z15" s="833" t="str">
        <f t="shared" si="7"/>
        <v>居住社区成熟度</v>
      </c>
      <c r="AA15" s="915">
        <f t="shared" si="3"/>
        <v>1</v>
      </c>
      <c r="AB15" s="915">
        <f t="shared" si="4"/>
        <v>1</v>
      </c>
      <c r="AC15" s="915">
        <f t="shared" si="5"/>
        <v>1</v>
      </c>
    </row>
    <row r="16" spans="1:30" ht="15">
      <c r="A16" s="724"/>
      <c r="B16" s="1039"/>
      <c r="C16" s="766"/>
      <c r="D16" s="765"/>
      <c r="E16" s="773"/>
      <c r="F16" s="765"/>
      <c r="G16" s="773"/>
      <c r="H16" s="767"/>
      <c r="I16" s="876"/>
      <c r="J16" s="765"/>
      <c r="K16" s="866"/>
      <c r="L16" s="873"/>
      <c r="M16" s="861"/>
      <c r="N16" s="861"/>
      <c r="O16" s="872"/>
      <c r="P16" s="3030"/>
      <c r="Q16" s="492"/>
      <c r="R16" s="904"/>
      <c r="S16" s="905"/>
      <c r="T16" s="904"/>
      <c r="U16" s="905"/>
      <c r="V16" s="904"/>
      <c r="W16" s="905"/>
      <c r="X16" s="898"/>
      <c r="Y16" s="3030"/>
      <c r="Z16" s="833"/>
      <c r="AA16" s="915">
        <v>1</v>
      </c>
      <c r="AB16" s="915">
        <v>1</v>
      </c>
      <c r="AC16" s="915">
        <v>1</v>
      </c>
    </row>
    <row r="17" spans="1:29" ht="71.25">
      <c r="A17" s="724"/>
      <c r="B17" s="1040" t="s">
        <v>208</v>
      </c>
      <c r="C17" s="1041" t="str">
        <f>估价对象房地状况!C16</f>
        <v>估价对象位于XX商圈，周边商业氛围成熟，人流量大，商业繁华度好</v>
      </c>
      <c r="D17" s="767">
        <v>100</v>
      </c>
      <c r="E17" s="770"/>
      <c r="F17" s="767">
        <f>SUMIF(90:90,E18,91:91)-SUMIF(90:90,C18,91:91)+100</f>
        <v>100</v>
      </c>
      <c r="G17" s="770"/>
      <c r="H17" s="771">
        <f>SUMIF(90:90,G18,91:91)-SUMIF(90:90,C18,91:91)+100</f>
        <v>100</v>
      </c>
      <c r="I17" s="875"/>
      <c r="J17" s="771">
        <f>SUMIF(90:90,I18,91:91)-SUMIF(90:90,C18,91:91)+100</f>
        <v>100</v>
      </c>
      <c r="K17" s="870"/>
      <c r="L17" s="873"/>
      <c r="M17" s="861"/>
      <c r="N17" s="861"/>
      <c r="O17" s="872"/>
      <c r="P17" s="3030"/>
      <c r="Q17" s="492" t="str">
        <f>B17</f>
        <v>商业繁华度</v>
      </c>
      <c r="R17" s="904" t="s">
        <v>1254</v>
      </c>
      <c r="S17" s="905">
        <f>F17</f>
        <v>100</v>
      </c>
      <c r="T17" s="904" t="s">
        <v>1254</v>
      </c>
      <c r="U17" s="905">
        <f>H17</f>
        <v>100</v>
      </c>
      <c r="V17" s="904" t="s">
        <v>1254</v>
      </c>
      <c r="W17" s="905">
        <f>J17</f>
        <v>100</v>
      </c>
      <c r="X17" s="898"/>
      <c r="Y17" s="3030"/>
      <c r="Z17" s="833" t="str">
        <f>Q17</f>
        <v>商业繁华度</v>
      </c>
      <c r="AA17" s="915">
        <f t="shared" si="3"/>
        <v>1</v>
      </c>
      <c r="AB17" s="915">
        <f t="shared" si="4"/>
        <v>1</v>
      </c>
      <c r="AC17" s="915">
        <f t="shared" si="5"/>
        <v>1</v>
      </c>
    </row>
    <row r="18" spans="1:29" ht="15">
      <c r="A18" s="724"/>
      <c r="B18" s="1042"/>
      <c r="C18" s="1043"/>
      <c r="D18" s="767"/>
      <c r="E18" s="1044"/>
      <c r="F18" s="767"/>
      <c r="G18" s="1044"/>
      <c r="H18" s="765"/>
      <c r="I18" s="1061"/>
      <c r="J18" s="765"/>
      <c r="K18" s="866"/>
      <c r="L18" s="873"/>
      <c r="M18" s="861"/>
      <c r="N18" s="861"/>
      <c r="O18" s="872"/>
      <c r="P18" s="3030"/>
      <c r="Q18" s="492"/>
      <c r="R18" s="904"/>
      <c r="S18" s="905"/>
      <c r="T18" s="904"/>
      <c r="U18" s="905"/>
      <c r="V18" s="904"/>
      <c r="W18" s="905"/>
      <c r="X18" s="898"/>
      <c r="Y18" s="3030"/>
      <c r="Z18" s="833"/>
      <c r="AA18" s="915">
        <v>1</v>
      </c>
      <c r="AB18" s="915">
        <v>1</v>
      </c>
      <c r="AC18" s="915">
        <v>1</v>
      </c>
    </row>
    <row r="19" spans="1:29" ht="71.25">
      <c r="A19" s="724"/>
      <c r="B19" s="1040" t="s">
        <v>209</v>
      </c>
      <c r="C19" s="1041" t="str">
        <f>估价对象房地状况!C17</f>
        <v>估价对象位于XX商圈，周边办公楼项目较多，入驻率高，办公集聚程度较好</v>
      </c>
      <c r="D19" s="771">
        <v>100</v>
      </c>
      <c r="E19" s="1045"/>
      <c r="F19" s="771">
        <f>SUMIF(92:92,E20,93:93)-SUMIF(92:92,C20,93:93)+100</f>
        <v>100</v>
      </c>
      <c r="G19" s="1045"/>
      <c r="H19" s="767">
        <f>SUMIF(92:92,G20,93:93)-SUMIF(92:92,C20,93:93)+100</f>
        <v>100</v>
      </c>
      <c r="I19" s="1062"/>
      <c r="J19" s="767">
        <f>SUMIF(92:92,I20,93:93)-SUMIF(92:92,C20,93:93)+100</f>
        <v>100</v>
      </c>
      <c r="K19" s="870"/>
      <c r="L19" s="873"/>
      <c r="M19" s="861"/>
      <c r="N19" s="861"/>
      <c r="O19" s="872"/>
      <c r="P19" s="3030"/>
      <c r="Q19" s="492" t="str">
        <f>B19</f>
        <v>办公集聚程度</v>
      </c>
      <c r="R19" s="904" t="s">
        <v>1254</v>
      </c>
      <c r="S19" s="905">
        <f>F19</f>
        <v>100</v>
      </c>
      <c r="T19" s="904" t="s">
        <v>1254</v>
      </c>
      <c r="U19" s="905">
        <f>H19</f>
        <v>100</v>
      </c>
      <c r="V19" s="904" t="s">
        <v>1254</v>
      </c>
      <c r="W19" s="905">
        <f>J19</f>
        <v>100</v>
      </c>
      <c r="X19" s="898"/>
      <c r="Y19" s="3030"/>
      <c r="Z19" s="833" t="str">
        <f>Q19</f>
        <v>办公集聚程度</v>
      </c>
      <c r="AA19" s="915">
        <f t="shared" si="3"/>
        <v>1</v>
      </c>
      <c r="AB19" s="915">
        <f t="shared" si="4"/>
        <v>1</v>
      </c>
      <c r="AC19" s="915">
        <f t="shared" si="5"/>
        <v>1</v>
      </c>
    </row>
    <row r="20" spans="1:29" ht="15">
      <c r="A20" s="724"/>
      <c r="B20" s="1042"/>
      <c r="C20" s="766"/>
      <c r="D20" s="765"/>
      <c r="E20" s="773"/>
      <c r="F20" s="765"/>
      <c r="G20" s="773"/>
      <c r="H20" s="765"/>
      <c r="I20" s="876"/>
      <c r="J20" s="765"/>
      <c r="K20" s="866"/>
      <c r="L20" s="873"/>
      <c r="M20" s="861"/>
      <c r="N20" s="861"/>
      <c r="O20" s="872"/>
      <c r="P20" s="3030"/>
      <c r="Q20" s="492"/>
      <c r="R20" s="904"/>
      <c r="S20" s="905"/>
      <c r="T20" s="904"/>
      <c r="U20" s="905"/>
      <c r="V20" s="904"/>
      <c r="W20" s="905"/>
      <c r="X20" s="898"/>
      <c r="Y20" s="3030"/>
      <c r="Z20" s="833"/>
      <c r="AA20" s="915">
        <v>1</v>
      </c>
      <c r="AB20" s="915">
        <v>1</v>
      </c>
      <c r="AC20" s="915">
        <v>1</v>
      </c>
    </row>
    <row r="21" spans="1:29" ht="85.5">
      <c r="A21" s="724"/>
      <c r="B21" s="1040" t="s">
        <v>211</v>
      </c>
      <c r="C21" s="1046" t="str">
        <f>估价对象房地状况!C18</f>
        <v>估价对象周边道路状况、公共交通通达情况、停车便捷程度，综合评价交通便捷度较好</v>
      </c>
      <c r="D21" s="767">
        <v>100</v>
      </c>
      <c r="E21" s="770"/>
      <c r="F21" s="771">
        <f>SUMIF(94:94,E22,95:95)-SUMIF(94:94,C22,95:95)+100</f>
        <v>100</v>
      </c>
      <c r="G21" s="770"/>
      <c r="H21" s="767">
        <f>SUMIF(94:94,G22,95:95)-SUMIF(94:94,C22,95:95)+100</f>
        <v>100</v>
      </c>
      <c r="I21" s="875"/>
      <c r="J21" s="767">
        <f>SUMIF(94:94,I22,95:95)-SUMIF(94:94,C22,95:95)+100</f>
        <v>100</v>
      </c>
      <c r="K21" s="870"/>
      <c r="L21" s="873"/>
      <c r="M21" s="861"/>
      <c r="N21" s="861"/>
      <c r="O21" s="872"/>
      <c r="P21" s="3030"/>
      <c r="Q21" s="492" t="str">
        <f>B21</f>
        <v>交通便捷度</v>
      </c>
      <c r="R21" s="904" t="s">
        <v>1254</v>
      </c>
      <c r="S21" s="905">
        <f>F21</f>
        <v>100</v>
      </c>
      <c r="T21" s="904" t="s">
        <v>1254</v>
      </c>
      <c r="U21" s="905">
        <f>H21</f>
        <v>100</v>
      </c>
      <c r="V21" s="904" t="s">
        <v>1254</v>
      </c>
      <c r="W21" s="905">
        <f>J21</f>
        <v>100</v>
      </c>
      <c r="X21" s="898"/>
      <c r="Y21" s="3030"/>
      <c r="Z21" s="833" t="str">
        <f>Q21</f>
        <v>交通便捷度</v>
      </c>
      <c r="AA21" s="915">
        <f t="shared" si="3"/>
        <v>1</v>
      </c>
      <c r="AB21" s="915">
        <f t="shared" si="4"/>
        <v>1</v>
      </c>
      <c r="AC21" s="915">
        <f t="shared" si="5"/>
        <v>1</v>
      </c>
    </row>
    <row r="22" spans="1:29" ht="15">
      <c r="A22" s="724"/>
      <c r="B22" s="1047"/>
      <c r="C22" s="766"/>
      <c r="D22" s="767"/>
      <c r="E22" s="773"/>
      <c r="F22" s="765"/>
      <c r="G22" s="773"/>
      <c r="H22" s="765"/>
      <c r="I22" s="876"/>
      <c r="J22" s="765"/>
      <c r="K22" s="866"/>
      <c r="L22" s="873"/>
      <c r="M22" s="861"/>
      <c r="N22" s="861"/>
      <c r="O22" s="872"/>
      <c r="P22" s="3030"/>
      <c r="Q22" s="492"/>
      <c r="R22" s="904"/>
      <c r="S22" s="905"/>
      <c r="T22" s="904"/>
      <c r="U22" s="905"/>
      <c r="V22" s="904"/>
      <c r="W22" s="905"/>
      <c r="X22" s="898"/>
      <c r="Y22" s="3030"/>
      <c r="Z22" s="833"/>
      <c r="AA22" s="915">
        <v>1</v>
      </c>
      <c r="AB22" s="915">
        <v>1</v>
      </c>
      <c r="AC22" s="915">
        <v>1</v>
      </c>
    </row>
    <row r="23" spans="1:29" ht="15">
      <c r="A23" s="724"/>
      <c r="B23" s="1048" t="s">
        <v>212</v>
      </c>
      <c r="C23" s="1049">
        <f>估价对象房地状况!C19</f>
        <v>0</v>
      </c>
      <c r="D23" s="771">
        <v>100</v>
      </c>
      <c r="E23" s="770"/>
      <c r="F23" s="771">
        <f>SUMIF(96:96,E24,97:97)-SUMIF(96:96,C24,97:97)+100</f>
        <v>100</v>
      </c>
      <c r="G23" s="875"/>
      <c r="H23" s="771">
        <f>SUMIF(96:96,G24,97:97)-SUMIF(96:96,C24,97:97)+100</f>
        <v>100</v>
      </c>
      <c r="I23" s="875"/>
      <c r="J23" s="771">
        <f>SUMIF(96:96,I24,97:97)-SUMIF(96:96,C24,97:97)+100</f>
        <v>100</v>
      </c>
      <c r="K23" s="870"/>
      <c r="L23" s="873"/>
      <c r="M23" s="861"/>
      <c r="N23" s="861"/>
      <c r="O23" s="872"/>
      <c r="P23" s="3030"/>
      <c r="Q23" s="492" t="str">
        <f t="shared" ref="Q23:Q38" si="8">B23</f>
        <v>区域土地利用方向</v>
      </c>
      <c r="R23" s="904" t="s">
        <v>1254</v>
      </c>
      <c r="S23" s="905">
        <f>F23</f>
        <v>100</v>
      </c>
      <c r="T23" s="904" t="s">
        <v>1254</v>
      </c>
      <c r="U23" s="905">
        <f>H23</f>
        <v>100</v>
      </c>
      <c r="V23" s="904" t="s">
        <v>1254</v>
      </c>
      <c r="W23" s="905">
        <f>J23</f>
        <v>100</v>
      </c>
      <c r="X23" s="898"/>
      <c r="Y23" s="3030"/>
      <c r="Z23" s="833" t="str">
        <f>Q23</f>
        <v>区域土地利用方向</v>
      </c>
      <c r="AA23" s="915">
        <f t="shared" si="3"/>
        <v>1</v>
      </c>
      <c r="AB23" s="915">
        <f t="shared" si="4"/>
        <v>1</v>
      </c>
      <c r="AC23" s="915">
        <f t="shared" si="5"/>
        <v>1</v>
      </c>
    </row>
    <row r="24" spans="1:29" ht="15">
      <c r="A24" s="724"/>
      <c r="B24" s="1050"/>
      <c r="C24" s="779"/>
      <c r="D24" s="765"/>
      <c r="E24" s="773"/>
      <c r="F24" s="765"/>
      <c r="G24" s="876"/>
      <c r="H24" s="765"/>
      <c r="I24" s="876"/>
      <c r="J24" s="765"/>
      <c r="K24" s="877"/>
      <c r="L24" s="873"/>
      <c r="M24" s="861"/>
      <c r="N24" s="861"/>
      <c r="O24" s="872"/>
      <c r="P24" s="3030"/>
      <c r="Q24" s="492"/>
      <c r="R24" s="904"/>
      <c r="S24" s="905"/>
      <c r="T24" s="904"/>
      <c r="U24" s="905"/>
      <c r="V24" s="904"/>
      <c r="W24" s="905"/>
      <c r="X24" s="898"/>
      <c r="Y24" s="3030"/>
      <c r="Z24" s="833"/>
      <c r="AA24" s="915"/>
      <c r="AB24" s="915"/>
      <c r="AC24" s="915"/>
    </row>
    <row r="25" spans="1:29" ht="57">
      <c r="A25" s="724"/>
      <c r="B25" s="1047" t="s">
        <v>574</v>
      </c>
      <c r="C25" s="1041" t="str">
        <f>估价对象房地状况!C20</f>
        <v>区域自然环境：；人文环境；综合评价环境状况一般</v>
      </c>
      <c r="D25" s="767">
        <v>100</v>
      </c>
      <c r="E25" s="770"/>
      <c r="F25" s="767">
        <f>SUMIF(98:98,E26,99:99)-SUMIF(98:98,C26,99:99)+100</f>
        <v>100</v>
      </c>
      <c r="G25" s="770"/>
      <c r="H25" s="767">
        <f>SUMIF(98:98,G26,99:99)-SUMIF(98:98,C26,99:99)+100</f>
        <v>100</v>
      </c>
      <c r="I25" s="875"/>
      <c r="J25" s="767">
        <f>SUMIF(98:98,I26,99:99)-SUMIF(98:98,C26,99:99)+100</f>
        <v>100</v>
      </c>
      <c r="K25" s="870"/>
      <c r="L25" s="873"/>
      <c r="M25" s="861"/>
      <c r="N25" s="861"/>
      <c r="O25" s="872"/>
      <c r="P25" s="3030"/>
      <c r="Q25" s="492" t="str">
        <f t="shared" si="8"/>
        <v>自然及人文环境状况</v>
      </c>
      <c r="R25" s="904" t="s">
        <v>1254</v>
      </c>
      <c r="S25" s="905">
        <f>F25</f>
        <v>100</v>
      </c>
      <c r="T25" s="904" t="s">
        <v>1254</v>
      </c>
      <c r="U25" s="905">
        <f>H25</f>
        <v>100</v>
      </c>
      <c r="V25" s="904" t="s">
        <v>1254</v>
      </c>
      <c r="W25" s="905">
        <f>J25</f>
        <v>100</v>
      </c>
      <c r="X25" s="898"/>
      <c r="Y25" s="3030"/>
      <c r="Z25" s="833" t="str">
        <f>Q25</f>
        <v>自然及人文环境状况</v>
      </c>
      <c r="AA25" s="915">
        <f t="shared" si="3"/>
        <v>1</v>
      </c>
      <c r="AB25" s="915">
        <f t="shared" si="4"/>
        <v>1</v>
      </c>
      <c r="AC25" s="915">
        <f t="shared" si="5"/>
        <v>1</v>
      </c>
    </row>
    <row r="26" spans="1:29" ht="15">
      <c r="A26" s="724"/>
      <c r="B26" s="1042"/>
      <c r="C26" s="766"/>
      <c r="D26" s="765"/>
      <c r="E26" s="766"/>
      <c r="F26" s="765"/>
      <c r="G26" s="766"/>
      <c r="H26" s="765"/>
      <c r="I26" s="764"/>
      <c r="J26" s="765"/>
      <c r="K26" s="866"/>
      <c r="L26" s="873"/>
      <c r="M26" s="861"/>
      <c r="N26" s="861"/>
      <c r="O26" s="872"/>
      <c r="P26" s="3030"/>
      <c r="Q26" s="492"/>
      <c r="R26" s="904"/>
      <c r="S26" s="905"/>
      <c r="T26" s="904"/>
      <c r="U26" s="905"/>
      <c r="V26" s="904"/>
      <c r="W26" s="905"/>
      <c r="X26" s="898"/>
      <c r="Y26" s="3030"/>
      <c r="Z26" s="833"/>
      <c r="AA26" s="915">
        <v>1</v>
      </c>
      <c r="AB26" s="915">
        <v>1</v>
      </c>
      <c r="AC26" s="915">
        <v>1</v>
      </c>
    </row>
    <row r="27" spans="1:29" ht="42.75">
      <c r="A27" s="724"/>
      <c r="B27" s="1047" t="s">
        <v>213</v>
      </c>
      <c r="C27" s="1046" t="str">
        <f>估价对象房地状况!C21</f>
        <v>估价对象所在区域公共配套设施齐备情况</v>
      </c>
      <c r="D27" s="767">
        <v>100</v>
      </c>
      <c r="E27" s="770"/>
      <c r="F27" s="767">
        <f>SUMIF(100:100,E28,101:101)-SUMIF(100:100,C28,101:101)+100</f>
        <v>100</v>
      </c>
      <c r="G27" s="770"/>
      <c r="H27" s="767">
        <f>SUMIF(100:100,G28,101:101)-SUMIF(100:100,C28,101:101)+100</f>
        <v>100</v>
      </c>
      <c r="I27" s="875"/>
      <c r="J27" s="767">
        <f>SUMIF(100:100,I28,101:101)-SUMIF(100:100,C28,101:101)+100</f>
        <v>100</v>
      </c>
      <c r="K27" s="1063"/>
      <c r="L27" s="873"/>
      <c r="M27" s="861"/>
      <c r="N27" s="861"/>
      <c r="O27" s="872"/>
      <c r="P27" s="3030"/>
      <c r="Q27" s="903" t="str">
        <f t="shared" ref="Q27" si="9">B27</f>
        <v>公共配套设施</v>
      </c>
      <c r="R27" s="900" t="s">
        <v>1254</v>
      </c>
      <c r="S27" s="901">
        <f>F27</f>
        <v>100</v>
      </c>
      <c r="T27" s="900" t="s">
        <v>1254</v>
      </c>
      <c r="U27" s="901">
        <f>H27</f>
        <v>100</v>
      </c>
      <c r="V27" s="900" t="s">
        <v>1254</v>
      </c>
      <c r="W27" s="901">
        <f>J27</f>
        <v>100</v>
      </c>
      <c r="X27" s="898"/>
      <c r="Y27" s="3030"/>
      <c r="Z27" s="914" t="str">
        <f>Q27</f>
        <v>公共配套设施</v>
      </c>
      <c r="AA27" s="915">
        <f>D27/F27</f>
        <v>1</v>
      </c>
      <c r="AB27" s="915">
        <f>D27/H27</f>
        <v>1</v>
      </c>
      <c r="AC27" s="915">
        <f>D27/J27</f>
        <v>1</v>
      </c>
    </row>
    <row r="28" spans="1:29" ht="15">
      <c r="A28" s="724"/>
      <c r="B28" s="1042"/>
      <c r="C28" s="777"/>
      <c r="D28" s="765"/>
      <c r="E28" s="777"/>
      <c r="F28" s="765"/>
      <c r="G28" s="777"/>
      <c r="H28" s="765"/>
      <c r="I28" s="777"/>
      <c r="J28" s="765"/>
      <c r="K28" s="866"/>
      <c r="L28" s="873"/>
      <c r="M28" s="861"/>
      <c r="N28" s="861"/>
      <c r="O28" s="872"/>
      <c r="P28" s="3030"/>
      <c r="Q28" s="492"/>
      <c r="R28" s="904"/>
      <c r="S28" s="905"/>
      <c r="T28" s="904"/>
      <c r="U28" s="905"/>
      <c r="V28" s="904"/>
      <c r="W28" s="905"/>
      <c r="X28" s="898"/>
      <c r="Y28" s="3030"/>
      <c r="Z28" s="914"/>
      <c r="AA28" s="915">
        <v>1</v>
      </c>
      <c r="AB28" s="915">
        <v>1</v>
      </c>
      <c r="AC28" s="915">
        <v>1</v>
      </c>
    </row>
    <row r="29" spans="1:29" s="703" customFormat="1" ht="28.5">
      <c r="A29" s="774"/>
      <c r="B29" s="1047" t="s">
        <v>214</v>
      </c>
      <c r="C29" s="1051" t="str">
        <f>估价对象房地状况!C22</f>
        <v>估价对象所在区域基础设施水平</v>
      </c>
      <c r="D29" s="767">
        <v>100</v>
      </c>
      <c r="E29" s="770"/>
      <c r="F29" s="767">
        <f>SUMIF(102:102,E30,103:103)-SUMIF(102:102,C30,103:103)+100</f>
        <v>100</v>
      </c>
      <c r="G29" s="770"/>
      <c r="H29" s="767">
        <f>SUMIF(102:102,G30,103:103)-SUMIF(102:102,C30,103:103)+100</f>
        <v>100</v>
      </c>
      <c r="I29" s="875"/>
      <c r="J29" s="767">
        <f>SUMIF(102:102,I30,103:103)-SUMIF(102:102,C30,103:103)+100</f>
        <v>100</v>
      </c>
      <c r="K29" s="1063"/>
      <c r="L29" s="863"/>
      <c r="M29" s="864"/>
      <c r="N29" s="864"/>
      <c r="O29" s="865"/>
      <c r="P29" s="3030"/>
      <c r="Q29" s="903" t="str">
        <f t="shared" si="8"/>
        <v>基础设施水平</v>
      </c>
      <c r="R29" s="900" t="s">
        <v>1254</v>
      </c>
      <c r="S29" s="901">
        <f>F29</f>
        <v>100</v>
      </c>
      <c r="T29" s="900" t="s">
        <v>1254</v>
      </c>
      <c r="U29" s="901">
        <f>H29</f>
        <v>100</v>
      </c>
      <c r="V29" s="900" t="s">
        <v>1254</v>
      </c>
      <c r="W29" s="901">
        <f>J29</f>
        <v>100</v>
      </c>
      <c r="X29" s="902"/>
      <c r="Y29" s="3030"/>
      <c r="Z29" s="914" t="str">
        <f>Q29</f>
        <v>基础设施水平</v>
      </c>
      <c r="AA29" s="915">
        <f>D29/F29</f>
        <v>1</v>
      </c>
      <c r="AB29" s="915">
        <f>D29/H29</f>
        <v>1</v>
      </c>
      <c r="AC29" s="915">
        <f>D29/J29</f>
        <v>1</v>
      </c>
    </row>
    <row r="30" spans="1:29" s="703" customFormat="1" ht="15">
      <c r="A30" s="774"/>
      <c r="B30" s="1042"/>
      <c r="C30" s="777"/>
      <c r="D30" s="765"/>
      <c r="E30" s="777"/>
      <c r="F30" s="765"/>
      <c r="G30" s="777"/>
      <c r="H30" s="765"/>
      <c r="I30" s="777"/>
      <c r="J30" s="765"/>
      <c r="K30" s="866"/>
      <c r="L30" s="863"/>
      <c r="M30" s="864"/>
      <c r="N30" s="864"/>
      <c r="O30" s="865"/>
      <c r="P30" s="3030"/>
      <c r="Q30" s="903"/>
      <c r="R30" s="900"/>
      <c r="S30" s="901"/>
      <c r="T30" s="900"/>
      <c r="U30" s="901"/>
      <c r="V30" s="900"/>
      <c r="W30" s="901"/>
      <c r="X30" s="902"/>
      <c r="Y30" s="3030"/>
      <c r="Z30" s="914"/>
      <c r="AA30" s="915">
        <v>1</v>
      </c>
      <c r="AB30" s="915">
        <v>1</v>
      </c>
      <c r="AC30" s="915">
        <v>1</v>
      </c>
    </row>
    <row r="31" spans="1:29" ht="15">
      <c r="A31" s="724"/>
      <c r="B31" s="1042" t="s">
        <v>216</v>
      </c>
      <c r="C31" s="779"/>
      <c r="D31" s="753">
        <v>100</v>
      </c>
      <c r="E31" s="779"/>
      <c r="F31" s="753">
        <f>SUMIF(104:104,E31,105:105)-SUMIF(104:104,C31,105:105)+100</f>
        <v>100</v>
      </c>
      <c r="G31" s="779"/>
      <c r="H31" s="753">
        <f>SUMIF(104:104,G31,105:105)-SUMIF(104:104,C31,105:105)+100</f>
        <v>100</v>
      </c>
      <c r="I31" s="779"/>
      <c r="J31" s="753">
        <f>SUMIF(104:104,I31,105:105)-SUMIF(104:104,C31,105:105)+100</f>
        <v>100</v>
      </c>
      <c r="K31" s="870"/>
      <c r="L31" s="873"/>
      <c r="M31" s="861"/>
      <c r="N31" s="861"/>
      <c r="O31" s="872"/>
      <c r="P31" s="3030"/>
      <c r="Q31" s="492" t="str">
        <f t="shared" si="8"/>
        <v>临街状况</v>
      </c>
      <c r="R31" s="904" t="s">
        <v>1254</v>
      </c>
      <c r="S31" s="905">
        <f t="shared" ref="S31:S45" si="10">F31</f>
        <v>100</v>
      </c>
      <c r="T31" s="904" t="s">
        <v>1254</v>
      </c>
      <c r="U31" s="905">
        <f t="shared" ref="U31:U45" si="11">H31</f>
        <v>100</v>
      </c>
      <c r="V31" s="904" t="s">
        <v>1254</v>
      </c>
      <c r="W31" s="905">
        <f t="shared" ref="W31:W45" si="12">J31</f>
        <v>100</v>
      </c>
      <c r="X31" s="898"/>
      <c r="Y31" s="3030"/>
      <c r="Z31" s="833" t="str">
        <f t="shared" ref="Z31:Z45" si="13">Q31</f>
        <v>临街状况</v>
      </c>
      <c r="AA31" s="915">
        <f t="shared" si="3"/>
        <v>1</v>
      </c>
      <c r="AB31" s="915">
        <f t="shared" si="4"/>
        <v>1</v>
      </c>
      <c r="AC31" s="915">
        <f t="shared" si="5"/>
        <v>1</v>
      </c>
    </row>
    <row r="32" spans="1:29" ht="27">
      <c r="A32" s="724"/>
      <c r="B32" s="1047" t="s">
        <v>572</v>
      </c>
      <c r="C32" s="770"/>
      <c r="D32" s="767">
        <v>100</v>
      </c>
      <c r="E32" s="770"/>
      <c r="F32" s="767">
        <f>SUMIF(106:106,E33,107:107)-SUMIF(106:106,C33,107:107)+100</f>
        <v>100</v>
      </c>
      <c r="G32" s="770"/>
      <c r="H32" s="767">
        <f>SUMIF(106:106,G33,107:107)-SUMIF(106:106,C33,107:107)+100</f>
        <v>100</v>
      </c>
      <c r="I32" s="875"/>
      <c r="J32" s="767">
        <f>SUMIF(106:106,I33,107:107)-SUMIF(106:106,C33,107:107)+100</f>
        <v>100</v>
      </c>
      <c r="K32" s="870"/>
      <c r="L32" s="873"/>
      <c r="M32" s="861"/>
      <c r="N32" s="861"/>
      <c r="O32" s="872"/>
      <c r="P32" s="3030"/>
      <c r="Q32" s="492" t="str">
        <f t="shared" si="8"/>
        <v>毗邻道路的类型与等级</v>
      </c>
      <c r="R32" s="904" t="s">
        <v>1254</v>
      </c>
      <c r="S32" s="905">
        <f t="shared" si="10"/>
        <v>100</v>
      </c>
      <c r="T32" s="904" t="s">
        <v>1254</v>
      </c>
      <c r="U32" s="905">
        <f t="shared" si="11"/>
        <v>100</v>
      </c>
      <c r="V32" s="904" t="s">
        <v>1254</v>
      </c>
      <c r="W32" s="905">
        <f t="shared" si="12"/>
        <v>100</v>
      </c>
      <c r="X32" s="898"/>
      <c r="Y32" s="3030"/>
      <c r="Z32" s="833" t="str">
        <f t="shared" si="13"/>
        <v>毗邻道路的类型与等级</v>
      </c>
      <c r="AA32" s="915">
        <f t="shared" si="3"/>
        <v>1</v>
      </c>
      <c r="AB32" s="915">
        <f t="shared" si="4"/>
        <v>1</v>
      </c>
      <c r="AC32" s="915">
        <f t="shared" si="5"/>
        <v>1</v>
      </c>
    </row>
    <row r="33" spans="1:29" ht="15">
      <c r="A33" s="724"/>
      <c r="B33" s="1042"/>
      <c r="C33" s="766"/>
      <c r="D33" s="765"/>
      <c r="E33" s="766"/>
      <c r="F33" s="765"/>
      <c r="G33" s="766"/>
      <c r="H33" s="765"/>
      <c r="I33" s="764"/>
      <c r="J33" s="765"/>
      <c r="K33" s="878"/>
      <c r="L33" s="873"/>
      <c r="M33" s="861"/>
      <c r="N33" s="861"/>
      <c r="O33" s="872"/>
      <c r="P33" s="3030"/>
      <c r="Q33" s="492"/>
      <c r="R33" s="904"/>
      <c r="S33" s="905"/>
      <c r="T33" s="904"/>
      <c r="U33" s="905"/>
      <c r="V33" s="904"/>
      <c r="W33" s="905"/>
      <c r="X33" s="898"/>
      <c r="Y33" s="3030"/>
      <c r="Z33" s="833"/>
      <c r="AA33" s="915">
        <v>1</v>
      </c>
      <c r="AB33" s="915">
        <v>1</v>
      </c>
      <c r="AC33" s="915">
        <v>1</v>
      </c>
    </row>
    <row r="34" spans="1:29" ht="15">
      <c r="A34" s="724"/>
      <c r="B34" s="1052" t="s">
        <v>575</v>
      </c>
      <c r="C34" s="779"/>
      <c r="D34" s="753">
        <v>100</v>
      </c>
      <c r="E34" s="779"/>
      <c r="F34" s="753">
        <f>SUMIF(108:108,E34,109:109)-SUMIF(108:108,C34,109:109)+100</f>
        <v>100</v>
      </c>
      <c r="G34" s="779"/>
      <c r="H34" s="753">
        <f>SUMIF(108:108,G34,109:109)-SUMIF(108:108,C34,109:109)+100</f>
        <v>100</v>
      </c>
      <c r="I34" s="778"/>
      <c r="J34" s="753">
        <f>SUMIF(108:108,I34,109:109)-SUMIF(108:108,C34,109:109)+100</f>
        <v>100</v>
      </c>
      <c r="K34" s="879"/>
      <c r="L34" s="873"/>
      <c r="M34" s="861"/>
      <c r="N34" s="861"/>
      <c r="O34" s="872"/>
      <c r="P34" s="3030"/>
      <c r="Q34" s="492" t="str">
        <f t="shared" si="8"/>
        <v>土地级别</v>
      </c>
      <c r="R34" s="904" t="s">
        <v>1254</v>
      </c>
      <c r="S34" s="905">
        <f t="shared" si="10"/>
        <v>100</v>
      </c>
      <c r="T34" s="904" t="s">
        <v>1254</v>
      </c>
      <c r="U34" s="905">
        <f t="shared" si="11"/>
        <v>100</v>
      </c>
      <c r="V34" s="904" t="s">
        <v>1254</v>
      </c>
      <c r="W34" s="905">
        <f t="shared" si="12"/>
        <v>100</v>
      </c>
      <c r="X34" s="898"/>
      <c r="Y34" s="3030"/>
      <c r="Z34" s="833" t="str">
        <f t="shared" si="13"/>
        <v>土地级别</v>
      </c>
      <c r="AA34" s="915">
        <f t="shared" si="3"/>
        <v>1</v>
      </c>
      <c r="AB34" s="915">
        <f t="shared" si="4"/>
        <v>1</v>
      </c>
      <c r="AC34" s="915">
        <f t="shared" si="5"/>
        <v>1</v>
      </c>
    </row>
    <row r="35" spans="1:29" ht="15">
      <c r="A35" s="724"/>
      <c r="B35" s="1053">
        <v>111</v>
      </c>
      <c r="C35" s="784"/>
      <c r="D35" s="753">
        <v>100</v>
      </c>
      <c r="E35" s="784"/>
      <c r="F35" s="753">
        <f>SUMIF(110:110,E35,111:111)-SUMIF(110:110,C35,111:111)+100</f>
        <v>100</v>
      </c>
      <c r="G35" s="784"/>
      <c r="H35" s="753">
        <f>SUMIF(110:110,G35,111:111)-SUMIF(110:110,C35,111:111)+100</f>
        <v>100</v>
      </c>
      <c r="I35" s="751"/>
      <c r="J35" s="753">
        <f>SUMIF(110:110,I35,111:111)-SUMIF(110:110,C35,111:111)+100</f>
        <v>100</v>
      </c>
      <c r="K35" s="878"/>
      <c r="L35" s="873"/>
      <c r="M35" s="861"/>
      <c r="N35" s="861"/>
      <c r="O35" s="872"/>
      <c r="P35" s="3030"/>
      <c r="Q35" s="492">
        <f t="shared" si="8"/>
        <v>111</v>
      </c>
      <c r="R35" s="904" t="s">
        <v>1254</v>
      </c>
      <c r="S35" s="905">
        <f t="shared" si="10"/>
        <v>100</v>
      </c>
      <c r="T35" s="904" t="s">
        <v>1254</v>
      </c>
      <c r="U35" s="905">
        <f t="shared" si="11"/>
        <v>100</v>
      </c>
      <c r="V35" s="904" t="s">
        <v>1254</v>
      </c>
      <c r="W35" s="905">
        <f t="shared" si="12"/>
        <v>100</v>
      </c>
      <c r="X35" s="898"/>
      <c r="Y35" s="3030"/>
      <c r="Z35" s="833">
        <f t="shared" si="13"/>
        <v>111</v>
      </c>
      <c r="AA35" s="915">
        <f t="shared" si="3"/>
        <v>1</v>
      </c>
      <c r="AB35" s="915">
        <f t="shared" si="4"/>
        <v>1</v>
      </c>
      <c r="AC35" s="915">
        <f t="shared" si="5"/>
        <v>1</v>
      </c>
    </row>
    <row r="36" spans="1:29" ht="15">
      <c r="A36" s="785"/>
      <c r="B36" s="1054">
        <v>111</v>
      </c>
      <c r="C36" s="784"/>
      <c r="D36" s="753">
        <v>100</v>
      </c>
      <c r="E36" s="784"/>
      <c r="F36" s="753">
        <f>SUMIF(112:112,E37,113:113)-SUMIF(112:112,C37,113:113)+100</f>
        <v>100</v>
      </c>
      <c r="G36" s="784"/>
      <c r="H36" s="753">
        <f>SUMIF(112:112,G36,113:113)-SUMIF(112:112,C36,113:113)+100</f>
        <v>100</v>
      </c>
      <c r="I36" s="751"/>
      <c r="J36" s="753">
        <f>SUMIF(112:112,I36,113:113)-SUMIF(112:112,C36,113:113)+100</f>
        <v>100</v>
      </c>
      <c r="K36" s="878"/>
      <c r="L36" s="873"/>
      <c r="M36" s="861"/>
      <c r="N36" s="861"/>
      <c r="O36" s="872"/>
      <c r="P36" s="3068" t="s">
        <v>1279</v>
      </c>
      <c r="Q36" s="492">
        <f t="shared" si="8"/>
        <v>111</v>
      </c>
      <c r="R36" s="904" t="s">
        <v>1254</v>
      </c>
      <c r="S36" s="905">
        <f t="shared" si="10"/>
        <v>100</v>
      </c>
      <c r="T36" s="904" t="s">
        <v>1254</v>
      </c>
      <c r="U36" s="905">
        <f t="shared" si="11"/>
        <v>100</v>
      </c>
      <c r="V36" s="904" t="s">
        <v>1254</v>
      </c>
      <c r="W36" s="905">
        <f t="shared" si="12"/>
        <v>100</v>
      </c>
      <c r="X36" s="898"/>
      <c r="Y36" s="3031" t="s">
        <v>1279</v>
      </c>
      <c r="Z36" s="833">
        <f t="shared" si="13"/>
        <v>111</v>
      </c>
      <c r="AA36" s="915">
        <f t="shared" si="3"/>
        <v>1</v>
      </c>
      <c r="AB36" s="915">
        <f t="shared" si="4"/>
        <v>1</v>
      </c>
      <c r="AC36" s="915">
        <f t="shared" si="5"/>
        <v>1</v>
      </c>
    </row>
    <row r="37" spans="1:29" s="705" customFormat="1" ht="15">
      <c r="A37" s="787"/>
      <c r="B37" s="1055">
        <v>111</v>
      </c>
      <c r="C37" s="791"/>
      <c r="D37" s="790">
        <v>100</v>
      </c>
      <c r="E37" s="791"/>
      <c r="F37" s="757">
        <f>SUMIF(114:114,E37,115:115)-SUMIF(114:114,C37,115:115)+100</f>
        <v>100</v>
      </c>
      <c r="G37" s="791"/>
      <c r="H37" s="757">
        <f>SUMIF(114:114,G37,115:115)-SUMIF(114:114,C37,115:115)+100</f>
        <v>100</v>
      </c>
      <c r="I37" s="789"/>
      <c r="J37" s="757">
        <f>SUMIF(114:114,I37,115:115)-SUMIF(114:114,C37,115:115)+100</f>
        <v>100</v>
      </c>
      <c r="K37" s="878"/>
      <c r="L37" s="871"/>
      <c r="M37" s="880"/>
      <c r="N37" s="880"/>
      <c r="O37" s="881"/>
      <c r="P37" s="3031"/>
      <c r="Q37" s="492">
        <f t="shared" si="8"/>
        <v>111</v>
      </c>
      <c r="R37" s="906" t="s">
        <v>1254</v>
      </c>
      <c r="S37" s="907">
        <f t="shared" si="10"/>
        <v>100</v>
      </c>
      <c r="T37" s="906" t="s">
        <v>1254</v>
      </c>
      <c r="U37" s="907">
        <f t="shared" si="11"/>
        <v>100</v>
      </c>
      <c r="V37" s="906" t="s">
        <v>1254</v>
      </c>
      <c r="W37" s="907">
        <f t="shared" si="12"/>
        <v>100</v>
      </c>
      <c r="X37" s="908"/>
      <c r="Y37" s="3031"/>
      <c r="Z37" s="916">
        <f t="shared" si="13"/>
        <v>111</v>
      </c>
      <c r="AA37" s="915">
        <f t="shared" si="3"/>
        <v>1</v>
      </c>
      <c r="AB37" s="915">
        <f t="shared" si="4"/>
        <v>1</v>
      </c>
      <c r="AC37" s="915">
        <f t="shared" si="5"/>
        <v>1</v>
      </c>
    </row>
    <row r="38" spans="1:29" ht="15">
      <c r="A38" s="722" t="s">
        <v>1276</v>
      </c>
      <c r="B38" s="793" t="s">
        <v>1435</v>
      </c>
      <c r="C38" s="794"/>
      <c r="D38" s="795">
        <v>100</v>
      </c>
      <c r="E38" s="794"/>
      <c r="F38" s="795" t="e">
        <f>LOOKUP(E38,117:117,118:118)-LOOKUP(C38,117:117,118:118)+100</f>
        <v>#N/A</v>
      </c>
      <c r="G38" s="794"/>
      <c r="H38" s="795" t="e">
        <f>LOOKUP(G38,117:117,118:118)-LOOKUP(C38,117:117,118:118)+100</f>
        <v>#N/A</v>
      </c>
      <c r="I38" s="882"/>
      <c r="J38" s="795" t="e">
        <f>LOOKUP(I38,117:117,118:118)-LOOKUP(C38,117:117,118:118)+100</f>
        <v>#N/A</v>
      </c>
      <c r="K38" s="878"/>
      <c r="L38" s="873"/>
      <c r="M38" s="861"/>
      <c r="N38" s="861"/>
      <c r="O38" s="872"/>
      <c r="P38" s="3031"/>
      <c r="Q38" s="492" t="str">
        <f t="shared" si="8"/>
        <v>宗地面积</v>
      </c>
      <c r="R38" s="904" t="s">
        <v>1254</v>
      </c>
      <c r="S38" s="905" t="e">
        <f t="shared" si="10"/>
        <v>#N/A</v>
      </c>
      <c r="T38" s="904" t="s">
        <v>1254</v>
      </c>
      <c r="U38" s="905" t="e">
        <f t="shared" si="11"/>
        <v>#N/A</v>
      </c>
      <c r="V38" s="904" t="s">
        <v>1254</v>
      </c>
      <c r="W38" s="905" t="e">
        <f t="shared" si="12"/>
        <v>#N/A</v>
      </c>
      <c r="X38" s="898"/>
      <c r="Y38" s="3031"/>
      <c r="Z38" s="833" t="str">
        <f t="shared" si="13"/>
        <v>宗地面积</v>
      </c>
      <c r="AA38" s="915" t="e">
        <f t="shared" si="3"/>
        <v>#N/A</v>
      </c>
      <c r="AB38" s="915" t="e">
        <f t="shared" si="4"/>
        <v>#N/A</v>
      </c>
      <c r="AC38" s="915" t="e">
        <f t="shared" si="5"/>
        <v>#N/A</v>
      </c>
    </row>
    <row r="39" spans="1:29" ht="15">
      <c r="A39" s="792"/>
      <c r="B39" s="741" t="s">
        <v>1436</v>
      </c>
      <c r="C39" s="796"/>
      <c r="D39" s="753">
        <v>100</v>
      </c>
      <c r="E39" s="796"/>
      <c r="F39" s="753">
        <f>SUMIF(119:119,E39,120:120)-SUMIF(119:119,C39,120:120)+100</f>
        <v>100</v>
      </c>
      <c r="G39" s="796"/>
      <c r="H39" s="753">
        <f>SUMIF(119:119,G39,120:120)-SUMIF(119:119,C39,120:120)+100</f>
        <v>100</v>
      </c>
      <c r="I39" s="796"/>
      <c r="J39" s="753">
        <f>SUMIF(119:119,I39,120:120)-SUMIF(119:119,C39,120:120)+100</f>
        <v>100</v>
      </c>
      <c r="K39" s="879"/>
      <c r="L39" s="873"/>
      <c r="M39" s="861"/>
      <c r="N39" s="861"/>
      <c r="O39" s="872"/>
      <c r="P39" s="3031"/>
      <c r="Q39" s="492" t="str">
        <f t="shared" ref="Q39:Q45" si="14">B39</f>
        <v>宗地形状</v>
      </c>
      <c r="R39" s="904" t="s">
        <v>1254</v>
      </c>
      <c r="S39" s="905">
        <f t="shared" si="10"/>
        <v>100</v>
      </c>
      <c r="T39" s="904" t="s">
        <v>1254</v>
      </c>
      <c r="U39" s="905">
        <f t="shared" si="11"/>
        <v>100</v>
      </c>
      <c r="V39" s="904" t="s">
        <v>1254</v>
      </c>
      <c r="W39" s="905">
        <f t="shared" si="12"/>
        <v>100</v>
      </c>
      <c r="X39" s="898"/>
      <c r="Y39" s="3031"/>
      <c r="Z39" s="833" t="str">
        <f t="shared" si="13"/>
        <v>宗地形状</v>
      </c>
      <c r="AA39" s="915">
        <f t="shared" si="3"/>
        <v>1</v>
      </c>
      <c r="AB39" s="915">
        <f t="shared" si="4"/>
        <v>1</v>
      </c>
      <c r="AC39" s="915">
        <f t="shared" si="5"/>
        <v>1</v>
      </c>
    </row>
    <row r="40" spans="1:29" ht="15">
      <c r="A40" s="792"/>
      <c r="B40" s="741" t="s">
        <v>1437</v>
      </c>
      <c r="C40" s="796"/>
      <c r="D40" s="753">
        <v>100</v>
      </c>
      <c r="E40" s="796"/>
      <c r="F40" s="753">
        <f>SUMIF(121:121,E40,122:122)-SUMIF(121:121,C40,122:122)+100</f>
        <v>100</v>
      </c>
      <c r="G40" s="796"/>
      <c r="H40" s="753">
        <f>SUMIF(121:121,G40,122:122)-SUMIF(121:121,C40,122:122)+100</f>
        <v>100</v>
      </c>
      <c r="I40" s="796"/>
      <c r="J40" s="753">
        <f>SUMIF(121:121,I40,122:122)-SUMIF(121:121,C40,122:122)+100</f>
        <v>100</v>
      </c>
      <c r="K40" s="879"/>
      <c r="L40" s="873"/>
      <c r="M40" s="861"/>
      <c r="N40" s="861"/>
      <c r="O40" s="872"/>
      <c r="P40" s="3031"/>
      <c r="Q40" s="492" t="str">
        <f t="shared" si="14"/>
        <v>临街宽度及深度</v>
      </c>
      <c r="R40" s="904" t="s">
        <v>1254</v>
      </c>
      <c r="S40" s="905">
        <f t="shared" si="10"/>
        <v>100</v>
      </c>
      <c r="T40" s="904" t="s">
        <v>1254</v>
      </c>
      <c r="U40" s="905">
        <f t="shared" si="11"/>
        <v>100</v>
      </c>
      <c r="V40" s="904" t="s">
        <v>1254</v>
      </c>
      <c r="W40" s="905">
        <f t="shared" si="12"/>
        <v>100</v>
      </c>
      <c r="X40" s="898"/>
      <c r="Y40" s="3031"/>
      <c r="Z40" s="833" t="str">
        <f t="shared" si="13"/>
        <v>临街宽度及深度</v>
      </c>
      <c r="AA40" s="915">
        <f t="shared" si="3"/>
        <v>1</v>
      </c>
      <c r="AB40" s="915">
        <f t="shared" si="4"/>
        <v>1</v>
      </c>
      <c r="AC40" s="915">
        <f t="shared" si="5"/>
        <v>1</v>
      </c>
    </row>
    <row r="41" spans="1:29" s="703" customFormat="1" ht="15">
      <c r="A41" s="797"/>
      <c r="B41" s="741" t="s">
        <v>1438</v>
      </c>
      <c r="C41" s="798"/>
      <c r="D41" s="743">
        <v>100</v>
      </c>
      <c r="E41" s="798"/>
      <c r="F41" s="753">
        <f>SUMIF(123:123,E41,124:124)-SUMIF(123:123,C41,124:124)+100</f>
        <v>100</v>
      </c>
      <c r="G41" s="798"/>
      <c r="H41" s="753">
        <f>SUMIF(123:123,G41,124:124)-SUMIF(123:123,C41,124:124)+100</f>
        <v>100</v>
      </c>
      <c r="I41" s="798"/>
      <c r="J41" s="753">
        <f>SUMIF(123:123,I41,124:124)-SUMIF(123:123,C41,124:124)+100</f>
        <v>100</v>
      </c>
      <c r="K41" s="879"/>
      <c r="L41" s="863"/>
      <c r="M41" s="864"/>
      <c r="N41" s="864"/>
      <c r="O41" s="865"/>
      <c r="P41" s="3031"/>
      <c r="Q41" s="492" t="str">
        <f t="shared" si="14"/>
        <v>宗地开发程度</v>
      </c>
      <c r="R41" s="900" t="s">
        <v>1254</v>
      </c>
      <c r="S41" s="901">
        <f t="shared" si="10"/>
        <v>100</v>
      </c>
      <c r="T41" s="900" t="s">
        <v>1254</v>
      </c>
      <c r="U41" s="901">
        <f t="shared" si="11"/>
        <v>100</v>
      </c>
      <c r="V41" s="900" t="s">
        <v>1254</v>
      </c>
      <c r="W41" s="901">
        <f t="shared" si="12"/>
        <v>100</v>
      </c>
      <c r="X41" s="902"/>
      <c r="Y41" s="3031"/>
      <c r="Z41" s="914" t="str">
        <f t="shared" si="13"/>
        <v>宗地开发程度</v>
      </c>
      <c r="AA41" s="913">
        <f t="shared" si="3"/>
        <v>1</v>
      </c>
      <c r="AB41" s="913">
        <f t="shared" si="4"/>
        <v>1</v>
      </c>
      <c r="AC41" s="913">
        <f t="shared" si="5"/>
        <v>1</v>
      </c>
    </row>
    <row r="42" spans="1:29" ht="15">
      <c r="A42" s="792"/>
      <c r="B42" s="741" t="s">
        <v>1439</v>
      </c>
      <c r="C42" s="796"/>
      <c r="D42" s="753">
        <v>100</v>
      </c>
      <c r="E42" s="796"/>
      <c r="F42" s="753">
        <f>SUMIF(125:125,E42,126:126)-SUMIF(125:125,C42,126:126)+100</f>
        <v>100</v>
      </c>
      <c r="G42" s="796"/>
      <c r="H42" s="753">
        <f>SUMIF(125:125,G42,126:126)-SUMIF(125:125,C42,126:126)+100</f>
        <v>100</v>
      </c>
      <c r="I42" s="796"/>
      <c r="J42" s="753">
        <f>SUMIF(125:125,I42,126:126)-SUMIF(125:125,C42,126:126)+100</f>
        <v>100</v>
      </c>
      <c r="K42" s="879"/>
      <c r="L42" s="873"/>
      <c r="M42" s="861"/>
      <c r="N42" s="861"/>
      <c r="O42" s="872"/>
      <c r="P42" s="3031" t="s">
        <v>1279</v>
      </c>
      <c r="Q42" s="492" t="str">
        <f t="shared" si="14"/>
        <v>工程地质条件</v>
      </c>
      <c r="R42" s="904" t="s">
        <v>1254</v>
      </c>
      <c r="S42" s="905">
        <f t="shared" si="10"/>
        <v>100</v>
      </c>
      <c r="T42" s="904" t="s">
        <v>1254</v>
      </c>
      <c r="U42" s="905">
        <f t="shared" si="11"/>
        <v>100</v>
      </c>
      <c r="V42" s="904" t="s">
        <v>1254</v>
      </c>
      <c r="W42" s="905">
        <f t="shared" si="12"/>
        <v>100</v>
      </c>
      <c r="X42" s="898"/>
      <c r="Y42" s="3031" t="s">
        <v>1279</v>
      </c>
      <c r="Z42" s="833" t="str">
        <f t="shared" si="13"/>
        <v>工程地质条件</v>
      </c>
      <c r="AA42" s="915">
        <f t="shared" si="3"/>
        <v>1</v>
      </c>
      <c r="AB42" s="915">
        <f t="shared" si="4"/>
        <v>1</v>
      </c>
      <c r="AC42" s="915">
        <f t="shared" si="5"/>
        <v>1</v>
      </c>
    </row>
    <row r="43" spans="1:29" ht="15">
      <c r="A43" s="792"/>
      <c r="B43" s="799">
        <v>111</v>
      </c>
      <c r="C43" s="751"/>
      <c r="D43" s="753">
        <v>100</v>
      </c>
      <c r="E43" s="751"/>
      <c r="F43" s="753">
        <f>SUMIF(127:127,E43,128:128)-SUMIF(127:127,C43,128:128)+100</f>
        <v>100</v>
      </c>
      <c r="G43" s="751"/>
      <c r="H43" s="753">
        <f>SUMIF(127:127,G43,128:128)-SUMIF(127:127,C43,128:128)+100</f>
        <v>100</v>
      </c>
      <c r="I43" s="750"/>
      <c r="J43" s="753">
        <f>SUMIF(127:127,I43,128:128)-SUMIF(127:127,C43,128:128)+100</f>
        <v>100</v>
      </c>
      <c r="K43" s="878"/>
      <c r="L43" s="873"/>
      <c r="M43" s="861"/>
      <c r="N43" s="861"/>
      <c r="O43" s="872"/>
      <c r="P43" s="3031"/>
      <c r="Q43" s="492">
        <f t="shared" si="14"/>
        <v>111</v>
      </c>
      <c r="R43" s="904" t="s">
        <v>1254</v>
      </c>
      <c r="S43" s="905">
        <f t="shared" si="10"/>
        <v>100</v>
      </c>
      <c r="T43" s="904" t="s">
        <v>1254</v>
      </c>
      <c r="U43" s="905">
        <f t="shared" si="11"/>
        <v>100</v>
      </c>
      <c r="V43" s="904" t="s">
        <v>1254</v>
      </c>
      <c r="W43" s="905">
        <f t="shared" si="12"/>
        <v>100</v>
      </c>
      <c r="X43" s="898"/>
      <c r="Y43" s="3031"/>
      <c r="Z43" s="833">
        <f t="shared" si="13"/>
        <v>111</v>
      </c>
      <c r="AA43" s="915">
        <f t="shared" si="3"/>
        <v>1</v>
      </c>
      <c r="AB43" s="915">
        <f t="shared" si="4"/>
        <v>1</v>
      </c>
      <c r="AC43" s="915">
        <f t="shared" si="5"/>
        <v>1</v>
      </c>
    </row>
    <row r="44" spans="1:29" ht="15">
      <c r="A44" s="792"/>
      <c r="B44" s="799">
        <v>111</v>
      </c>
      <c r="C44" s="751"/>
      <c r="D44" s="753">
        <v>100</v>
      </c>
      <c r="E44" s="751"/>
      <c r="F44" s="753">
        <f>SUMIF(129:129,E44,130:130)-SUMIF(129:129,C44,130:130)+100</f>
        <v>100</v>
      </c>
      <c r="G44" s="751"/>
      <c r="H44" s="753">
        <f>SUMIF(129:129,G44,130:130)-SUMIF(129:129,C44,130:130)+100</f>
        <v>100</v>
      </c>
      <c r="I44" s="750"/>
      <c r="J44" s="753">
        <f>SUMIF(129:129,I44,130:130)-SUMIF(129:129,C44,130:130)+100</f>
        <v>100</v>
      </c>
      <c r="K44" s="878"/>
      <c r="L44" s="873"/>
      <c r="M44" s="861"/>
      <c r="N44" s="861"/>
      <c r="O44" s="872"/>
      <c r="P44" s="3031"/>
      <c r="Q44" s="492">
        <f t="shared" si="14"/>
        <v>111</v>
      </c>
      <c r="R44" s="904" t="s">
        <v>1254</v>
      </c>
      <c r="S44" s="905">
        <f t="shared" si="10"/>
        <v>100</v>
      </c>
      <c r="T44" s="904" t="s">
        <v>1254</v>
      </c>
      <c r="U44" s="905">
        <f t="shared" si="11"/>
        <v>100</v>
      </c>
      <c r="V44" s="904" t="s">
        <v>1254</v>
      </c>
      <c r="W44" s="905">
        <f t="shared" si="12"/>
        <v>100</v>
      </c>
      <c r="X44" s="898"/>
      <c r="Y44" s="3031"/>
      <c r="Z44" s="833">
        <f t="shared" si="13"/>
        <v>111</v>
      </c>
      <c r="AA44" s="915">
        <f t="shared" si="3"/>
        <v>1</v>
      </c>
      <c r="AB44" s="915">
        <f t="shared" si="4"/>
        <v>1</v>
      </c>
      <c r="AC44" s="915">
        <f t="shared" si="5"/>
        <v>1</v>
      </c>
    </row>
    <row r="45" spans="1:29" s="705" customFormat="1" ht="15">
      <c r="A45" s="800"/>
      <c r="B45" s="799">
        <v>111</v>
      </c>
      <c r="C45" s="801"/>
      <c r="D45" s="1056">
        <v>100</v>
      </c>
      <c r="E45" s="751"/>
      <c r="F45" s="757">
        <f>SUMIF(131:131,E45,132:132)-SUMIF(131:131,C45,132:132)+100</f>
        <v>100</v>
      </c>
      <c r="G45" s="751"/>
      <c r="H45" s="757">
        <f>SUMIF(131:131,G45,132:132)-SUMIF(131:131,C45,132:132)+100</f>
        <v>100</v>
      </c>
      <c r="I45" s="751"/>
      <c r="J45" s="757">
        <f>SUMIF(131:131,I45,132:132)-SUMIF(131:131,C45,132:132)+100</f>
        <v>100</v>
      </c>
      <c r="K45" s="883"/>
      <c r="L45" s="871"/>
      <c r="M45" s="880"/>
      <c r="N45" s="880"/>
      <c r="O45" s="881"/>
      <c r="P45" s="3031"/>
      <c r="Q45" s="492">
        <f t="shared" si="14"/>
        <v>111</v>
      </c>
      <c r="R45" s="906" t="s">
        <v>1254</v>
      </c>
      <c r="S45" s="907">
        <f t="shared" si="10"/>
        <v>100</v>
      </c>
      <c r="T45" s="906" t="s">
        <v>1254</v>
      </c>
      <c r="U45" s="907">
        <f t="shared" si="11"/>
        <v>100</v>
      </c>
      <c r="V45" s="906" t="s">
        <v>1254</v>
      </c>
      <c r="W45" s="907">
        <f t="shared" si="12"/>
        <v>100</v>
      </c>
      <c r="X45" s="908"/>
      <c r="Y45" s="3031"/>
      <c r="Z45" s="916">
        <f t="shared" si="13"/>
        <v>111</v>
      </c>
      <c r="AA45" s="915">
        <f t="shared" si="3"/>
        <v>1</v>
      </c>
      <c r="AB45" s="915">
        <f t="shared" si="4"/>
        <v>1</v>
      </c>
      <c r="AC45" s="915">
        <f t="shared" si="5"/>
        <v>1</v>
      </c>
    </row>
    <row r="46" spans="1:29" ht="15">
      <c r="A46" s="802" t="s">
        <v>1425</v>
      </c>
      <c r="B46" s="803" t="s">
        <v>1440</v>
      </c>
      <c r="C46" s="804" t="s">
        <v>121</v>
      </c>
      <c r="D46" s="805"/>
      <c r="E46" s="806"/>
      <c r="F46" s="807"/>
      <c r="G46" s="808"/>
      <c r="H46" s="809"/>
      <c r="I46" s="806"/>
      <c r="J46" s="809"/>
      <c r="K46" s="884"/>
      <c r="L46" s="885"/>
      <c r="M46" s="819"/>
      <c r="N46" s="861"/>
      <c r="O46" s="819"/>
      <c r="P46" s="3022" t="str">
        <f>A46</f>
        <v>成交单价</v>
      </c>
      <c r="Q46" s="3022"/>
      <c r="R46" s="3048">
        <f>E46</f>
        <v>0</v>
      </c>
      <c r="S46" s="3048"/>
      <c r="T46" s="3048">
        <f>G46</f>
        <v>0</v>
      </c>
      <c r="U46" s="3048"/>
      <c r="V46" s="3048">
        <f>I46</f>
        <v>0</v>
      </c>
      <c r="W46" s="3048"/>
      <c r="X46" s="849"/>
      <c r="Y46" s="917"/>
      <c r="Z46" s="849"/>
      <c r="AA46" s="849"/>
      <c r="AB46" s="849"/>
      <c r="AC46" s="849"/>
    </row>
    <row r="47" spans="1:29" ht="15">
      <c r="A47" s="810" t="s">
        <v>1295</v>
      </c>
      <c r="B47" s="811"/>
      <c r="C47" s="812" t="e">
        <f>R48</f>
        <v>#DIV/0!</v>
      </c>
      <c r="D47" s="813"/>
      <c r="E47" s="812" t="e">
        <f>R47</f>
        <v>#DIV/0!</v>
      </c>
      <c r="F47" s="814"/>
      <c r="G47" s="815" t="e">
        <f>T47</f>
        <v>#DIV/0!</v>
      </c>
      <c r="H47" s="813"/>
      <c r="I47" s="812" t="e">
        <f>V47</f>
        <v>#DIV/0!</v>
      </c>
      <c r="J47" s="813"/>
      <c r="K47" s="886"/>
      <c r="L47" s="885"/>
      <c r="M47" s="819"/>
      <c r="N47" s="819"/>
      <c r="O47" s="819"/>
      <c r="P47" s="3022" t="str">
        <f>A47</f>
        <v>比较价值（元/平方米）</v>
      </c>
      <c r="Q47" s="3022"/>
      <c r="R47" s="3069" t="e">
        <f>ROUND(PRODUCT(R46,AA7:AA45),0)</f>
        <v>#DIV/0!</v>
      </c>
      <c r="S47" s="3069"/>
      <c r="T47" s="3069" t="e">
        <f>ROUND(PRODUCT(T46,AB7:AB45),0)</f>
        <v>#DIV/0!</v>
      </c>
      <c r="U47" s="3069"/>
      <c r="V47" s="3069" t="e">
        <f>ROUND(PRODUCT(V46,AC7:AC45),0)</f>
        <v>#DIV/0!</v>
      </c>
      <c r="W47" s="3069"/>
      <c r="X47" s="849"/>
      <c r="Y47" s="849"/>
      <c r="Z47" s="849"/>
      <c r="AA47" s="849"/>
      <c r="AB47" s="849"/>
      <c r="AC47" s="849"/>
    </row>
    <row r="48" spans="1:29" ht="15">
      <c r="A48" s="816" t="s">
        <v>1296</v>
      </c>
      <c r="B48" s="817"/>
      <c r="C48" s="818" t="e">
        <f>R48</f>
        <v>#DIV/0!</v>
      </c>
      <c r="D48" s="818"/>
      <c r="E48" s="818"/>
      <c r="F48" s="818"/>
      <c r="G48" s="818"/>
      <c r="H48" s="818"/>
      <c r="I48" s="818"/>
      <c r="J48" s="818"/>
      <c r="K48" s="887"/>
      <c r="L48" s="885"/>
      <c r="M48" s="819"/>
      <c r="N48" s="819"/>
      <c r="O48" s="819"/>
      <c r="P48" s="3064" t="str">
        <f>A48</f>
        <v>估价对象XX用房的比较价值（楼面单价，元/平方米）</v>
      </c>
      <c r="Q48" s="3021"/>
      <c r="R48" s="3070" t="e">
        <f>ROUND(AVERAGE(R47:V47),0)</f>
        <v>#DIV/0!</v>
      </c>
      <c r="S48" s="3070"/>
      <c r="T48" s="3070"/>
      <c r="U48" s="3070"/>
      <c r="V48" s="3070"/>
      <c r="W48" s="3070"/>
      <c r="X48" s="849"/>
      <c r="Y48" s="849"/>
      <c r="Z48" s="849"/>
      <c r="AA48" s="849"/>
      <c r="AB48" s="849"/>
      <c r="AC48" s="849"/>
    </row>
    <row r="49" spans="1:15">
      <c r="A49" s="819"/>
      <c r="B49" s="819"/>
      <c r="C49" s="819"/>
      <c r="D49" s="819"/>
      <c r="E49" s="819"/>
      <c r="F49" s="819"/>
      <c r="G49" s="820"/>
      <c r="H49" s="819"/>
      <c r="I49" s="819"/>
      <c r="J49" s="819"/>
      <c r="K49" s="889"/>
      <c r="L49" s="890"/>
      <c r="M49" s="819"/>
      <c r="N49" s="819"/>
      <c r="O49" s="819"/>
    </row>
    <row r="50" spans="1:15">
      <c r="A50" s="819"/>
      <c r="B50" s="819"/>
      <c r="C50" s="819"/>
      <c r="D50" s="819"/>
      <c r="E50" s="819"/>
      <c r="F50" s="819"/>
      <c r="G50" s="819"/>
      <c r="H50" s="819"/>
      <c r="I50" s="819"/>
      <c r="J50" s="819"/>
      <c r="K50" s="889"/>
      <c r="L50" s="890"/>
      <c r="M50" s="819"/>
      <c r="N50" s="819"/>
      <c r="O50" s="819"/>
    </row>
    <row r="51" spans="1:15" ht="13.5" customHeight="1">
      <c r="A51" s="819"/>
      <c r="B51" s="819"/>
      <c r="C51" s="821" t="s">
        <v>1297</v>
      </c>
      <c r="D51" s="533"/>
      <c r="E51" s="822" t="e">
        <f>IF(E46&lt;E47,E47/E46-1,E46/E47-1)</f>
        <v>#DIV/0!</v>
      </c>
      <c r="F51" s="823" t="e">
        <f>IF(OR(E51&gt;=0.3,E51&lt;=-0.3),"超过30%","")</f>
        <v>#DIV/0!</v>
      </c>
      <c r="G51" s="822" t="e">
        <f>IF(G46&lt;G47,G47/G46-1,G46/G47-1)</f>
        <v>#DIV/0!</v>
      </c>
      <c r="H51" s="823" t="e">
        <f>IF(OR(G51&gt;=0.3,G51&lt;=-0.3),"超过30%","")</f>
        <v>#DIV/0!</v>
      </c>
      <c r="I51" s="822" t="e">
        <f>IF(I46&lt;I47,I47/I46-1,I46/I47-1)</f>
        <v>#DIV/0!</v>
      </c>
      <c r="J51" s="823" t="e">
        <f>IF(OR(I51&gt;=0.3,I51&lt;=-0.3),"超过30%","")</f>
        <v>#DIV/0!</v>
      </c>
      <c r="K51" s="889"/>
      <c r="L51" s="890"/>
      <c r="M51" s="819"/>
      <c r="N51" s="819"/>
      <c r="O51" s="819"/>
    </row>
    <row r="52" spans="1:15" ht="13.5" customHeight="1">
      <c r="A52" s="819"/>
      <c r="B52" s="819"/>
      <c r="C52" s="821" t="s">
        <v>1298</v>
      </c>
      <c r="D52" s="532"/>
      <c r="E52" s="822" t="e">
        <f>IF(E47&lt;G47,G47/E47-1,E47/G47-1)</f>
        <v>#DIV/0!</v>
      </c>
      <c r="F52" s="823" t="e">
        <f>IF(OR(E52&gt;=0.2,E52&lt;=-0.2),"超过20%","")</f>
        <v>#DIV/0!</v>
      </c>
      <c r="G52" s="822" t="e">
        <f>IF(G47&lt;I47,I47/G47-1,G47/I47-1)</f>
        <v>#DIV/0!</v>
      </c>
      <c r="H52" s="823" t="e">
        <f>IF(OR(G52&gt;=0.2,G52&lt;=-0.2),"超过20%","")</f>
        <v>#DIV/0!</v>
      </c>
      <c r="I52" s="822" t="e">
        <f>IF(I47&lt;E47,E47/I47-1,I47/E47-1)</f>
        <v>#DIV/0!</v>
      </c>
      <c r="J52" s="823" t="e">
        <f>IF(OR(I52&gt;=0.2,I52&lt;=-0.2),"超过20%","")</f>
        <v>#DIV/0!</v>
      </c>
      <c r="K52" s="889"/>
      <c r="L52" s="890"/>
      <c r="M52" s="819"/>
      <c r="N52" s="819"/>
      <c r="O52" s="819"/>
    </row>
    <row r="53" spans="1:15" s="706" customFormat="1" ht="13.5" customHeight="1">
      <c r="A53" s="824"/>
      <c r="B53" s="824"/>
      <c r="C53" s="821" t="s">
        <v>1299</v>
      </c>
      <c r="D53" s="532"/>
      <c r="E53" s="822" t="e">
        <f>IF(E46&lt;G46,G46/E46-1,E46/G46-1)</f>
        <v>#DIV/0!</v>
      </c>
      <c r="F53" s="823" t="e">
        <f>IF(OR(E53&gt;=0.3,E53&lt;=-0.3),"超过30%","")</f>
        <v>#DIV/0!</v>
      </c>
      <c r="G53" s="822" t="e">
        <f>IF(G46&lt;I46,I46/G46-1,G46/I46-1)</f>
        <v>#DIV/0!</v>
      </c>
      <c r="H53" s="823" t="e">
        <f>IF(OR(G53&gt;=0.3,G53&lt;=-0.3),"超过30%","")</f>
        <v>#DIV/0!</v>
      </c>
      <c r="I53" s="822" t="e">
        <f>IF(I46&lt;E46,E46/I46-1,I46/E46-1)</f>
        <v>#DIV/0!</v>
      </c>
      <c r="J53" s="823" t="e">
        <f>IF(OR(I53&gt;=0.3,I53&lt;=-0.3),"超过30%","")</f>
        <v>#DIV/0!</v>
      </c>
      <c r="K53" s="891"/>
      <c r="L53" s="892"/>
      <c r="M53" s="824"/>
      <c r="N53" s="824"/>
      <c r="O53" s="824"/>
    </row>
    <row r="54" spans="1:15" s="706" customFormat="1">
      <c r="A54" s="824"/>
      <c r="B54" s="825"/>
      <c r="C54" s="1057"/>
      <c r="D54" s="1058"/>
      <c r="E54" s="1058"/>
      <c r="F54" s="1058"/>
      <c r="G54" s="1058"/>
      <c r="H54" s="1058"/>
      <c r="I54" s="1058"/>
      <c r="J54" s="1058"/>
      <c r="K54" s="891"/>
      <c r="L54" s="892"/>
      <c r="M54" s="824"/>
      <c r="N54" s="824"/>
      <c r="O54" s="824"/>
    </row>
    <row r="55" spans="1:15" ht="27">
      <c r="A55" s="827" t="s">
        <v>1441</v>
      </c>
      <c r="B55" s="828" t="s">
        <v>1442</v>
      </c>
      <c r="C55" s="829" t="s">
        <v>1443</v>
      </c>
      <c r="D55" s="830" t="s">
        <v>1444</v>
      </c>
      <c r="E55" s="831" t="s">
        <v>1445</v>
      </c>
      <c r="F55" s="832" t="s">
        <v>1446</v>
      </c>
      <c r="G55" s="1059" t="s">
        <v>1447</v>
      </c>
      <c r="H55" s="1059" t="str">
        <f>项目基本情况!G8</f>
        <v>XX</v>
      </c>
      <c r="I55" s="1064" t="s">
        <v>1448</v>
      </c>
      <c r="J55" s="1065"/>
      <c r="K55" s="890"/>
      <c r="L55" s="890"/>
      <c r="M55" s="819"/>
      <c r="N55" s="819"/>
      <c r="O55" s="819"/>
    </row>
    <row r="56" spans="1:15" s="707" customFormat="1">
      <c r="A56" s="834" t="s">
        <v>1449</v>
      </c>
      <c r="B56" s="835" t="e">
        <f>C48</f>
        <v>#DIV/0!</v>
      </c>
      <c r="C56" s="836">
        <v>1</v>
      </c>
      <c r="D56" s="1060">
        <v>1</v>
      </c>
      <c r="E56" s="837">
        <v>120</v>
      </c>
      <c r="F56" s="838" t="e">
        <f t="shared" ref="F56:F65" si="15">ROUND(B56*E56,0)</f>
        <v>#DIV/0!</v>
      </c>
      <c r="G56" s="520">
        <v>1</v>
      </c>
      <c r="H56" s="520">
        <v>1</v>
      </c>
      <c r="I56" s="824"/>
      <c r="J56" s="824"/>
      <c r="K56" s="891"/>
      <c r="L56" s="892"/>
      <c r="M56" s="824"/>
      <c r="N56" s="824"/>
      <c r="O56" s="1066"/>
    </row>
    <row r="57" spans="1:15" s="707" customFormat="1">
      <c r="A57" s="839" t="s">
        <v>1450</v>
      </c>
      <c r="B57" s="840" t="e">
        <f>ROUND($C$48*C57*D57,0)</f>
        <v>#DIV/0!</v>
      </c>
      <c r="C57" s="437">
        <f>IF($C$55="北京市系数",G57,H57)</f>
        <v>0.8</v>
      </c>
      <c r="D57" s="841">
        <v>0.25</v>
      </c>
      <c r="E57" s="837">
        <v>0</v>
      </c>
      <c r="F57" s="838" t="e">
        <f t="shared" si="15"/>
        <v>#DIV/0!</v>
      </c>
      <c r="G57" s="520">
        <f>SUMIF(修正!$A$45:$A$56,项目基本情况!$F$9,修正!B45:B56)</f>
        <v>0.8</v>
      </c>
      <c r="H57" s="842"/>
      <c r="I57" s="819"/>
      <c r="J57" s="889"/>
      <c r="K57" s="890"/>
      <c r="L57" s="890"/>
      <c r="M57" s="819"/>
      <c r="N57" s="819"/>
      <c r="O57" s="1066"/>
    </row>
    <row r="58" spans="1:15" s="707" customFormat="1">
      <c r="A58" s="839" t="s">
        <v>1451</v>
      </c>
      <c r="B58" s="840" t="e">
        <f t="shared" ref="B58:B65" si="16">ROUND($C$48*C58*D58,0)</f>
        <v>#DIV/0!</v>
      </c>
      <c r="C58" s="437">
        <f t="shared" ref="C58:C65" si="17">IF($C$55="北京市系数",G58,H58)</f>
        <v>0.5</v>
      </c>
      <c r="D58" s="841">
        <v>0.25</v>
      </c>
      <c r="E58" s="837">
        <v>0</v>
      </c>
      <c r="F58" s="838" t="e">
        <f t="shared" si="15"/>
        <v>#DIV/0!</v>
      </c>
      <c r="G58" s="520">
        <f>SUMIF(修正!$A$45:$A$56,项目基本情况!$F$9,修正!C45:C56)</f>
        <v>0.5</v>
      </c>
      <c r="H58" s="842"/>
      <c r="I58" s="824"/>
      <c r="J58" s="824"/>
      <c r="K58" s="891"/>
      <c r="L58" s="892"/>
      <c r="M58" s="824"/>
      <c r="N58" s="824"/>
      <c r="O58" s="1066"/>
    </row>
    <row r="59" spans="1:15" s="707" customFormat="1">
      <c r="A59" s="839" t="s">
        <v>1452</v>
      </c>
      <c r="B59" s="840" t="e">
        <f t="shared" si="16"/>
        <v>#DIV/0!</v>
      </c>
      <c r="C59" s="437">
        <f t="shared" si="17"/>
        <v>0.36</v>
      </c>
      <c r="D59" s="841">
        <v>0.25</v>
      </c>
      <c r="E59" s="837">
        <v>0</v>
      </c>
      <c r="F59" s="838" t="e">
        <f t="shared" si="15"/>
        <v>#DIV/0!</v>
      </c>
      <c r="G59" s="520">
        <f>SUMIF(修正!$A$45:$A$56,项目基本情况!$F$9,修正!D45:D56)</f>
        <v>0.36</v>
      </c>
      <c r="H59" s="842"/>
      <c r="I59" s="819"/>
      <c r="J59" s="889"/>
      <c r="K59" s="890"/>
      <c r="L59" s="890"/>
      <c r="M59" s="819"/>
      <c r="N59" s="819"/>
      <c r="O59" s="1066"/>
    </row>
    <row r="60" spans="1:15" s="707" customFormat="1">
      <c r="A60" s="839" t="s">
        <v>1453</v>
      </c>
      <c r="B60" s="840" t="e">
        <f t="shared" si="16"/>
        <v>#DIV/0!</v>
      </c>
      <c r="C60" s="437">
        <f t="shared" si="17"/>
        <v>0.3</v>
      </c>
      <c r="D60" s="841">
        <v>0.25</v>
      </c>
      <c r="E60" s="837">
        <v>0</v>
      </c>
      <c r="F60" s="838" t="e">
        <f t="shared" si="15"/>
        <v>#DIV/0!</v>
      </c>
      <c r="G60" s="520">
        <f>SUMIF(修正!$A$45:$A$56,项目基本情况!$F$9,修正!E45:E56)</f>
        <v>0.3</v>
      </c>
      <c r="H60" s="842"/>
      <c r="I60" s="824"/>
      <c r="J60" s="824"/>
      <c r="K60" s="891"/>
      <c r="L60" s="892"/>
      <c r="M60" s="824"/>
      <c r="N60" s="824"/>
      <c r="O60" s="1066"/>
    </row>
    <row r="61" spans="1:15" s="707" customFormat="1">
      <c r="A61" s="839" t="s">
        <v>1454</v>
      </c>
      <c r="B61" s="840" t="e">
        <f t="shared" si="16"/>
        <v>#DIV/0!</v>
      </c>
      <c r="C61" s="437">
        <f t="shared" si="17"/>
        <v>0.3</v>
      </c>
      <c r="D61" s="841">
        <v>0.25</v>
      </c>
      <c r="E61" s="837">
        <v>0</v>
      </c>
      <c r="F61" s="838" t="e">
        <f t="shared" si="15"/>
        <v>#DIV/0!</v>
      </c>
      <c r="G61" s="520">
        <f>SUMIF(修正!A45:A56,项目基本情况!F9,修正!F45:F56)</f>
        <v>0.3</v>
      </c>
      <c r="H61" s="842"/>
      <c r="I61" s="819"/>
      <c r="J61" s="889"/>
      <c r="K61" s="890"/>
      <c r="L61" s="890"/>
      <c r="M61" s="819"/>
      <c r="N61" s="819"/>
      <c r="O61" s="1066"/>
    </row>
    <row r="62" spans="1:15" s="707" customFormat="1">
      <c r="A62" s="839" t="s">
        <v>1455</v>
      </c>
      <c r="B62" s="840" t="e">
        <f t="shared" si="16"/>
        <v>#DIV/0!</v>
      </c>
      <c r="C62" s="437">
        <f t="shared" si="17"/>
        <v>0.3</v>
      </c>
      <c r="D62" s="841">
        <v>0.25</v>
      </c>
      <c r="E62" s="837">
        <v>0</v>
      </c>
      <c r="F62" s="838" t="e">
        <f t="shared" si="15"/>
        <v>#DIV/0!</v>
      </c>
      <c r="G62" s="520">
        <f>SUMIF(修正!A45:A56,项目基本情况!F9,修正!G45:G56)</f>
        <v>0.3</v>
      </c>
      <c r="H62" s="842"/>
      <c r="I62" s="824"/>
      <c r="J62" s="824"/>
      <c r="K62" s="891"/>
      <c r="L62" s="892"/>
      <c r="M62" s="824"/>
      <c r="N62" s="824"/>
      <c r="O62" s="1066"/>
    </row>
    <row r="63" spans="1:15" s="707" customFormat="1">
      <c r="A63" s="839" t="s">
        <v>1456</v>
      </c>
      <c r="B63" s="840" t="e">
        <f t="shared" si="16"/>
        <v>#DIV/0!</v>
      </c>
      <c r="C63" s="437">
        <f t="shared" si="17"/>
        <v>0.25</v>
      </c>
      <c r="D63" s="841">
        <v>0.25</v>
      </c>
      <c r="E63" s="837">
        <v>0</v>
      </c>
      <c r="F63" s="838" t="e">
        <f t="shared" si="15"/>
        <v>#DIV/0!</v>
      </c>
      <c r="G63" s="520">
        <f>SUMIF(修正!A45:A56,项目基本情况!F9,修正!H45:H56)</f>
        <v>0.25</v>
      </c>
      <c r="H63" s="842"/>
      <c r="I63" s="819"/>
      <c r="J63" s="889"/>
      <c r="K63" s="890"/>
      <c r="L63" s="890"/>
      <c r="M63" s="819"/>
      <c r="N63" s="819"/>
      <c r="O63" s="1066"/>
    </row>
    <row r="64" spans="1:15" s="707" customFormat="1">
      <c r="A64" s="839" t="s">
        <v>1457</v>
      </c>
      <c r="B64" s="840" t="e">
        <f t="shared" si="16"/>
        <v>#DIV/0!</v>
      </c>
      <c r="C64" s="437">
        <f t="shared" si="17"/>
        <v>0.25</v>
      </c>
      <c r="D64" s="841">
        <v>0.25</v>
      </c>
      <c r="E64" s="837">
        <v>0</v>
      </c>
      <c r="F64" s="838" t="e">
        <f t="shared" si="15"/>
        <v>#DIV/0!</v>
      </c>
      <c r="G64" s="520">
        <f>G63</f>
        <v>0.25</v>
      </c>
      <c r="H64" s="842"/>
      <c r="I64" s="824"/>
      <c r="J64" s="824"/>
      <c r="K64" s="891"/>
      <c r="L64" s="892"/>
      <c r="M64" s="824"/>
      <c r="N64" s="824"/>
      <c r="O64" s="1066"/>
    </row>
    <row r="65" spans="1:17" s="707" customFormat="1">
      <c r="A65" s="839" t="s">
        <v>1458</v>
      </c>
      <c r="B65" s="840" t="e">
        <f t="shared" si="16"/>
        <v>#DIV/0!</v>
      </c>
      <c r="C65" s="437">
        <f t="shared" si="17"/>
        <v>0.25</v>
      </c>
      <c r="D65" s="841">
        <v>0.25</v>
      </c>
      <c r="E65" s="837">
        <v>0</v>
      </c>
      <c r="F65" s="838" t="e">
        <f t="shared" si="15"/>
        <v>#DIV/0!</v>
      </c>
      <c r="G65" s="520">
        <f>G63</f>
        <v>0.25</v>
      </c>
      <c r="H65" s="842"/>
      <c r="I65" s="819"/>
      <c r="J65" s="889"/>
      <c r="K65" s="890"/>
      <c r="L65" s="890"/>
      <c r="M65" s="819"/>
      <c r="N65" s="819"/>
      <c r="O65" s="1066"/>
    </row>
    <row r="66" spans="1:17" s="707" customFormat="1" ht="12.75">
      <c r="A66" s="843" t="s">
        <v>1459</v>
      </c>
      <c r="B66" s="844" t="s">
        <v>1310</v>
      </c>
      <c r="C66" s="844" t="s">
        <v>1310</v>
      </c>
      <c r="D66" s="844" t="s">
        <v>1310</v>
      </c>
      <c r="E66" s="844">
        <f>SUM(E56:E65)</f>
        <v>120</v>
      </c>
      <c r="F66" s="845" t="e">
        <f>SUM(F56:F65)</f>
        <v>#DIV/0!</v>
      </c>
      <c r="G66" s="1068"/>
      <c r="H66" s="1068"/>
      <c r="I66" s="846"/>
      <c r="J66" s="846"/>
      <c r="K66" s="846"/>
      <c r="L66" s="1066"/>
      <c r="M66" s="1066"/>
      <c r="N66" s="1066"/>
      <c r="O66" s="1066"/>
    </row>
    <row r="67" spans="1:17">
      <c r="A67" s="819"/>
      <c r="B67" s="825"/>
      <c r="C67" s="826"/>
      <c r="D67" s="819"/>
      <c r="E67" s="819"/>
      <c r="F67" s="819"/>
      <c r="G67" s="819"/>
      <c r="H67" s="819"/>
      <c r="I67" s="819"/>
      <c r="J67" s="819"/>
      <c r="K67" s="889"/>
      <c r="L67" s="890"/>
      <c r="M67" s="819"/>
      <c r="N67" s="819"/>
      <c r="O67" s="819"/>
    </row>
    <row r="68" spans="1:17" s="1032" customFormat="1">
      <c r="A68" s="849"/>
      <c r="B68" s="847"/>
      <c r="C68" s="847" t="str">
        <f>YEAR(C7)&amp;"-"&amp;MONTH(C7)&amp;"-1"</f>
        <v>2019-6-1</v>
      </c>
      <c r="D68" s="847">
        <f>EDATE(C68,-3)</f>
        <v>43525</v>
      </c>
      <c r="E68" s="847">
        <f t="shared" ref="E68:O68" si="18">EDATE(D68,-3)</f>
        <v>43435</v>
      </c>
      <c r="F68" s="847">
        <f t="shared" si="18"/>
        <v>43344</v>
      </c>
      <c r="G68" s="847">
        <f t="shared" si="18"/>
        <v>43252</v>
      </c>
      <c r="H68" s="847">
        <f t="shared" si="18"/>
        <v>43160</v>
      </c>
      <c r="I68" s="847">
        <f t="shared" si="18"/>
        <v>43070</v>
      </c>
      <c r="J68" s="847">
        <f t="shared" si="18"/>
        <v>42979</v>
      </c>
      <c r="K68" s="847">
        <f t="shared" si="18"/>
        <v>42887</v>
      </c>
      <c r="L68" s="847">
        <f t="shared" si="18"/>
        <v>42795</v>
      </c>
      <c r="M68" s="847">
        <f t="shared" si="18"/>
        <v>42705</v>
      </c>
      <c r="N68" s="847">
        <f t="shared" si="18"/>
        <v>42614</v>
      </c>
      <c r="O68" s="847">
        <f t="shared" si="18"/>
        <v>42522</v>
      </c>
    </row>
    <row r="69" spans="1:17" ht="21">
      <c r="A69" s="848" t="s">
        <v>1300</v>
      </c>
      <c r="B69" s="849"/>
      <c r="C69" s="850"/>
      <c r="D69" s="850"/>
      <c r="E69" s="850"/>
      <c r="F69" s="851"/>
      <c r="G69" s="851"/>
      <c r="H69" s="850"/>
      <c r="I69" s="894"/>
      <c r="J69" s="894"/>
      <c r="K69" s="895"/>
      <c r="L69" s="896"/>
      <c r="M69" s="894"/>
      <c r="N69" s="894"/>
      <c r="O69" s="894"/>
      <c r="P69" s="897"/>
      <c r="Q69" s="909"/>
    </row>
    <row r="70" spans="1:17" s="1033" customFormat="1" ht="15">
      <c r="A70" s="918" t="s">
        <v>1460</v>
      </c>
      <c r="B70" s="919"/>
      <c r="C70" s="920" t="str">
        <f>YEAR(C68)&amp;"-"&amp;ROUNDUP(MONTH(C68)/3,0)</f>
        <v>2019-2</v>
      </c>
      <c r="D70" s="920" t="str">
        <f>YEAR(D68)&amp;"-"&amp;ROUNDUP(MONTH(D68)/3,0)</f>
        <v>2019-1</v>
      </c>
      <c r="E70" s="920" t="str">
        <f t="shared" ref="E70:O70" si="19">YEAR(E68)&amp;"-"&amp;ROUNDUP(MONTH(E68)/3,0)</f>
        <v>2018-4</v>
      </c>
      <c r="F70" s="920" t="str">
        <f t="shared" si="19"/>
        <v>2018-3</v>
      </c>
      <c r="G70" s="920" t="str">
        <f t="shared" si="19"/>
        <v>2018-2</v>
      </c>
      <c r="H70" s="920" t="str">
        <f t="shared" si="19"/>
        <v>2018-1</v>
      </c>
      <c r="I70" s="920" t="str">
        <f t="shared" si="19"/>
        <v>2017-4</v>
      </c>
      <c r="J70" s="920" t="str">
        <f t="shared" si="19"/>
        <v>2017-3</v>
      </c>
      <c r="K70" s="920" t="str">
        <f t="shared" si="19"/>
        <v>2017-2</v>
      </c>
      <c r="L70" s="920" t="str">
        <f t="shared" si="19"/>
        <v>2017-1</v>
      </c>
      <c r="M70" s="920" t="str">
        <f t="shared" si="19"/>
        <v>2016-4</v>
      </c>
      <c r="N70" s="920" t="str">
        <f t="shared" si="19"/>
        <v>2016-3</v>
      </c>
      <c r="O70" s="920" t="str">
        <f t="shared" si="19"/>
        <v>2016-2</v>
      </c>
      <c r="P70" s="1071"/>
    </row>
    <row r="71" spans="1:17" s="703" customFormat="1" ht="29.25" customHeight="1">
      <c r="A71" s="1069" t="s">
        <v>1461</v>
      </c>
      <c r="B71" s="922" t="str">
        <f>"北京市平均增长率"&amp;TEXT(SUMIF(基准地价修正!N21:N25,A71,基准地价修正!P21:P25),"0.00%")</f>
        <v>北京市平均增长率1.50%</v>
      </c>
      <c r="C71" s="365">
        <v>100</v>
      </c>
      <c r="D71" s="923"/>
      <c r="E71" s="923"/>
      <c r="F71" s="923"/>
      <c r="G71" s="923"/>
      <c r="H71" s="923"/>
      <c r="I71" s="923"/>
      <c r="J71" s="923"/>
      <c r="K71" s="923"/>
      <c r="L71" s="923"/>
      <c r="M71" s="974"/>
      <c r="N71" s="923"/>
      <c r="O71" s="975"/>
      <c r="P71" s="909"/>
    </row>
    <row r="72" spans="1:17" s="703" customFormat="1" ht="15">
      <c r="A72" s="924" t="s">
        <v>1301</v>
      </c>
      <c r="B72" s="925"/>
      <c r="C72" s="926"/>
      <c r="D72" s="927"/>
      <c r="E72" s="927"/>
      <c r="F72" s="927"/>
      <c r="G72" s="927"/>
      <c r="H72" s="927"/>
      <c r="I72" s="927"/>
      <c r="J72" s="927"/>
      <c r="K72" s="927"/>
      <c r="L72" s="927"/>
      <c r="M72" s="976"/>
      <c r="N72" s="927"/>
      <c r="O72" s="977"/>
      <c r="P72" s="909"/>
      <c r="Q72" s="909"/>
    </row>
    <row r="73" spans="1:17" s="703" customFormat="1" ht="15">
      <c r="A73" s="928" t="s">
        <v>1255</v>
      </c>
      <c r="B73" s="929"/>
      <c r="C73" s="930" t="s">
        <v>1256</v>
      </c>
      <c r="D73" s="931"/>
      <c r="E73" s="931"/>
      <c r="F73" s="931"/>
      <c r="G73" s="931"/>
      <c r="H73" s="931"/>
      <c r="I73" s="931"/>
      <c r="J73" s="931"/>
      <c r="K73" s="931"/>
      <c r="L73" s="978"/>
      <c r="M73" s="979"/>
      <c r="N73" s="980"/>
      <c r="O73" s="980"/>
      <c r="P73" s="981"/>
      <c r="Q73" s="909"/>
    </row>
    <row r="74" spans="1:17" s="703" customFormat="1" ht="15">
      <c r="A74" s="928"/>
      <c r="B74" s="929"/>
      <c r="C74" s="932">
        <v>100</v>
      </c>
      <c r="D74" s="933"/>
      <c r="E74" s="933"/>
      <c r="F74" s="933"/>
      <c r="G74" s="933"/>
      <c r="H74" s="933"/>
      <c r="I74" s="933"/>
      <c r="J74" s="933"/>
      <c r="K74" s="933"/>
      <c r="L74" s="933"/>
      <c r="M74" s="982"/>
      <c r="N74" s="980"/>
      <c r="O74" s="980"/>
      <c r="P74" s="909"/>
      <c r="Q74" s="909"/>
    </row>
    <row r="75" spans="1:17">
      <c r="A75" s="934" t="s">
        <v>1302</v>
      </c>
      <c r="B75" s="935" t="s">
        <v>1260</v>
      </c>
      <c r="C75" s="882"/>
      <c r="D75" s="882"/>
      <c r="E75" s="882"/>
      <c r="F75" s="882"/>
      <c r="G75" s="882"/>
      <c r="H75" s="882"/>
      <c r="I75" s="882"/>
      <c r="J75" s="882"/>
      <c r="K75" s="983"/>
      <c r="L75" s="984"/>
      <c r="M75" s="985"/>
      <c r="N75" s="986"/>
      <c r="O75" s="986"/>
      <c r="P75" s="987"/>
      <c r="Q75" s="909"/>
    </row>
    <row r="76" spans="1:17" ht="15">
      <c r="A76" s="936"/>
      <c r="B76" s="937"/>
      <c r="C76" s="938"/>
      <c r="D76" s="938"/>
      <c r="E76" s="938"/>
      <c r="F76" s="938"/>
      <c r="G76" s="938"/>
      <c r="H76" s="938"/>
      <c r="I76" s="938"/>
      <c r="J76" s="938"/>
      <c r="K76" s="938"/>
      <c r="L76" s="938"/>
      <c r="M76" s="988"/>
      <c r="N76" s="989"/>
      <c r="O76" s="989"/>
      <c r="P76" s="987"/>
      <c r="Q76" s="909"/>
    </row>
    <row r="77" spans="1:17" ht="27">
      <c r="A77" s="936"/>
      <c r="B77" s="939" t="s">
        <v>1263</v>
      </c>
      <c r="C77" s="940"/>
      <c r="D77" s="940"/>
      <c r="E77" s="940"/>
      <c r="F77" s="940"/>
      <c r="G77" s="940"/>
      <c r="H77" s="940"/>
      <c r="I77" s="940"/>
      <c r="J77" s="940"/>
      <c r="K77" s="990"/>
      <c r="L77" s="991"/>
      <c r="M77" s="992"/>
      <c r="N77" s="986"/>
      <c r="O77" s="986"/>
      <c r="P77" s="987"/>
      <c r="Q77" s="909"/>
    </row>
    <row r="78" spans="1:17" ht="15">
      <c r="A78" s="936"/>
      <c r="B78" s="941"/>
      <c r="C78" s="942"/>
      <c r="D78" s="942"/>
      <c r="E78" s="942"/>
      <c r="F78" s="942"/>
      <c r="G78" s="942"/>
      <c r="H78" s="942"/>
      <c r="I78" s="942"/>
      <c r="J78" s="942"/>
      <c r="K78" s="942"/>
      <c r="L78" s="942"/>
      <c r="M78" s="993"/>
      <c r="N78" s="989"/>
      <c r="O78" s="989"/>
      <c r="P78" s="987"/>
      <c r="Q78" s="909"/>
    </row>
    <row r="79" spans="1:17" ht="15">
      <c r="A79" s="936"/>
      <c r="B79" s="943" t="s">
        <v>1265</v>
      </c>
      <c r="C79" s="944" t="str">
        <f>C80&amp;"（含）"&amp;"-"&amp;D80</f>
        <v>（含）-</v>
      </c>
      <c r="D79" s="944" t="str">
        <f t="shared" ref="D79:L79" si="20">D80&amp;"（含）"&amp;"-"&amp;E80</f>
        <v>（含）-</v>
      </c>
      <c r="E79" s="944" t="str">
        <f t="shared" si="20"/>
        <v>（含）-</v>
      </c>
      <c r="F79" s="944" t="str">
        <f t="shared" si="20"/>
        <v>（含）-</v>
      </c>
      <c r="G79" s="944" t="str">
        <f t="shared" si="20"/>
        <v>（含）-</v>
      </c>
      <c r="H79" s="944" t="str">
        <f t="shared" si="20"/>
        <v>（含）-</v>
      </c>
      <c r="I79" s="944" t="str">
        <f t="shared" si="20"/>
        <v>（含）-</v>
      </c>
      <c r="J79" s="944" t="str">
        <f t="shared" si="20"/>
        <v>（含）-</v>
      </c>
      <c r="K79" s="944" t="str">
        <f t="shared" si="20"/>
        <v>（含）-</v>
      </c>
      <c r="L79" s="944" t="str">
        <f t="shared" si="20"/>
        <v>（含）-</v>
      </c>
      <c r="M79" s="765" t="str">
        <f>M80&amp;"（含）"&amp;"-"&amp;P80</f>
        <v>（含）-</v>
      </c>
      <c r="N79" s="989"/>
      <c r="O79" s="989"/>
      <c r="P79" s="987"/>
      <c r="Q79" s="909"/>
    </row>
    <row r="80" spans="1:17" ht="15">
      <c r="A80" s="936"/>
      <c r="B80" s="945"/>
      <c r="C80" s="750"/>
      <c r="D80" s="750"/>
      <c r="E80" s="750"/>
      <c r="F80" s="750"/>
      <c r="G80" s="750"/>
      <c r="H80" s="750"/>
      <c r="I80" s="750"/>
      <c r="J80" s="750"/>
      <c r="K80" s="994"/>
      <c r="L80" s="995"/>
      <c r="M80" s="996"/>
      <c r="N80" s="986"/>
      <c r="O80" s="986"/>
      <c r="P80" s="987"/>
      <c r="Q80" s="909"/>
    </row>
    <row r="81" spans="1:17" ht="15">
      <c r="A81" s="936"/>
      <c r="B81" s="937"/>
      <c r="C81" s="942">
        <v>100</v>
      </c>
      <c r="D81" s="942">
        <f t="shared" ref="D81:M81" si="21">IF($B$46="单位面积地价",C81+$K11,C81-$K11)</f>
        <v>100</v>
      </c>
      <c r="E81" s="942">
        <f t="shared" si="21"/>
        <v>100</v>
      </c>
      <c r="F81" s="942">
        <f t="shared" si="21"/>
        <v>100</v>
      </c>
      <c r="G81" s="942">
        <f t="shared" si="21"/>
        <v>100</v>
      </c>
      <c r="H81" s="942">
        <f t="shared" si="21"/>
        <v>100</v>
      </c>
      <c r="I81" s="942">
        <f t="shared" si="21"/>
        <v>100</v>
      </c>
      <c r="J81" s="942">
        <f t="shared" si="21"/>
        <v>100</v>
      </c>
      <c r="K81" s="942">
        <f t="shared" si="21"/>
        <v>100</v>
      </c>
      <c r="L81" s="942">
        <f t="shared" si="21"/>
        <v>100</v>
      </c>
      <c r="M81" s="942">
        <f t="shared" si="21"/>
        <v>100</v>
      </c>
      <c r="N81" s="989"/>
      <c r="O81" s="989"/>
      <c r="P81" s="987"/>
      <c r="Q81" s="909"/>
    </row>
    <row r="82" spans="1:17" s="705" customFormat="1" ht="15">
      <c r="A82" s="946"/>
      <c r="B82" s="939" t="str">
        <f>B12</f>
        <v>配建</v>
      </c>
      <c r="C82" s="947"/>
      <c r="D82" s="947"/>
      <c r="E82" s="947"/>
      <c r="F82" s="947"/>
      <c r="G82" s="947"/>
      <c r="H82" s="948"/>
      <c r="I82" s="948"/>
      <c r="J82" s="948"/>
      <c r="K82" s="948"/>
      <c r="L82" s="997"/>
      <c r="M82" s="998"/>
      <c r="N82" s="999"/>
      <c r="O82" s="999"/>
      <c r="P82" s="1000"/>
      <c r="Q82" s="1030"/>
    </row>
    <row r="83" spans="1:17" s="705" customFormat="1" ht="15">
      <c r="A83" s="946"/>
      <c r="B83" s="941"/>
      <c r="C83" s="949"/>
      <c r="D83" s="938"/>
      <c r="E83" s="938"/>
      <c r="F83" s="938"/>
      <c r="G83" s="938"/>
      <c r="H83" s="938"/>
      <c r="I83" s="938"/>
      <c r="J83" s="938"/>
      <c r="K83" s="938"/>
      <c r="L83" s="938"/>
      <c r="M83" s="988"/>
      <c r="N83" s="989"/>
      <c r="O83" s="989"/>
      <c r="P83" s="1000"/>
      <c r="Q83" s="1030"/>
    </row>
    <row r="84" spans="1:17" s="705" customFormat="1" ht="15">
      <c r="A84" s="946"/>
      <c r="B84" s="939">
        <f>B13</f>
        <v>111</v>
      </c>
      <c r="C84" s="947"/>
      <c r="D84" s="947"/>
      <c r="E84" s="947"/>
      <c r="F84" s="947"/>
      <c r="G84" s="947"/>
      <c r="H84" s="948"/>
      <c r="I84" s="948"/>
      <c r="J84" s="948"/>
      <c r="K84" s="948"/>
      <c r="L84" s="997"/>
      <c r="M84" s="998"/>
      <c r="N84" s="999"/>
      <c r="O84" s="999"/>
      <c r="P84" s="1001"/>
      <c r="Q84" s="1031"/>
    </row>
    <row r="85" spans="1:17" s="705" customFormat="1" ht="15">
      <c r="A85" s="946"/>
      <c r="B85" s="941"/>
      <c r="C85" s="949"/>
      <c r="D85" s="949"/>
      <c r="E85" s="949"/>
      <c r="F85" s="949"/>
      <c r="G85" s="949"/>
      <c r="H85" s="950"/>
      <c r="I85" s="950"/>
      <c r="J85" s="950"/>
      <c r="K85" s="950"/>
      <c r="L85" s="950"/>
      <c r="M85" s="1002"/>
      <c r="N85" s="999"/>
      <c r="O85" s="999"/>
      <c r="P85" s="1000"/>
      <c r="Q85" s="1030"/>
    </row>
    <row r="86" spans="1:17" s="705" customFormat="1" ht="15">
      <c r="A86" s="946"/>
      <c r="B86" s="943">
        <f>B14</f>
        <v>111</v>
      </c>
      <c r="C86" s="931"/>
      <c r="D86" s="931"/>
      <c r="E86" s="931"/>
      <c r="F86" s="931"/>
      <c r="G86" s="931"/>
      <c r="H86" s="951"/>
      <c r="I86" s="951"/>
      <c r="J86" s="951"/>
      <c r="K86" s="951"/>
      <c r="L86" s="1003"/>
      <c r="M86" s="1004"/>
      <c r="N86" s="999"/>
      <c r="O86" s="999"/>
      <c r="P86" s="1005"/>
      <c r="Q86" s="1030"/>
    </row>
    <row r="87" spans="1:17" s="705" customFormat="1" ht="15">
      <c r="A87" s="952"/>
      <c r="B87" s="953"/>
      <c r="C87" s="954"/>
      <c r="D87" s="954"/>
      <c r="E87" s="954"/>
      <c r="F87" s="954"/>
      <c r="G87" s="954"/>
      <c r="H87" s="955"/>
      <c r="I87" s="955"/>
      <c r="J87" s="955"/>
      <c r="K87" s="955"/>
      <c r="L87" s="955"/>
      <c r="M87" s="1006"/>
      <c r="N87" s="999"/>
      <c r="O87" s="999"/>
      <c r="P87" s="1000"/>
      <c r="Q87" s="1030"/>
    </row>
    <row r="88" spans="1:17">
      <c r="A88" s="934" t="s">
        <v>1266</v>
      </c>
      <c r="B88" s="935" t="s">
        <v>207</v>
      </c>
      <c r="C88" s="956" t="s">
        <v>228</v>
      </c>
      <c r="D88" s="956" t="s">
        <v>240</v>
      </c>
      <c r="E88" s="956" t="s">
        <v>251</v>
      </c>
      <c r="F88" s="956" t="s">
        <v>261</v>
      </c>
      <c r="G88" s="956" t="s">
        <v>268</v>
      </c>
      <c r="H88" s="957"/>
      <c r="I88" s="957"/>
      <c r="J88" s="957"/>
      <c r="K88" s="1007"/>
      <c r="L88" s="1008"/>
      <c r="M88" s="1009"/>
      <c r="N88" s="986"/>
      <c r="O88" s="986"/>
      <c r="P88" s="1010"/>
      <c r="Q88" s="909"/>
    </row>
    <row r="89" spans="1:17" ht="15">
      <c r="A89" s="936"/>
      <c r="B89" s="941"/>
      <c r="C89" s="942">
        <v>100</v>
      </c>
      <c r="D89" s="942">
        <f>C89-$K15</f>
        <v>100</v>
      </c>
      <c r="E89" s="942">
        <f>D89-$K15</f>
        <v>100</v>
      </c>
      <c r="F89" s="942">
        <f>E89-$K15</f>
        <v>100</v>
      </c>
      <c r="G89" s="942">
        <f>F89-$K15</f>
        <v>100</v>
      </c>
      <c r="H89" s="942"/>
      <c r="I89" s="942"/>
      <c r="J89" s="942"/>
      <c r="K89" s="942"/>
      <c r="L89" s="942"/>
      <c r="M89" s="993"/>
      <c r="N89" s="989"/>
      <c r="O89" s="989"/>
      <c r="P89" s="987"/>
      <c r="Q89" s="909"/>
    </row>
    <row r="90" spans="1:17" ht="15">
      <c r="A90" s="936"/>
      <c r="B90" s="939" t="s">
        <v>208</v>
      </c>
      <c r="C90" s="958" t="s">
        <v>228</v>
      </c>
      <c r="D90" s="958" t="s">
        <v>240</v>
      </c>
      <c r="E90" s="958" t="s">
        <v>251</v>
      </c>
      <c r="F90" s="958" t="s">
        <v>261</v>
      </c>
      <c r="G90" s="958" t="s">
        <v>268</v>
      </c>
      <c r="H90" s="940"/>
      <c r="I90" s="940"/>
      <c r="J90" s="940"/>
      <c r="K90" s="990"/>
      <c r="L90" s="991"/>
      <c r="M90" s="992"/>
      <c r="N90" s="986"/>
      <c r="O90" s="986"/>
      <c r="P90" s="987"/>
      <c r="Q90" s="909"/>
    </row>
    <row r="91" spans="1:17" ht="15">
      <c r="A91" s="936"/>
      <c r="B91" s="941"/>
      <c r="C91" s="942">
        <v>100</v>
      </c>
      <c r="D91" s="942">
        <f>C91-$K17</f>
        <v>100</v>
      </c>
      <c r="E91" s="942">
        <f>D91-$K17</f>
        <v>100</v>
      </c>
      <c r="F91" s="942">
        <f>E91-$K17</f>
        <v>100</v>
      </c>
      <c r="G91" s="942">
        <f>F91-$K17</f>
        <v>100</v>
      </c>
      <c r="H91" s="942"/>
      <c r="I91" s="942"/>
      <c r="J91" s="942"/>
      <c r="K91" s="942"/>
      <c r="L91" s="942"/>
      <c r="M91" s="993"/>
      <c r="N91" s="989"/>
      <c r="O91" s="989"/>
      <c r="P91" s="987"/>
      <c r="Q91" s="909"/>
    </row>
    <row r="92" spans="1:17" ht="15">
      <c r="A92" s="936"/>
      <c r="B92" s="939" t="s">
        <v>209</v>
      </c>
      <c r="C92" s="958" t="s">
        <v>228</v>
      </c>
      <c r="D92" s="958" t="s">
        <v>240</v>
      </c>
      <c r="E92" s="958" t="s">
        <v>251</v>
      </c>
      <c r="F92" s="958" t="s">
        <v>261</v>
      </c>
      <c r="G92" s="958" t="s">
        <v>268</v>
      </c>
      <c r="H92" s="940"/>
      <c r="I92" s="940"/>
      <c r="J92" s="940"/>
      <c r="K92" s="990"/>
      <c r="L92" s="991"/>
      <c r="M92" s="992"/>
      <c r="N92" s="986"/>
      <c r="O92" s="986"/>
      <c r="P92" s="987"/>
      <c r="Q92" s="909"/>
    </row>
    <row r="93" spans="1:17" ht="15">
      <c r="A93" s="936"/>
      <c r="B93" s="941"/>
      <c r="C93" s="942">
        <v>100</v>
      </c>
      <c r="D93" s="942">
        <f>C93-$K19</f>
        <v>100</v>
      </c>
      <c r="E93" s="942">
        <f>D93-$K19</f>
        <v>100</v>
      </c>
      <c r="F93" s="942">
        <f>E93-$K19</f>
        <v>100</v>
      </c>
      <c r="G93" s="942">
        <f>F93-$K19</f>
        <v>100</v>
      </c>
      <c r="H93" s="942"/>
      <c r="I93" s="942"/>
      <c r="J93" s="942"/>
      <c r="K93" s="942"/>
      <c r="L93" s="942"/>
      <c r="M93" s="993"/>
      <c r="N93" s="989"/>
      <c r="O93" s="989"/>
      <c r="P93" s="987"/>
      <c r="Q93" s="909"/>
    </row>
    <row r="94" spans="1:17" ht="15">
      <c r="A94" s="936"/>
      <c r="B94" s="939" t="s">
        <v>211</v>
      </c>
      <c r="C94" s="958" t="s">
        <v>228</v>
      </c>
      <c r="D94" s="958" t="s">
        <v>240</v>
      </c>
      <c r="E94" s="958" t="s">
        <v>251</v>
      </c>
      <c r="F94" s="958" t="s">
        <v>261</v>
      </c>
      <c r="G94" s="958" t="s">
        <v>268</v>
      </c>
      <c r="H94" s="940"/>
      <c r="I94" s="940"/>
      <c r="J94" s="940"/>
      <c r="K94" s="990"/>
      <c r="L94" s="991"/>
      <c r="M94" s="992"/>
      <c r="N94" s="986"/>
      <c r="O94" s="986"/>
      <c r="P94" s="987"/>
      <c r="Q94" s="909"/>
    </row>
    <row r="95" spans="1:17" ht="15">
      <c r="A95" s="936"/>
      <c r="B95" s="941"/>
      <c r="C95" s="942">
        <v>100</v>
      </c>
      <c r="D95" s="942">
        <f>C95-$K21</f>
        <v>100</v>
      </c>
      <c r="E95" s="942">
        <f>D95-$K21</f>
        <v>100</v>
      </c>
      <c r="F95" s="942">
        <f>E95-$K21</f>
        <v>100</v>
      </c>
      <c r="G95" s="942">
        <f>F95-$K21</f>
        <v>100</v>
      </c>
      <c r="H95" s="942"/>
      <c r="I95" s="942"/>
      <c r="J95" s="942"/>
      <c r="K95" s="942"/>
      <c r="L95" s="942"/>
      <c r="M95" s="993"/>
      <c r="N95" s="989"/>
      <c r="O95" s="989"/>
      <c r="P95" s="987"/>
      <c r="Q95" s="909"/>
    </row>
    <row r="96" spans="1:17" s="703" customFormat="1" ht="15">
      <c r="A96" s="959"/>
      <c r="B96" s="939" t="s">
        <v>212</v>
      </c>
      <c r="C96" s="958" t="s">
        <v>228</v>
      </c>
      <c r="D96" s="958" t="s">
        <v>240</v>
      </c>
      <c r="E96" s="958" t="s">
        <v>251</v>
      </c>
      <c r="F96" s="958" t="s">
        <v>261</v>
      </c>
      <c r="G96" s="958" t="s">
        <v>268</v>
      </c>
      <c r="H96" s="958"/>
      <c r="I96" s="958"/>
      <c r="J96" s="958"/>
      <c r="K96" s="958"/>
      <c r="L96" s="1011"/>
      <c r="M96" s="1012"/>
      <c r="N96" s="980"/>
      <c r="O96" s="980"/>
      <c r="P96" s="987"/>
      <c r="Q96" s="909"/>
    </row>
    <row r="97" spans="1:17" s="703" customFormat="1" ht="15">
      <c r="A97" s="959"/>
      <c r="B97" s="941"/>
      <c r="C97" s="960">
        <v>100</v>
      </c>
      <c r="D97" s="942">
        <f>C97-$K23</f>
        <v>100</v>
      </c>
      <c r="E97" s="942">
        <f>D97-$K23</f>
        <v>100</v>
      </c>
      <c r="F97" s="942">
        <f>E97-$K23</f>
        <v>100</v>
      </c>
      <c r="G97" s="942">
        <f>F97-$K23</f>
        <v>100</v>
      </c>
      <c r="H97" s="942"/>
      <c r="I97" s="942"/>
      <c r="J97" s="942"/>
      <c r="K97" s="942"/>
      <c r="L97" s="942"/>
      <c r="M97" s="993"/>
      <c r="N97" s="989"/>
      <c r="O97" s="989"/>
      <c r="P97" s="987"/>
      <c r="Q97" s="909"/>
    </row>
    <row r="98" spans="1:17" s="703" customFormat="1" ht="27">
      <c r="A98" s="959"/>
      <c r="B98" s="939" t="s">
        <v>574</v>
      </c>
      <c r="C98" s="956" t="s">
        <v>228</v>
      </c>
      <c r="D98" s="956" t="s">
        <v>240</v>
      </c>
      <c r="E98" s="956" t="s">
        <v>251</v>
      </c>
      <c r="F98" s="956" t="s">
        <v>261</v>
      </c>
      <c r="G98" s="956" t="s">
        <v>268</v>
      </c>
      <c r="H98" s="958"/>
      <c r="I98" s="958"/>
      <c r="J98" s="958"/>
      <c r="K98" s="958"/>
      <c r="L98" s="958"/>
      <c r="M98" s="1012"/>
      <c r="N98" s="980"/>
      <c r="O98" s="980"/>
      <c r="P98" s="987"/>
      <c r="Q98" s="909"/>
    </row>
    <row r="99" spans="1:17" s="703" customFormat="1" ht="15">
      <c r="A99" s="959"/>
      <c r="B99" s="941"/>
      <c r="C99" s="942">
        <v>100</v>
      </c>
      <c r="D99" s="942">
        <f>C99-$K25</f>
        <v>100</v>
      </c>
      <c r="E99" s="942">
        <f>D99-$K25</f>
        <v>100</v>
      </c>
      <c r="F99" s="942">
        <f>E99-$K25</f>
        <v>100</v>
      </c>
      <c r="G99" s="942">
        <f>F99-$K25</f>
        <v>100</v>
      </c>
      <c r="H99" s="942"/>
      <c r="I99" s="942"/>
      <c r="J99" s="942"/>
      <c r="K99" s="942"/>
      <c r="L99" s="942"/>
      <c r="M99" s="993"/>
      <c r="N99" s="989"/>
      <c r="O99" s="989"/>
      <c r="P99" s="987"/>
      <c r="Q99" s="909"/>
    </row>
    <row r="100" spans="1:17" s="703" customFormat="1" ht="15">
      <c r="A100" s="959"/>
      <c r="B100" s="943" t="s">
        <v>213</v>
      </c>
      <c r="C100" s="956" t="s">
        <v>228</v>
      </c>
      <c r="D100" s="956" t="s">
        <v>240</v>
      </c>
      <c r="E100" s="956" t="s">
        <v>251</v>
      </c>
      <c r="F100" s="956" t="s">
        <v>261</v>
      </c>
      <c r="G100" s="956" t="s">
        <v>268</v>
      </c>
      <c r="H100" s="940"/>
      <c r="I100" s="940"/>
      <c r="J100" s="940"/>
      <c r="K100" s="940"/>
      <c r="L100" s="940"/>
      <c r="M100" s="1072"/>
      <c r="N100" s="989"/>
      <c r="O100" s="989"/>
      <c r="P100" s="987"/>
      <c r="Q100" s="909"/>
    </row>
    <row r="101" spans="1:17" s="703" customFormat="1" ht="15">
      <c r="A101" s="959"/>
      <c r="B101" s="943"/>
      <c r="C101" s="942">
        <v>100</v>
      </c>
      <c r="D101" s="942">
        <f>C101-$K27</f>
        <v>100</v>
      </c>
      <c r="E101" s="942">
        <f>D101-$K27</f>
        <v>100</v>
      </c>
      <c r="F101" s="942">
        <f>E101-$K27</f>
        <v>100</v>
      </c>
      <c r="G101" s="942">
        <f>F101-$K27</f>
        <v>100</v>
      </c>
      <c r="H101" s="1070"/>
      <c r="I101" s="1070"/>
      <c r="J101" s="1070"/>
      <c r="K101" s="1070"/>
      <c r="L101" s="1070"/>
      <c r="M101" s="767"/>
      <c r="N101" s="989"/>
      <c r="O101" s="989"/>
      <c r="P101" s="987"/>
      <c r="Q101" s="909"/>
    </row>
    <row r="102" spans="1:17" s="705" customFormat="1" ht="15">
      <c r="A102" s="946"/>
      <c r="B102" s="939" t="s">
        <v>214</v>
      </c>
      <c r="C102" s="940" t="s">
        <v>1311</v>
      </c>
      <c r="D102" s="940" t="s">
        <v>1312</v>
      </c>
      <c r="E102" s="940" t="s">
        <v>1313</v>
      </c>
      <c r="F102" s="940" t="s">
        <v>1314</v>
      </c>
      <c r="G102" s="940" t="s">
        <v>1315</v>
      </c>
      <c r="H102" s="961"/>
      <c r="I102" s="961"/>
      <c r="J102" s="961"/>
      <c r="K102" s="961"/>
      <c r="L102" s="1013"/>
      <c r="M102" s="1014"/>
      <c r="N102" s="999"/>
      <c r="O102" s="999"/>
      <c r="P102" s="1000"/>
      <c r="Q102" s="1030"/>
    </row>
    <row r="103" spans="1:17" s="705" customFormat="1" ht="15">
      <c r="A103" s="946"/>
      <c r="B103" s="941"/>
      <c r="C103" s="942">
        <v>100</v>
      </c>
      <c r="D103" s="942">
        <f>C103-$K29</f>
        <v>100</v>
      </c>
      <c r="E103" s="942">
        <f>D103-$K29</f>
        <v>100</v>
      </c>
      <c r="F103" s="942">
        <f>E103-$K29</f>
        <v>100</v>
      </c>
      <c r="G103" s="942">
        <f>F103-$K29</f>
        <v>100</v>
      </c>
      <c r="H103" s="962"/>
      <c r="I103" s="962"/>
      <c r="J103" s="962"/>
      <c r="K103" s="962"/>
      <c r="L103" s="962"/>
      <c r="M103" s="1015"/>
      <c r="N103" s="999"/>
      <c r="O103" s="999"/>
      <c r="P103" s="1000"/>
      <c r="Q103" s="1030"/>
    </row>
    <row r="104" spans="1:17" ht="15">
      <c r="A104" s="936"/>
      <c r="B104" s="939" t="str">
        <f>B31</f>
        <v>临街状况</v>
      </c>
      <c r="C104" s="940" t="s">
        <v>1462</v>
      </c>
      <c r="D104" s="940" t="s">
        <v>1463</v>
      </c>
      <c r="E104" s="940" t="s">
        <v>1464</v>
      </c>
      <c r="F104" s="940" t="s">
        <v>1465</v>
      </c>
      <c r="G104" s="940"/>
      <c r="H104" s="940"/>
      <c r="I104" s="940"/>
      <c r="J104" s="940"/>
      <c r="K104" s="990"/>
      <c r="L104" s="991"/>
      <c r="M104" s="992"/>
      <c r="N104" s="986"/>
      <c r="O104" s="986"/>
      <c r="P104" s="987"/>
      <c r="Q104" s="909"/>
    </row>
    <row r="105" spans="1:17" ht="15">
      <c r="A105" s="936"/>
      <c r="B105" s="941"/>
      <c r="C105" s="942">
        <v>100</v>
      </c>
      <c r="D105" s="942">
        <f>C105-$K31</f>
        <v>100</v>
      </c>
      <c r="E105" s="942">
        <f t="shared" ref="E105:M105" si="22">D105-$K31</f>
        <v>100</v>
      </c>
      <c r="F105" s="942">
        <f t="shared" si="22"/>
        <v>100</v>
      </c>
      <c r="G105" s="942">
        <f t="shared" si="22"/>
        <v>100</v>
      </c>
      <c r="H105" s="942">
        <f t="shared" si="22"/>
        <v>100</v>
      </c>
      <c r="I105" s="942">
        <f t="shared" si="22"/>
        <v>100</v>
      </c>
      <c r="J105" s="942">
        <f t="shared" si="22"/>
        <v>100</v>
      </c>
      <c r="K105" s="942">
        <f t="shared" si="22"/>
        <v>100</v>
      </c>
      <c r="L105" s="942">
        <f t="shared" si="22"/>
        <v>100</v>
      </c>
      <c r="M105" s="942">
        <f t="shared" si="22"/>
        <v>100</v>
      </c>
      <c r="N105" s="989"/>
      <c r="O105" s="989"/>
      <c r="P105" s="987"/>
      <c r="Q105" s="909"/>
    </row>
    <row r="106" spans="1:17" ht="27">
      <c r="A106" s="936"/>
      <c r="B106" s="939" t="s">
        <v>572</v>
      </c>
      <c r="C106" s="947"/>
      <c r="D106" s="947"/>
      <c r="E106" s="947"/>
      <c r="F106" s="947"/>
      <c r="G106" s="947"/>
      <c r="H106" s="963"/>
      <c r="I106" s="963"/>
      <c r="J106" s="963"/>
      <c r="K106" s="1017"/>
      <c r="L106" s="1018"/>
      <c r="M106" s="1019"/>
      <c r="N106" s="986"/>
      <c r="O106" s="986"/>
      <c r="P106" s="987"/>
      <c r="Q106" s="909"/>
    </row>
    <row r="107" spans="1:17" ht="15">
      <c r="A107" s="936"/>
      <c r="B107" s="941"/>
      <c r="C107" s="942">
        <v>100</v>
      </c>
      <c r="D107" s="942">
        <f>C107-$K32</f>
        <v>100</v>
      </c>
      <c r="E107" s="942">
        <f t="shared" ref="E107:M107" si="23">D107-$K32</f>
        <v>100</v>
      </c>
      <c r="F107" s="942">
        <f t="shared" si="23"/>
        <v>100</v>
      </c>
      <c r="G107" s="942">
        <f t="shared" si="23"/>
        <v>100</v>
      </c>
      <c r="H107" s="942">
        <f t="shared" si="23"/>
        <v>100</v>
      </c>
      <c r="I107" s="942">
        <f t="shared" si="23"/>
        <v>100</v>
      </c>
      <c r="J107" s="942">
        <f t="shared" si="23"/>
        <v>100</v>
      </c>
      <c r="K107" s="942">
        <f t="shared" si="23"/>
        <v>100</v>
      </c>
      <c r="L107" s="942">
        <f t="shared" si="23"/>
        <v>100</v>
      </c>
      <c r="M107" s="942">
        <f t="shared" si="23"/>
        <v>100</v>
      </c>
      <c r="N107" s="989"/>
      <c r="O107" s="989"/>
      <c r="P107" s="987"/>
      <c r="Q107" s="909"/>
    </row>
    <row r="108" spans="1:17" ht="15">
      <c r="A108" s="936"/>
      <c r="B108" s="939" t="s">
        <v>575</v>
      </c>
      <c r="C108" s="963"/>
      <c r="D108" s="963"/>
      <c r="E108" s="963"/>
      <c r="F108" s="963"/>
      <c r="G108" s="963"/>
      <c r="H108" s="963"/>
      <c r="I108" s="963"/>
      <c r="J108" s="963"/>
      <c r="K108" s="1017"/>
      <c r="L108" s="1018"/>
      <c r="M108" s="1019"/>
      <c r="N108" s="986"/>
      <c r="O108" s="986"/>
      <c r="P108" s="987"/>
      <c r="Q108" s="909"/>
    </row>
    <row r="109" spans="1:17" ht="15">
      <c r="A109" s="936"/>
      <c r="B109" s="941"/>
      <c r="C109" s="942">
        <v>100</v>
      </c>
      <c r="D109" s="942">
        <f>C109-$K34</f>
        <v>100</v>
      </c>
      <c r="E109" s="942">
        <f t="shared" ref="E109:M109" si="24">D109-$K34</f>
        <v>100</v>
      </c>
      <c r="F109" s="942">
        <f t="shared" si="24"/>
        <v>100</v>
      </c>
      <c r="G109" s="942">
        <f t="shared" si="24"/>
        <v>100</v>
      </c>
      <c r="H109" s="942">
        <f t="shared" si="24"/>
        <v>100</v>
      </c>
      <c r="I109" s="942">
        <f t="shared" si="24"/>
        <v>100</v>
      </c>
      <c r="J109" s="942">
        <f t="shared" si="24"/>
        <v>100</v>
      </c>
      <c r="K109" s="942">
        <f t="shared" si="24"/>
        <v>100</v>
      </c>
      <c r="L109" s="942">
        <f t="shared" si="24"/>
        <v>100</v>
      </c>
      <c r="M109" s="942">
        <f t="shared" si="24"/>
        <v>100</v>
      </c>
      <c r="N109" s="989"/>
      <c r="O109" s="989"/>
      <c r="P109" s="987"/>
      <c r="Q109" s="909"/>
    </row>
    <row r="110" spans="1:17" ht="15">
      <c r="A110" s="936"/>
      <c r="B110" s="943">
        <f>B35</f>
        <v>111</v>
      </c>
      <c r="C110" s="947"/>
      <c r="D110" s="947"/>
      <c r="E110" s="947"/>
      <c r="F110" s="947"/>
      <c r="G110" s="964"/>
      <c r="H110" s="964"/>
      <c r="I110" s="964"/>
      <c r="J110" s="964"/>
      <c r="K110" s="1020"/>
      <c r="L110" s="1021"/>
      <c r="M110" s="1022"/>
      <c r="N110" s="986"/>
      <c r="O110" s="986"/>
      <c r="P110" s="987"/>
      <c r="Q110" s="909"/>
    </row>
    <row r="111" spans="1:17" ht="15">
      <c r="A111" s="936"/>
      <c r="B111" s="953"/>
      <c r="C111" s="949"/>
      <c r="D111" s="949"/>
      <c r="E111" s="949"/>
      <c r="F111" s="949"/>
      <c r="G111" s="965"/>
      <c r="H111" s="965"/>
      <c r="I111" s="965"/>
      <c r="J111" s="965"/>
      <c r="K111" s="965"/>
      <c r="L111" s="965"/>
      <c r="M111" s="1023"/>
      <c r="N111" s="989"/>
      <c r="O111" s="989"/>
      <c r="P111" s="987"/>
      <c r="Q111" s="909"/>
    </row>
    <row r="112" spans="1:17">
      <c r="A112" s="785"/>
      <c r="B112" s="939">
        <f>B36</f>
        <v>111</v>
      </c>
      <c r="C112" s="931"/>
      <c r="D112" s="931"/>
      <c r="E112" s="931"/>
      <c r="F112" s="931"/>
      <c r="G112" s="963"/>
      <c r="H112" s="963"/>
      <c r="I112" s="963"/>
      <c r="J112" s="963"/>
      <c r="K112" s="1017"/>
      <c r="L112" s="1018"/>
      <c r="M112" s="1019"/>
      <c r="N112" s="986"/>
      <c r="O112" s="986"/>
      <c r="P112" s="987"/>
      <c r="Q112" s="909"/>
    </row>
    <row r="113" spans="1:17" ht="15">
      <c r="A113" s="936"/>
      <c r="B113" s="941"/>
      <c r="C113" s="954"/>
      <c r="D113" s="954"/>
      <c r="E113" s="954"/>
      <c r="F113" s="954"/>
      <c r="G113" s="938"/>
      <c r="H113" s="938"/>
      <c r="I113" s="938"/>
      <c r="J113" s="938"/>
      <c r="K113" s="938"/>
      <c r="L113" s="938"/>
      <c r="M113" s="988"/>
      <c r="N113" s="989"/>
      <c r="O113" s="989"/>
      <c r="P113" s="987"/>
      <c r="Q113" s="909"/>
    </row>
    <row r="114" spans="1:17" s="705" customFormat="1">
      <c r="A114" s="966"/>
      <c r="B114" s="967">
        <f>B37</f>
        <v>111</v>
      </c>
      <c r="C114" s="923"/>
      <c r="D114" s="923"/>
      <c r="E114" s="923"/>
      <c r="F114" s="923"/>
      <c r="G114" s="923"/>
      <c r="H114" s="923"/>
      <c r="I114" s="923"/>
      <c r="J114" s="1024"/>
      <c r="K114" s="1024"/>
      <c r="L114" s="1025"/>
      <c r="M114" s="1026"/>
      <c r="N114" s="999"/>
      <c r="O114" s="999"/>
      <c r="P114" s="1000"/>
      <c r="Q114" s="1030"/>
    </row>
    <row r="115" spans="1:17" s="705" customFormat="1" ht="15">
      <c r="A115" s="946"/>
      <c r="B115" s="943"/>
      <c r="C115" s="933"/>
      <c r="D115" s="968"/>
      <c r="E115" s="968"/>
      <c r="F115" s="968"/>
      <c r="G115" s="968"/>
      <c r="H115" s="968"/>
      <c r="I115" s="968"/>
      <c r="J115" s="968"/>
      <c r="K115" s="968"/>
      <c r="L115" s="968"/>
      <c r="M115" s="1027"/>
      <c r="N115" s="989"/>
      <c r="O115" s="989"/>
      <c r="P115" s="1000"/>
      <c r="Q115" s="1030"/>
    </row>
    <row r="116" spans="1:17">
      <c r="A116" s="934" t="s">
        <v>1276</v>
      </c>
      <c r="B116" s="935" t="s">
        <v>1435</v>
      </c>
      <c r="C116" s="969" t="str">
        <f t="shared" ref="C116:L116" si="25">C117&amp;"(含)"&amp;"-"&amp;D117</f>
        <v>(含)-</v>
      </c>
      <c r="D116" s="969" t="str">
        <f t="shared" si="25"/>
        <v>(含)-</v>
      </c>
      <c r="E116" s="969" t="str">
        <f t="shared" si="25"/>
        <v>(含)-</v>
      </c>
      <c r="F116" s="969" t="str">
        <f t="shared" si="25"/>
        <v>(含)-</v>
      </c>
      <c r="G116" s="969" t="str">
        <f t="shared" si="25"/>
        <v>(含)-</v>
      </c>
      <c r="H116" s="969" t="str">
        <f t="shared" si="25"/>
        <v>(含)-</v>
      </c>
      <c r="I116" s="969" t="str">
        <f t="shared" si="25"/>
        <v>(含)-</v>
      </c>
      <c r="J116" s="969" t="str">
        <f t="shared" si="25"/>
        <v>(含)-</v>
      </c>
      <c r="K116" s="969" t="str">
        <f t="shared" si="25"/>
        <v>(含)-</v>
      </c>
      <c r="L116" s="1028" t="str">
        <f t="shared" si="25"/>
        <v>(含)-</v>
      </c>
      <c r="M116" s="1029" t="str">
        <f>M117&amp;"(含)"&amp;"-"&amp;P117</f>
        <v>(含)-</v>
      </c>
      <c r="N116" s="986"/>
      <c r="O116" s="986"/>
      <c r="P116" s="987"/>
      <c r="Q116" s="909"/>
    </row>
    <row r="117" spans="1:17" ht="15">
      <c r="A117" s="936"/>
      <c r="B117" s="943"/>
      <c r="C117" s="923"/>
      <c r="D117" s="923"/>
      <c r="E117" s="923"/>
      <c r="F117" s="923"/>
      <c r="G117" s="923"/>
      <c r="H117" s="923"/>
      <c r="I117" s="923"/>
      <c r="J117" s="1024"/>
      <c r="K117" s="1024"/>
      <c r="L117" s="1025"/>
      <c r="M117" s="1026"/>
      <c r="N117" s="986"/>
      <c r="O117" s="986"/>
      <c r="P117" s="987"/>
      <c r="Q117" s="909"/>
    </row>
    <row r="118" spans="1:17" ht="15">
      <c r="A118" s="936"/>
      <c r="B118" s="941"/>
      <c r="C118" s="954"/>
      <c r="D118" s="965"/>
      <c r="E118" s="965"/>
      <c r="F118" s="965"/>
      <c r="G118" s="965"/>
      <c r="H118" s="965"/>
      <c r="I118" s="965"/>
      <c r="J118" s="965"/>
      <c r="K118" s="965"/>
      <c r="L118" s="965"/>
      <c r="M118" s="1023"/>
      <c r="N118" s="989"/>
      <c r="O118" s="989"/>
      <c r="P118" s="987"/>
      <c r="Q118" s="909"/>
    </row>
    <row r="119" spans="1:17">
      <c r="A119" s="970"/>
      <c r="B119" s="939" t="s">
        <v>1436</v>
      </c>
      <c r="C119" s="963"/>
      <c r="D119" s="963"/>
      <c r="E119" s="963"/>
      <c r="F119" s="963"/>
      <c r="G119" s="963"/>
      <c r="H119" s="963"/>
      <c r="I119" s="963"/>
      <c r="J119" s="963"/>
      <c r="K119" s="1017"/>
      <c r="L119" s="1018"/>
      <c r="M119" s="1019"/>
      <c r="N119" s="986"/>
      <c r="O119" s="986"/>
      <c r="P119" s="987"/>
      <c r="Q119" s="909"/>
    </row>
    <row r="120" spans="1:17" ht="15">
      <c r="A120" s="936"/>
      <c r="B120" s="941"/>
      <c r="C120" s="942">
        <v>100</v>
      </c>
      <c r="D120" s="942">
        <f t="shared" ref="D120:M120" si="26">C120-$K39</f>
        <v>100</v>
      </c>
      <c r="E120" s="942">
        <f t="shared" si="26"/>
        <v>100</v>
      </c>
      <c r="F120" s="942">
        <f t="shared" si="26"/>
        <v>100</v>
      </c>
      <c r="G120" s="942">
        <f t="shared" si="26"/>
        <v>100</v>
      </c>
      <c r="H120" s="942">
        <f t="shared" si="26"/>
        <v>100</v>
      </c>
      <c r="I120" s="942">
        <f t="shared" si="26"/>
        <v>100</v>
      </c>
      <c r="J120" s="942">
        <f t="shared" si="26"/>
        <v>100</v>
      </c>
      <c r="K120" s="942">
        <f t="shared" si="26"/>
        <v>100</v>
      </c>
      <c r="L120" s="942">
        <f t="shared" si="26"/>
        <v>100</v>
      </c>
      <c r="M120" s="993">
        <f t="shared" si="26"/>
        <v>100</v>
      </c>
      <c r="N120" s="989"/>
      <c r="O120" s="989"/>
      <c r="P120" s="987"/>
      <c r="Q120" s="909"/>
    </row>
    <row r="121" spans="1:17">
      <c r="A121" s="970"/>
      <c r="B121" s="939" t="s">
        <v>1437</v>
      </c>
      <c r="C121" s="947"/>
      <c r="D121" s="947"/>
      <c r="E121" s="947"/>
      <c r="F121" s="963"/>
      <c r="G121" s="963"/>
      <c r="H121" s="963"/>
      <c r="I121" s="963"/>
      <c r="J121" s="963"/>
      <c r="K121" s="1017"/>
      <c r="L121" s="1018"/>
      <c r="M121" s="1019"/>
      <c r="N121" s="986"/>
      <c r="O121" s="986"/>
      <c r="P121" s="987"/>
      <c r="Q121" s="909"/>
    </row>
    <row r="122" spans="1:17" ht="15">
      <c r="A122" s="936"/>
      <c r="B122" s="941"/>
      <c r="C122" s="942">
        <v>100</v>
      </c>
      <c r="D122" s="942">
        <f t="shared" ref="D122:M122" si="27">C122-$K40</f>
        <v>100</v>
      </c>
      <c r="E122" s="942">
        <f t="shared" si="27"/>
        <v>100</v>
      </c>
      <c r="F122" s="942">
        <f t="shared" si="27"/>
        <v>100</v>
      </c>
      <c r="G122" s="942">
        <f t="shared" si="27"/>
        <v>100</v>
      </c>
      <c r="H122" s="942">
        <f t="shared" si="27"/>
        <v>100</v>
      </c>
      <c r="I122" s="942">
        <f t="shared" si="27"/>
        <v>100</v>
      </c>
      <c r="J122" s="942">
        <f t="shared" si="27"/>
        <v>100</v>
      </c>
      <c r="K122" s="942">
        <f t="shared" si="27"/>
        <v>100</v>
      </c>
      <c r="L122" s="942">
        <f t="shared" si="27"/>
        <v>100</v>
      </c>
      <c r="M122" s="993">
        <f t="shared" si="27"/>
        <v>100</v>
      </c>
      <c r="N122" s="989"/>
      <c r="O122" s="989"/>
      <c r="P122" s="987"/>
      <c r="Q122" s="909"/>
    </row>
    <row r="123" spans="1:17" s="705" customFormat="1">
      <c r="A123" s="966"/>
      <c r="B123" s="939" t="s">
        <v>1438</v>
      </c>
      <c r="C123" s="947"/>
      <c r="D123" s="947"/>
      <c r="E123" s="947"/>
      <c r="F123" s="947"/>
      <c r="G123" s="947"/>
      <c r="H123" s="963"/>
      <c r="I123" s="963"/>
      <c r="J123" s="963"/>
      <c r="K123" s="1017"/>
      <c r="L123" s="1018"/>
      <c r="M123" s="1019"/>
      <c r="N123" s="999"/>
      <c r="O123" s="999"/>
      <c r="P123" s="1000"/>
      <c r="Q123" s="1030"/>
    </row>
    <row r="124" spans="1:17" s="705" customFormat="1" ht="15">
      <c r="A124" s="946"/>
      <c r="B124" s="941"/>
      <c r="C124" s="942">
        <v>100</v>
      </c>
      <c r="D124" s="942">
        <f>C124-$K41</f>
        <v>100</v>
      </c>
      <c r="E124" s="942">
        <f t="shared" ref="E124:M124" si="28">D124-$K41</f>
        <v>100</v>
      </c>
      <c r="F124" s="942">
        <f t="shared" si="28"/>
        <v>100</v>
      </c>
      <c r="G124" s="942">
        <f t="shared" si="28"/>
        <v>100</v>
      </c>
      <c r="H124" s="942">
        <f t="shared" si="28"/>
        <v>100</v>
      </c>
      <c r="I124" s="942">
        <f t="shared" si="28"/>
        <v>100</v>
      </c>
      <c r="J124" s="942">
        <f t="shared" si="28"/>
        <v>100</v>
      </c>
      <c r="K124" s="942">
        <f t="shared" si="28"/>
        <v>100</v>
      </c>
      <c r="L124" s="942">
        <f t="shared" si="28"/>
        <v>100</v>
      </c>
      <c r="M124" s="993">
        <f t="shared" si="28"/>
        <v>100</v>
      </c>
      <c r="N124" s="999"/>
      <c r="O124" s="999"/>
      <c r="P124" s="1000"/>
      <c r="Q124" s="1030"/>
    </row>
    <row r="125" spans="1:17">
      <c r="A125" s="970"/>
      <c r="B125" s="939" t="s">
        <v>1439</v>
      </c>
      <c r="C125" s="947"/>
      <c r="D125" s="947"/>
      <c r="E125" s="963"/>
      <c r="F125" s="963"/>
      <c r="G125" s="963"/>
      <c r="H125" s="963"/>
      <c r="I125" s="963"/>
      <c r="J125" s="963"/>
      <c r="K125" s="1017"/>
      <c r="L125" s="1018"/>
      <c r="M125" s="1019"/>
      <c r="N125" s="986"/>
      <c r="O125" s="986"/>
      <c r="P125" s="987"/>
      <c r="Q125" s="909"/>
    </row>
    <row r="126" spans="1:17" ht="15">
      <c r="A126" s="936"/>
      <c r="B126" s="941"/>
      <c r="C126" s="942">
        <v>100</v>
      </c>
      <c r="D126" s="942">
        <f t="shared" ref="D126:M126" si="29">C126-$K42</f>
        <v>100</v>
      </c>
      <c r="E126" s="942">
        <f t="shared" si="29"/>
        <v>100</v>
      </c>
      <c r="F126" s="942">
        <f t="shared" si="29"/>
        <v>100</v>
      </c>
      <c r="G126" s="942">
        <f t="shared" si="29"/>
        <v>100</v>
      </c>
      <c r="H126" s="942">
        <f t="shared" si="29"/>
        <v>100</v>
      </c>
      <c r="I126" s="942">
        <f t="shared" si="29"/>
        <v>100</v>
      </c>
      <c r="J126" s="942">
        <f t="shared" si="29"/>
        <v>100</v>
      </c>
      <c r="K126" s="942">
        <f t="shared" si="29"/>
        <v>100</v>
      </c>
      <c r="L126" s="942">
        <f t="shared" si="29"/>
        <v>100</v>
      </c>
      <c r="M126" s="993">
        <f t="shared" si="29"/>
        <v>100</v>
      </c>
      <c r="N126" s="989"/>
      <c r="O126" s="989"/>
      <c r="P126" s="987"/>
      <c r="Q126" s="909"/>
    </row>
    <row r="127" spans="1:17">
      <c r="A127" s="970"/>
      <c r="B127" s="939">
        <f>B43</f>
        <v>111</v>
      </c>
      <c r="C127" s="947"/>
      <c r="D127" s="947"/>
      <c r="E127" s="947"/>
      <c r="F127" s="947"/>
      <c r="G127" s="947"/>
      <c r="H127" s="963"/>
      <c r="I127" s="963"/>
      <c r="J127" s="963"/>
      <c r="K127" s="1017"/>
      <c r="L127" s="1018"/>
      <c r="M127" s="1019"/>
      <c r="N127" s="986"/>
      <c r="O127" s="986"/>
      <c r="P127" s="987"/>
      <c r="Q127" s="909"/>
    </row>
    <row r="128" spans="1:17" ht="15">
      <c r="A128" s="936"/>
      <c r="B128" s="941"/>
      <c r="C128" s="949"/>
      <c r="D128" s="949"/>
      <c r="E128" s="949"/>
      <c r="F128" s="949"/>
      <c r="G128" s="938"/>
      <c r="H128" s="938"/>
      <c r="I128" s="938"/>
      <c r="J128" s="938"/>
      <c r="K128" s="938"/>
      <c r="L128" s="938"/>
      <c r="M128" s="988"/>
      <c r="N128" s="989"/>
      <c r="O128" s="989"/>
      <c r="P128" s="987"/>
      <c r="Q128" s="909"/>
    </row>
    <row r="129" spans="1:17">
      <c r="A129" s="970"/>
      <c r="B129" s="939">
        <f>B44</f>
        <v>111</v>
      </c>
      <c r="C129" s="931"/>
      <c r="D129" s="931"/>
      <c r="E129" s="931"/>
      <c r="F129" s="931"/>
      <c r="G129" s="963"/>
      <c r="H129" s="963"/>
      <c r="I129" s="963"/>
      <c r="J129" s="963"/>
      <c r="K129" s="1017"/>
      <c r="L129" s="1018"/>
      <c r="M129" s="1019"/>
      <c r="N129" s="986"/>
      <c r="O129" s="986"/>
      <c r="P129" s="987"/>
      <c r="Q129" s="909"/>
    </row>
    <row r="130" spans="1:17" ht="15">
      <c r="A130" s="936"/>
      <c r="B130" s="941"/>
      <c r="C130" s="954"/>
      <c r="D130" s="954"/>
      <c r="E130" s="954"/>
      <c r="F130" s="954"/>
      <c r="G130" s="938"/>
      <c r="H130" s="938"/>
      <c r="I130" s="938"/>
      <c r="J130" s="938"/>
      <c r="K130" s="938"/>
      <c r="L130" s="938"/>
      <c r="M130" s="988"/>
      <c r="N130" s="989"/>
      <c r="O130" s="989"/>
      <c r="P130" s="987"/>
      <c r="Q130" s="909"/>
    </row>
    <row r="131" spans="1:17" s="705" customFormat="1">
      <c r="A131" s="966"/>
      <c r="B131" s="939">
        <f>B45</f>
        <v>111</v>
      </c>
      <c r="C131" s="931"/>
      <c r="D131" s="931"/>
      <c r="E131" s="931"/>
      <c r="F131" s="931"/>
      <c r="G131" s="948"/>
      <c r="H131" s="948"/>
      <c r="I131" s="948"/>
      <c r="J131" s="948"/>
      <c r="K131" s="948"/>
      <c r="L131" s="997"/>
      <c r="M131" s="998"/>
      <c r="N131" s="999"/>
      <c r="O131" s="999"/>
      <c r="P131" s="1000"/>
      <c r="Q131" s="1030"/>
    </row>
    <row r="132" spans="1:17" s="705" customFormat="1" ht="15">
      <c r="A132" s="952"/>
      <c r="B132" s="1073"/>
      <c r="C132" s="954"/>
      <c r="D132" s="954"/>
      <c r="E132" s="954"/>
      <c r="F132" s="954"/>
      <c r="G132" s="965"/>
      <c r="H132" s="965"/>
      <c r="I132" s="965"/>
      <c r="J132" s="965"/>
      <c r="K132" s="965"/>
      <c r="L132" s="965"/>
      <c r="M132" s="1023"/>
      <c r="N132" s="999"/>
      <c r="O132" s="999"/>
      <c r="P132" s="1000"/>
      <c r="Q132" s="1030"/>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18 E18 G18 I18">
      <formula1>商业繁华度</formula1>
    </dataValidation>
    <dataValidation type="list" allowBlank="1" showInputMessage="1" showErrorMessage="1" sqref="C33 E33 G33 I33">
      <formula1>套综道路等级</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C16 E16 G16 I16">
      <formula1>居住社区成熟度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C41 E41 G41 I41">
      <formula1>套综宗地内开发程度</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27"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709" customWidth="1"/>
    <col min="2" max="2" width="15.75" style="709" customWidth="1"/>
    <col min="3" max="3" width="14.375" style="709" customWidth="1"/>
    <col min="4" max="4" width="12.25" style="709" customWidth="1"/>
    <col min="5" max="5" width="14.375" style="709" customWidth="1"/>
    <col min="6" max="6" width="12.25" style="709" customWidth="1"/>
    <col min="7" max="7" width="14.5" style="709" customWidth="1"/>
    <col min="8" max="8" width="12.25" style="709" customWidth="1"/>
    <col min="9" max="9" width="14.5" style="709" customWidth="1"/>
    <col min="10" max="10" width="12.25" style="709" customWidth="1"/>
    <col min="11" max="11" width="12.25" style="710" customWidth="1"/>
    <col min="12" max="12" width="12.25" style="711" customWidth="1"/>
    <col min="13" max="15" width="12.25" style="709" customWidth="1"/>
    <col min="16" max="16" width="4.75" style="709" customWidth="1"/>
    <col min="17" max="17" width="19.5" style="709" customWidth="1"/>
    <col min="18" max="22" width="6.125" style="709" customWidth="1"/>
    <col min="23" max="23" width="5.75" style="709" customWidth="1"/>
    <col min="24" max="24" width="4.25" style="709" customWidth="1"/>
    <col min="25" max="25" width="3.5" style="709" customWidth="1"/>
    <col min="26" max="26" width="19.75" style="709" customWidth="1"/>
    <col min="27" max="28" width="9.375" style="709" customWidth="1"/>
    <col min="29" max="16384" width="9" style="709"/>
  </cols>
  <sheetData>
    <row r="1" spans="1:29" s="702" customFormat="1" ht="28.5" customHeight="1">
      <c r="A1" s="712" t="s">
        <v>1431</v>
      </c>
      <c r="B1" s="713"/>
      <c r="C1" s="714" t="s">
        <v>1408</v>
      </c>
      <c r="D1" s="715"/>
      <c r="E1" s="715"/>
      <c r="F1" s="716" t="s">
        <v>1238</v>
      </c>
      <c r="G1" s="715"/>
      <c r="H1" s="715"/>
      <c r="I1" s="715"/>
      <c r="J1" s="715"/>
      <c r="K1" s="852"/>
      <c r="L1" s="853"/>
      <c r="M1" s="854"/>
      <c r="N1" s="854"/>
      <c r="O1" s="854"/>
      <c r="P1" s="855"/>
      <c r="Q1" s="855"/>
      <c r="R1" s="855"/>
      <c r="S1" s="855"/>
      <c r="T1" s="855"/>
      <c r="U1" s="855"/>
      <c r="V1" s="855"/>
      <c r="W1" s="855"/>
      <c r="X1" s="855"/>
      <c r="Y1" s="855"/>
      <c r="Z1" s="855"/>
      <c r="AA1" s="855"/>
      <c r="AB1" s="855"/>
      <c r="AC1" s="910"/>
    </row>
    <row r="2" spans="1:29" s="702" customFormat="1" ht="28.5" customHeight="1">
      <c r="A2" s="400" t="s">
        <v>832</v>
      </c>
      <c r="B2" s="717" t="e">
        <f>F61</f>
        <v>#DIV/0!</v>
      </c>
      <c r="C2" s="718" t="s">
        <v>1433</v>
      </c>
      <c r="D2" s="719"/>
      <c r="E2" s="719"/>
      <c r="F2" s="720"/>
      <c r="G2" s="719"/>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833</v>
      </c>
      <c r="B3" s="721" t="e">
        <f>ROUND(B2/'数据-取费表'!B5,0)</f>
        <v>#DIV/0!</v>
      </c>
      <c r="C3" s="718" t="s">
        <v>834</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5">
      <c r="A4" s="722" t="s">
        <v>1240</v>
      </c>
      <c r="B4" s="723"/>
      <c r="C4" s="3004" t="s">
        <v>1241</v>
      </c>
      <c r="D4" s="3005"/>
      <c r="E4" s="3006" t="s">
        <v>1242</v>
      </c>
      <c r="F4" s="3007"/>
      <c r="G4" s="3004" t="s">
        <v>1243</v>
      </c>
      <c r="H4" s="3005"/>
      <c r="I4" s="3004" t="s">
        <v>1244</v>
      </c>
      <c r="J4" s="3005"/>
      <c r="K4" s="859" t="s">
        <v>1245</v>
      </c>
      <c r="L4" s="860"/>
      <c r="M4" s="861"/>
      <c r="N4" s="861"/>
      <c r="O4" s="861"/>
      <c r="P4" s="3065" t="s">
        <v>1246</v>
      </c>
      <c r="Q4" s="3024"/>
      <c r="R4" s="3038" t="s">
        <v>1242</v>
      </c>
      <c r="S4" s="3039"/>
      <c r="T4" s="3038" t="s">
        <v>1243</v>
      </c>
      <c r="U4" s="3039"/>
      <c r="V4" s="3048" t="s">
        <v>1244</v>
      </c>
      <c r="W4" s="3048"/>
      <c r="X4" s="898"/>
      <c r="Y4" s="3038" t="s">
        <v>1246</v>
      </c>
      <c r="Z4" s="3039"/>
      <c r="AA4" s="3035" t="s">
        <v>1242</v>
      </c>
      <c r="AB4" s="3036" t="s">
        <v>1243</v>
      </c>
      <c r="AC4" s="3035" t="s">
        <v>1244</v>
      </c>
    </row>
    <row r="5" spans="1:29" ht="15">
      <c r="A5" s="724"/>
      <c r="B5" s="725"/>
      <c r="C5" s="3008" t="s">
        <v>1371</v>
      </c>
      <c r="D5" s="3009"/>
      <c r="E5" s="3055" t="s">
        <v>1372</v>
      </c>
      <c r="F5" s="3011"/>
      <c r="G5" s="3008" t="s">
        <v>1373</v>
      </c>
      <c r="H5" s="3009"/>
      <c r="I5" s="3008" t="s">
        <v>1374</v>
      </c>
      <c r="J5" s="3009"/>
      <c r="K5" s="859"/>
      <c r="L5" s="860"/>
      <c r="M5" s="861"/>
      <c r="N5" s="861"/>
      <c r="O5" s="861"/>
      <c r="P5" s="3066"/>
      <c r="Q5" s="3025"/>
      <c r="R5" s="3040"/>
      <c r="S5" s="3041"/>
      <c r="T5" s="3040"/>
      <c r="U5" s="3041"/>
      <c r="V5" s="3048"/>
      <c r="W5" s="3048"/>
      <c r="X5" s="898"/>
      <c r="Y5" s="3040"/>
      <c r="Z5" s="3041"/>
      <c r="AA5" s="3036"/>
      <c r="AB5" s="3036"/>
      <c r="AC5" s="3036"/>
    </row>
    <row r="6" spans="1:29" ht="15">
      <c r="A6" s="726"/>
      <c r="B6" s="727"/>
      <c r="C6" s="3017" t="s">
        <v>1250</v>
      </c>
      <c r="D6" s="3014"/>
      <c r="E6" s="3015" t="s">
        <v>1250</v>
      </c>
      <c r="F6" s="3016"/>
      <c r="G6" s="3017" t="s">
        <v>1250</v>
      </c>
      <c r="H6" s="3014"/>
      <c r="I6" s="3017" t="s">
        <v>1250</v>
      </c>
      <c r="J6" s="3014"/>
      <c r="K6" s="859" t="s">
        <v>1251</v>
      </c>
      <c r="L6" s="860"/>
      <c r="M6" s="861"/>
      <c r="N6" s="861"/>
      <c r="O6" s="861"/>
      <c r="P6" s="3067"/>
      <c r="Q6" s="3047"/>
      <c r="R6" s="3040"/>
      <c r="S6" s="3041"/>
      <c r="T6" s="3042"/>
      <c r="U6" s="3043"/>
      <c r="V6" s="3048"/>
      <c r="W6" s="3048"/>
      <c r="X6" s="898"/>
      <c r="Y6" s="3042"/>
      <c r="Z6" s="3043"/>
      <c r="AA6" s="3037"/>
      <c r="AB6" s="3037"/>
      <c r="AC6" s="3037"/>
    </row>
    <row r="7" spans="1:29" s="703" customFormat="1" ht="15">
      <c r="A7" s="728" t="s">
        <v>1252</v>
      </c>
      <c r="B7" s="729"/>
      <c r="C7" s="730">
        <f>'数据-取费表'!B2</f>
        <v>43646</v>
      </c>
      <c r="D7" s="731">
        <v>100</v>
      </c>
      <c r="E7" s="732"/>
      <c r="F7" s="733">
        <f>SUMIF(65:65,YEAR(E7)&amp;"-"&amp;INT((MONTH(E7)+2)/3),66:66)</f>
        <v>0</v>
      </c>
      <c r="G7" s="734"/>
      <c r="H7" s="731">
        <f>SUMIF(65:65,YEAR(G7)&amp;"-"&amp;INT((MONTH(G7)+2)/3),66:66)</f>
        <v>0</v>
      </c>
      <c r="I7" s="734"/>
      <c r="J7" s="731">
        <f>SUMIF(65:65,YEAR(I7)&amp;"-"&amp;INT((MONTH(I7)+2)/3),66:66)</f>
        <v>0</v>
      </c>
      <c r="K7" s="862"/>
      <c r="L7" s="863"/>
      <c r="M7" s="864"/>
      <c r="N7" s="864"/>
      <c r="O7" s="864"/>
      <c r="P7" s="3019" t="s">
        <v>1253</v>
      </c>
      <c r="Q7" s="3018"/>
      <c r="R7" s="900" t="s">
        <v>1254</v>
      </c>
      <c r="S7" s="901">
        <f t="shared" ref="S7:S15" si="0">F7</f>
        <v>0</v>
      </c>
      <c r="T7" s="900" t="s">
        <v>1254</v>
      </c>
      <c r="U7" s="901">
        <f t="shared" ref="U7:U15" si="1">H7</f>
        <v>0</v>
      </c>
      <c r="V7" s="900" t="s">
        <v>1254</v>
      </c>
      <c r="W7" s="901">
        <f t="shared" ref="W7:W15" si="2">J7</f>
        <v>0</v>
      </c>
      <c r="X7" s="902"/>
      <c r="Y7" s="3019" t="s">
        <v>1253</v>
      </c>
      <c r="Z7" s="3020"/>
      <c r="AA7" s="913" t="e">
        <f>D7/F7</f>
        <v>#DIV/0!</v>
      </c>
      <c r="AB7" s="913" t="e">
        <f>D7/H7</f>
        <v>#DIV/0!</v>
      </c>
      <c r="AC7" s="913" t="e">
        <f>D7/J7</f>
        <v>#DIV/0!</v>
      </c>
    </row>
    <row r="8" spans="1:29" s="703" customFormat="1" ht="15">
      <c r="A8" s="728" t="s">
        <v>1255</v>
      </c>
      <c r="B8" s="729"/>
      <c r="C8" s="735" t="s">
        <v>1256</v>
      </c>
      <c r="D8" s="731">
        <v>100</v>
      </c>
      <c r="E8" s="735"/>
      <c r="F8" s="733">
        <f>SUMIF(68:68,E8,69:69)-SUMIF(68:68,C8,69:69)+100</f>
        <v>0</v>
      </c>
      <c r="G8" s="735"/>
      <c r="H8" s="731">
        <f>SUMIF(68:68,G8,69:69)-SUMIF(68:68,C8,69:69)+100</f>
        <v>0</v>
      </c>
      <c r="I8" s="735"/>
      <c r="J8" s="731">
        <f>SUMIF(68:68,I8,69:69)-SUMIF(68:68,C8,69:69)+100</f>
        <v>0</v>
      </c>
      <c r="K8" s="862"/>
      <c r="L8" s="863"/>
      <c r="M8" s="864"/>
      <c r="N8" s="864"/>
      <c r="O8" s="864"/>
      <c r="P8" s="3019" t="s">
        <v>1258</v>
      </c>
      <c r="Q8" s="3020"/>
      <c r="R8" s="900" t="s">
        <v>1254</v>
      </c>
      <c r="S8" s="901">
        <f t="shared" si="0"/>
        <v>0</v>
      </c>
      <c r="T8" s="900" t="s">
        <v>1254</v>
      </c>
      <c r="U8" s="901">
        <f t="shared" si="1"/>
        <v>0</v>
      </c>
      <c r="V8" s="900" t="s">
        <v>1254</v>
      </c>
      <c r="W8" s="901">
        <f t="shared" si="2"/>
        <v>0</v>
      </c>
      <c r="X8" s="902"/>
      <c r="Y8" s="3019" t="s">
        <v>1258</v>
      </c>
      <c r="Z8" s="3020"/>
      <c r="AA8" s="913" t="e">
        <f t="shared" ref="AA8:AA40" si="3">D8/F8</f>
        <v>#DIV/0!</v>
      </c>
      <c r="AB8" s="913" t="e">
        <f t="shared" ref="AB8:AB40" si="4">D8/H8</f>
        <v>#DIV/0!</v>
      </c>
      <c r="AC8" s="913" t="e">
        <f t="shared" ref="AC8:AC40" si="5">D8/J8</f>
        <v>#DIV/0!</v>
      </c>
    </row>
    <row r="9" spans="1:29" s="703" customFormat="1">
      <c r="A9" s="736" t="s">
        <v>1259</v>
      </c>
      <c r="B9" s="737" t="s">
        <v>1260</v>
      </c>
      <c r="C9" s="738" t="s">
        <v>155</v>
      </c>
      <c r="D9" s="739">
        <v>100</v>
      </c>
      <c r="E9" s="738"/>
      <c r="F9" s="739">
        <f>SUMIF(70:70,E9,71:71)-SUMIF(70:70,C9,71:71)+100</f>
        <v>100</v>
      </c>
      <c r="G9" s="738"/>
      <c r="H9" s="739">
        <f>SUMIF(70:70,G9,71:71)-SUMIF(70:70,C9,71:71)+100</f>
        <v>100</v>
      </c>
      <c r="I9" s="738"/>
      <c r="J9" s="739">
        <f>SUMIF(70:70,I9,71:71)-SUMIF(70:70,C9,71:71)+100</f>
        <v>100</v>
      </c>
      <c r="K9" s="862"/>
      <c r="L9" s="863"/>
      <c r="M9" s="864"/>
      <c r="N9" s="864"/>
      <c r="O9" s="865"/>
      <c r="P9" s="3022" t="s">
        <v>1261</v>
      </c>
      <c r="Q9" s="903" t="str">
        <f t="shared" ref="Q9:Q15" si="6">B9</f>
        <v>用途</v>
      </c>
      <c r="R9" s="900" t="s">
        <v>1254</v>
      </c>
      <c r="S9" s="901">
        <f t="shared" si="0"/>
        <v>100</v>
      </c>
      <c r="T9" s="900" t="s">
        <v>1254</v>
      </c>
      <c r="U9" s="901">
        <f t="shared" si="1"/>
        <v>100</v>
      </c>
      <c r="V9" s="900" t="s">
        <v>1254</v>
      </c>
      <c r="W9" s="901">
        <f t="shared" si="2"/>
        <v>100</v>
      </c>
      <c r="X9" s="902"/>
      <c r="Y9" s="2900" t="s">
        <v>1262</v>
      </c>
      <c r="Z9" s="914" t="str">
        <f t="shared" ref="Z9:Z15" si="7">Q9</f>
        <v>用途</v>
      </c>
      <c r="AA9" s="913">
        <f t="shared" si="3"/>
        <v>1</v>
      </c>
      <c r="AB9" s="913">
        <f t="shared" si="4"/>
        <v>1</v>
      </c>
      <c r="AC9" s="913">
        <f t="shared" si="5"/>
        <v>1</v>
      </c>
    </row>
    <row r="10" spans="1:29" s="704" customFormat="1" ht="27">
      <c r="A10" s="740"/>
      <c r="B10" s="741" t="s">
        <v>1263</v>
      </c>
      <c r="C10" s="742"/>
      <c r="D10" s="743">
        <v>100</v>
      </c>
      <c r="E10" s="742"/>
      <c r="F10" s="743">
        <f>ROUND(100/'数据-取费表'!B14,0)</f>
        <v>134</v>
      </c>
      <c r="G10" s="742"/>
      <c r="H10" s="743">
        <f>ROUND(100/'数据-取费表'!B14,0)</f>
        <v>134</v>
      </c>
      <c r="I10" s="742"/>
      <c r="J10" s="743">
        <f>ROUND(100/'数据-取费表'!B14,0)</f>
        <v>134</v>
      </c>
      <c r="K10" s="866"/>
      <c r="L10" s="867"/>
      <c r="M10" s="868"/>
      <c r="N10" s="868"/>
      <c r="O10" s="869"/>
      <c r="P10" s="3022"/>
      <c r="Q10" s="903" t="str">
        <f t="shared" si="6"/>
        <v>土地使用年限（年）</v>
      </c>
      <c r="R10" s="900" t="s">
        <v>1254</v>
      </c>
      <c r="S10" s="901">
        <f t="shared" si="0"/>
        <v>134</v>
      </c>
      <c r="T10" s="900" t="s">
        <v>1254</v>
      </c>
      <c r="U10" s="901">
        <f t="shared" si="1"/>
        <v>134</v>
      </c>
      <c r="V10" s="900" t="s">
        <v>1254</v>
      </c>
      <c r="W10" s="901">
        <f t="shared" si="2"/>
        <v>134</v>
      </c>
      <c r="X10" s="902"/>
      <c r="Y10" s="2900"/>
      <c r="Z10" s="914" t="str">
        <f t="shared" si="7"/>
        <v>土地使用年限（年）</v>
      </c>
      <c r="AA10" s="913">
        <f t="shared" si="3"/>
        <v>0.74626865671641796</v>
      </c>
      <c r="AB10" s="913">
        <f t="shared" si="4"/>
        <v>0.74626865671641796</v>
      </c>
      <c r="AC10" s="913">
        <f t="shared" si="5"/>
        <v>0.74626865671641796</v>
      </c>
    </row>
    <row r="11" spans="1:29" ht="15">
      <c r="A11" s="744"/>
      <c r="B11" s="741" t="s">
        <v>1265</v>
      </c>
      <c r="C11" s="745">
        <v>0.5</v>
      </c>
      <c r="D11" s="743">
        <v>100</v>
      </c>
      <c r="E11" s="745"/>
      <c r="F11" s="743" t="e">
        <f>LOOKUP(E11,75:75,76:76)-LOOKUP(C11,75:75,76:76)+100</f>
        <v>#N/A</v>
      </c>
      <c r="G11" s="746"/>
      <c r="H11" s="743" t="e">
        <f>LOOKUP(G11,75:75,76:76)-LOOKUP(C11,75:75,76:76)+100</f>
        <v>#N/A</v>
      </c>
      <c r="I11" s="745"/>
      <c r="J11" s="743" t="e">
        <f>LOOKUP(I11,75:75,76:76)-LOOKUP(C11,75:75,76:76)+100</f>
        <v>#N/A</v>
      </c>
      <c r="K11" s="870"/>
      <c r="L11" s="871"/>
      <c r="M11" s="861"/>
      <c r="N11" s="861"/>
      <c r="O11" s="872"/>
      <c r="P11" s="3022"/>
      <c r="Q11" s="903" t="str">
        <f t="shared" si="6"/>
        <v>容积率</v>
      </c>
      <c r="R11" s="900" t="s">
        <v>1254</v>
      </c>
      <c r="S11" s="901" t="e">
        <f t="shared" si="0"/>
        <v>#N/A</v>
      </c>
      <c r="T11" s="900" t="s">
        <v>1254</v>
      </c>
      <c r="U11" s="901" t="e">
        <f t="shared" si="1"/>
        <v>#N/A</v>
      </c>
      <c r="V11" s="900" t="s">
        <v>1254</v>
      </c>
      <c r="W11" s="901" t="e">
        <f t="shared" si="2"/>
        <v>#N/A</v>
      </c>
      <c r="X11" s="902"/>
      <c r="Y11" s="2900"/>
      <c r="Z11" s="914" t="str">
        <f t="shared" si="7"/>
        <v>容积率</v>
      </c>
      <c r="AA11" s="913" t="e">
        <f t="shared" si="3"/>
        <v>#N/A</v>
      </c>
      <c r="AB11" s="913" t="e">
        <f t="shared" si="4"/>
        <v>#N/A</v>
      </c>
      <c r="AC11" s="913" t="e">
        <f t="shared" si="5"/>
        <v>#N/A</v>
      </c>
    </row>
    <row r="12" spans="1:29" s="703" customFormat="1" ht="15">
      <c r="A12" s="747"/>
      <c r="B12" s="748">
        <v>111</v>
      </c>
      <c r="C12" s="742">
        <v>111</v>
      </c>
      <c r="D12" s="749">
        <v>100</v>
      </c>
      <c r="E12" s="750"/>
      <c r="F12" s="743">
        <f>SUMIF(77:77,E12,78:78)-SUMIF(77:77,C12,78:78)+100</f>
        <v>100</v>
      </c>
      <c r="G12" s="751"/>
      <c r="H12" s="743">
        <f>SUMIF(77:77,G12,78:78)-SUMIF(77:77,C12,78:78)+100</f>
        <v>100</v>
      </c>
      <c r="I12" s="750"/>
      <c r="J12" s="743">
        <f>SUMIF(77:77,I12,78:78)-SUMIF(77:77,C12,78:78)+100</f>
        <v>100</v>
      </c>
      <c r="K12" s="866"/>
      <c r="L12" s="863"/>
      <c r="M12" s="864"/>
      <c r="N12" s="864"/>
      <c r="O12" s="865"/>
      <c r="P12" s="3022"/>
      <c r="Q12" s="903">
        <f t="shared" si="6"/>
        <v>111</v>
      </c>
      <c r="R12" s="900" t="s">
        <v>1254</v>
      </c>
      <c r="S12" s="901">
        <f t="shared" si="0"/>
        <v>100</v>
      </c>
      <c r="T12" s="900" t="s">
        <v>1254</v>
      </c>
      <c r="U12" s="901">
        <f t="shared" si="1"/>
        <v>100</v>
      </c>
      <c r="V12" s="900" t="s">
        <v>1254</v>
      </c>
      <c r="W12" s="901">
        <f t="shared" si="2"/>
        <v>100</v>
      </c>
      <c r="X12" s="902"/>
      <c r="Y12" s="2900"/>
      <c r="Z12" s="914">
        <f t="shared" si="7"/>
        <v>111</v>
      </c>
      <c r="AA12" s="913">
        <f t="shared" si="3"/>
        <v>1</v>
      </c>
      <c r="AB12" s="913">
        <f t="shared" si="4"/>
        <v>1</v>
      </c>
      <c r="AC12" s="913">
        <f t="shared" si="5"/>
        <v>1</v>
      </c>
    </row>
    <row r="13" spans="1:29" ht="15">
      <c r="A13" s="744"/>
      <c r="B13" s="748">
        <v>111</v>
      </c>
      <c r="C13" s="752">
        <v>111</v>
      </c>
      <c r="D13" s="753">
        <v>100</v>
      </c>
      <c r="E13" s="750"/>
      <c r="F13" s="743">
        <f>SUMIF(79:79,E13,80:80)-SUMIF(79:79,C13,80:80)+100</f>
        <v>100</v>
      </c>
      <c r="G13" s="751"/>
      <c r="H13" s="753">
        <f>SUMIF(79:79,G13,80:80)-SUMIF(79:79,C13,80:80)+100</f>
        <v>100</v>
      </c>
      <c r="I13" s="750"/>
      <c r="J13" s="753">
        <f>SUMIF(79:79,I13,80:80)-SUMIF(79:79,C13,80:80)+100</f>
        <v>100</v>
      </c>
      <c r="K13" s="866"/>
      <c r="L13" s="873"/>
      <c r="M13" s="861"/>
      <c r="N13" s="861"/>
      <c r="O13" s="872"/>
      <c r="P13" s="3022"/>
      <c r="Q13" s="903">
        <f t="shared" si="6"/>
        <v>111</v>
      </c>
      <c r="R13" s="900" t="s">
        <v>1254</v>
      </c>
      <c r="S13" s="901">
        <f t="shared" si="0"/>
        <v>100</v>
      </c>
      <c r="T13" s="900" t="s">
        <v>1254</v>
      </c>
      <c r="U13" s="901">
        <f t="shared" si="1"/>
        <v>100</v>
      </c>
      <c r="V13" s="900" t="s">
        <v>1254</v>
      </c>
      <c r="W13" s="901">
        <f t="shared" si="2"/>
        <v>100</v>
      </c>
      <c r="X13" s="902"/>
      <c r="Y13" s="2900"/>
      <c r="Z13" s="914">
        <f t="shared" si="7"/>
        <v>111</v>
      </c>
      <c r="AA13" s="913">
        <f t="shared" si="3"/>
        <v>1</v>
      </c>
      <c r="AB13" s="913">
        <f t="shared" si="4"/>
        <v>1</v>
      </c>
      <c r="AC13" s="913">
        <f t="shared" si="5"/>
        <v>1</v>
      </c>
    </row>
    <row r="14" spans="1:29" ht="15">
      <c r="A14" s="754"/>
      <c r="B14" s="755">
        <v>111</v>
      </c>
      <c r="C14" s="756">
        <v>111</v>
      </c>
      <c r="D14" s="757">
        <v>100</v>
      </c>
      <c r="E14" s="750"/>
      <c r="F14" s="757">
        <f>SUMIF(81:81,E14,82:82)-SUMIF(81:81,C14,82:82)+100</f>
        <v>100</v>
      </c>
      <c r="G14" s="751"/>
      <c r="H14" s="757">
        <f>SUMIF(81:81,G14,82:82)-SUMIF(81:81,C14,82:82)+100</f>
        <v>100</v>
      </c>
      <c r="I14" s="750"/>
      <c r="J14" s="757">
        <f>SUMIF(81:81,I14,82:82)-SUMIF(81:81,C14,82:82)+100</f>
        <v>100</v>
      </c>
      <c r="K14" s="866"/>
      <c r="L14" s="873"/>
      <c r="M14" s="861"/>
      <c r="N14" s="861"/>
      <c r="O14" s="872"/>
      <c r="P14" s="3022"/>
      <c r="Q14" s="903">
        <f t="shared" si="6"/>
        <v>111</v>
      </c>
      <c r="R14" s="900" t="s">
        <v>1254</v>
      </c>
      <c r="S14" s="901">
        <f t="shared" si="0"/>
        <v>100</v>
      </c>
      <c r="T14" s="900" t="s">
        <v>1254</v>
      </c>
      <c r="U14" s="901">
        <f t="shared" si="1"/>
        <v>100</v>
      </c>
      <c r="V14" s="900" t="s">
        <v>1254</v>
      </c>
      <c r="W14" s="901">
        <f t="shared" si="2"/>
        <v>100</v>
      </c>
      <c r="X14" s="902"/>
      <c r="Y14" s="2900"/>
      <c r="Z14" s="914">
        <f t="shared" si="7"/>
        <v>111</v>
      </c>
      <c r="AA14" s="913">
        <f t="shared" si="3"/>
        <v>1</v>
      </c>
      <c r="AB14" s="913">
        <f t="shared" si="4"/>
        <v>1</v>
      </c>
      <c r="AC14" s="913">
        <f t="shared" si="5"/>
        <v>1</v>
      </c>
    </row>
    <row r="15" spans="1:29" ht="57">
      <c r="A15" s="758" t="s">
        <v>1266</v>
      </c>
      <c r="B15" s="759" t="s">
        <v>210</v>
      </c>
      <c r="C15" s="760" t="str">
        <f>估价对象房地状况!G15</f>
        <v>估价对象位于XX开发区，园区建设成熟度XX，产业集聚程度XX</v>
      </c>
      <c r="D15" s="761">
        <v>100</v>
      </c>
      <c r="E15" s="762"/>
      <c r="F15" s="761">
        <f>SUMIF(83:83,E16,84:84)-SUMIF(83:83,C16,84:84)+100</f>
        <v>100</v>
      </c>
      <c r="G15" s="762"/>
      <c r="H15" s="761">
        <f>SUMIF(83:83,G16,84:84)-SUMIF(83:83,C16,84:84)+100</f>
        <v>100</v>
      </c>
      <c r="I15" s="874"/>
      <c r="J15" s="761">
        <f>SUMIF(83:83,I16,84:84)-SUMIF(83:83,C16,84:84)+100</f>
        <v>100</v>
      </c>
      <c r="K15" s="870"/>
      <c r="L15" s="873"/>
      <c r="M15" s="861"/>
      <c r="N15" s="861"/>
      <c r="O15" s="872"/>
      <c r="P15" s="3029" t="s">
        <v>1267</v>
      </c>
      <c r="Q15" s="492" t="str">
        <f t="shared" si="6"/>
        <v>产业集聚程度</v>
      </c>
      <c r="R15" s="904" t="s">
        <v>1254</v>
      </c>
      <c r="S15" s="905">
        <f t="shared" si="0"/>
        <v>100</v>
      </c>
      <c r="T15" s="904" t="s">
        <v>1254</v>
      </c>
      <c r="U15" s="905">
        <f t="shared" si="1"/>
        <v>100</v>
      </c>
      <c r="V15" s="904" t="s">
        <v>1254</v>
      </c>
      <c r="W15" s="905">
        <f t="shared" si="2"/>
        <v>100</v>
      </c>
      <c r="X15" s="898"/>
      <c r="Y15" s="3029" t="s">
        <v>1267</v>
      </c>
      <c r="Z15" s="833" t="str">
        <f t="shared" si="7"/>
        <v>产业集聚程度</v>
      </c>
      <c r="AA15" s="915">
        <f t="shared" si="3"/>
        <v>1</v>
      </c>
      <c r="AB15" s="915">
        <f t="shared" si="4"/>
        <v>1</v>
      </c>
      <c r="AC15" s="915">
        <f t="shared" si="5"/>
        <v>1</v>
      </c>
    </row>
    <row r="16" spans="1:29" ht="15">
      <c r="A16" s="744"/>
      <c r="B16" s="763"/>
      <c r="C16" s="764"/>
      <c r="D16" s="765"/>
      <c r="E16" s="766"/>
      <c r="F16" s="765"/>
      <c r="G16" s="766"/>
      <c r="H16" s="767"/>
      <c r="I16" s="766"/>
      <c r="J16" s="765"/>
      <c r="K16" s="866"/>
      <c r="L16" s="873"/>
      <c r="M16" s="861"/>
      <c r="N16" s="861"/>
      <c r="O16" s="872"/>
      <c r="P16" s="3030"/>
      <c r="Q16" s="492"/>
      <c r="R16" s="904"/>
      <c r="S16" s="905"/>
      <c r="T16" s="904"/>
      <c r="U16" s="905"/>
      <c r="V16" s="904"/>
      <c r="W16" s="905"/>
      <c r="X16" s="898"/>
      <c r="Y16" s="3030"/>
      <c r="Z16" s="833"/>
      <c r="AA16" s="915">
        <v>1</v>
      </c>
      <c r="AB16" s="915">
        <v>1</v>
      </c>
      <c r="AC16" s="915">
        <v>1</v>
      </c>
    </row>
    <row r="17" spans="1:29" ht="85.5">
      <c r="A17" s="744"/>
      <c r="B17" s="768" t="s">
        <v>211</v>
      </c>
      <c r="C17" s="769" t="str">
        <f>估价对象房地状况!G16</f>
        <v>估价对象周边道路状况、公共交通通达情况、停车便捷程度，综合评价交通便捷度较好</v>
      </c>
      <c r="D17" s="767">
        <v>100</v>
      </c>
      <c r="E17" s="770"/>
      <c r="F17" s="771">
        <f>SUMIF(85:85,E18,86:86)-SUMIF(85:85,C18,86:86)+100</f>
        <v>100</v>
      </c>
      <c r="G17" s="770"/>
      <c r="H17" s="771">
        <f>SUMIF(85:85,G18,86:86)-SUMIF(85:85,C18,86:86)+100</f>
        <v>100</v>
      </c>
      <c r="I17" s="875"/>
      <c r="J17" s="767">
        <f>SUMIF(85:85,I18,86:86)-SUMIF(85:85,C18,86:86)+100</f>
        <v>100</v>
      </c>
      <c r="K17" s="870"/>
      <c r="L17" s="873"/>
      <c r="M17" s="861"/>
      <c r="N17" s="861"/>
      <c r="O17" s="872"/>
      <c r="P17" s="3030"/>
      <c r="Q17" s="492" t="str">
        <f>B17</f>
        <v>交通便捷度</v>
      </c>
      <c r="R17" s="904" t="s">
        <v>1254</v>
      </c>
      <c r="S17" s="905">
        <f>F17</f>
        <v>100</v>
      </c>
      <c r="T17" s="904" t="s">
        <v>1254</v>
      </c>
      <c r="U17" s="905">
        <f>H17</f>
        <v>100</v>
      </c>
      <c r="V17" s="904" t="s">
        <v>1254</v>
      </c>
      <c r="W17" s="905">
        <f>J17</f>
        <v>100</v>
      </c>
      <c r="X17" s="898"/>
      <c r="Y17" s="3030"/>
      <c r="Z17" s="833" t="str">
        <f>Q17</f>
        <v>交通便捷度</v>
      </c>
      <c r="AA17" s="915">
        <f t="shared" si="3"/>
        <v>1</v>
      </c>
      <c r="AB17" s="915">
        <f t="shared" si="4"/>
        <v>1</v>
      </c>
      <c r="AC17" s="915">
        <f t="shared" si="5"/>
        <v>1</v>
      </c>
    </row>
    <row r="18" spans="1:29" ht="15">
      <c r="A18" s="744"/>
      <c r="B18" s="772"/>
      <c r="C18" s="764"/>
      <c r="D18" s="765"/>
      <c r="E18" s="773"/>
      <c r="F18" s="765"/>
      <c r="G18" s="773"/>
      <c r="H18" s="765"/>
      <c r="I18" s="876"/>
      <c r="J18" s="765"/>
      <c r="K18" s="866"/>
      <c r="L18" s="873"/>
      <c r="M18" s="861"/>
      <c r="N18" s="861"/>
      <c r="O18" s="872"/>
      <c r="P18" s="3030"/>
      <c r="Q18" s="492"/>
      <c r="R18" s="904"/>
      <c r="S18" s="905"/>
      <c r="T18" s="904"/>
      <c r="U18" s="905"/>
      <c r="V18" s="904"/>
      <c r="W18" s="905"/>
      <c r="X18" s="898"/>
      <c r="Y18" s="3030"/>
      <c r="Z18" s="833"/>
      <c r="AA18" s="915">
        <v>1</v>
      </c>
      <c r="AB18" s="915">
        <v>1</v>
      </c>
      <c r="AC18" s="915">
        <v>1</v>
      </c>
    </row>
    <row r="19" spans="1:29" ht="15">
      <c r="A19" s="744"/>
      <c r="B19" s="768" t="s">
        <v>212</v>
      </c>
      <c r="C19" s="769">
        <f>估价对象房地状况!G17</f>
        <v>0</v>
      </c>
      <c r="D19" s="767">
        <v>100</v>
      </c>
      <c r="E19" s="770"/>
      <c r="F19" s="771">
        <f>SUMIF(87:87,E20,88:88)-SUMIF(87:87,C20,88:88)+100</f>
        <v>100</v>
      </c>
      <c r="G19" s="770"/>
      <c r="H19" s="771">
        <f>SUMIF(87:87,G20,88:88)-SUMIF(87:87,C20,88:88)+100</f>
        <v>100</v>
      </c>
      <c r="I19" s="770"/>
      <c r="J19" s="771">
        <f>SUMIF(87:87,I20,88:88)-SUMIF(87:87,C20,88:88)+100</f>
        <v>100</v>
      </c>
      <c r="K19" s="870"/>
      <c r="L19" s="873"/>
      <c r="M19" s="861"/>
      <c r="N19" s="861"/>
      <c r="O19" s="872"/>
      <c r="P19" s="3030"/>
      <c r="Q19" s="492" t="str">
        <f t="shared" ref="Q19:Q34" si="8">B19</f>
        <v>区域土地利用方向</v>
      </c>
      <c r="R19" s="904" t="s">
        <v>1254</v>
      </c>
      <c r="S19" s="905">
        <f>F19</f>
        <v>100</v>
      </c>
      <c r="T19" s="904" t="s">
        <v>1254</v>
      </c>
      <c r="U19" s="905">
        <f>H19</f>
        <v>100</v>
      </c>
      <c r="V19" s="904" t="s">
        <v>1254</v>
      </c>
      <c r="W19" s="905">
        <f>J19</f>
        <v>100</v>
      </c>
      <c r="X19" s="898"/>
      <c r="Y19" s="3030"/>
      <c r="Z19" s="833" t="str">
        <f>Q19</f>
        <v>区域土地利用方向</v>
      </c>
      <c r="AA19" s="915">
        <f t="shared" si="3"/>
        <v>1</v>
      </c>
      <c r="AB19" s="915">
        <f t="shared" si="4"/>
        <v>1</v>
      </c>
      <c r="AC19" s="915">
        <f t="shared" si="5"/>
        <v>1</v>
      </c>
    </row>
    <row r="20" spans="1:29" ht="15">
      <c r="A20" s="724"/>
      <c r="B20" s="772"/>
      <c r="C20" s="764"/>
      <c r="D20" s="765"/>
      <c r="E20" s="773"/>
      <c r="F20" s="765"/>
      <c r="G20" s="773"/>
      <c r="H20" s="765"/>
      <c r="I20" s="773"/>
      <c r="J20" s="765"/>
      <c r="K20" s="877"/>
      <c r="L20" s="873"/>
      <c r="M20" s="861"/>
      <c r="N20" s="861"/>
      <c r="O20" s="872"/>
      <c r="P20" s="3030"/>
      <c r="Q20" s="492"/>
      <c r="R20" s="904"/>
      <c r="S20" s="905"/>
      <c r="T20" s="904"/>
      <c r="U20" s="905"/>
      <c r="V20" s="904"/>
      <c r="W20" s="905"/>
      <c r="X20" s="898"/>
      <c r="Y20" s="3030"/>
      <c r="Z20" s="833"/>
      <c r="AA20" s="915"/>
      <c r="AB20" s="915"/>
      <c r="AC20" s="915"/>
    </row>
    <row r="21" spans="1:29" ht="71.25">
      <c r="A21" s="724"/>
      <c r="B21" s="768" t="s">
        <v>568</v>
      </c>
      <c r="C21" s="769" t="str">
        <f>估价对象房地状况!G18</f>
        <v>该园区内是否有污染型企业，绿化情况，卫生条件，整体环境状况判断</v>
      </c>
      <c r="D21" s="767">
        <v>100</v>
      </c>
      <c r="E21" s="770"/>
      <c r="F21" s="767">
        <f>SUMIF(89:89,E22,90:90)-SUMIF(89:89,C22,90:90)+100</f>
        <v>100</v>
      </c>
      <c r="G21" s="770"/>
      <c r="H21" s="767">
        <f>SUMIF(89:89,G22,90:90)-SUMIF(89:89,C22,90:90)+100</f>
        <v>100</v>
      </c>
      <c r="I21" s="875"/>
      <c r="J21" s="767">
        <f>SUMIF(89:89,I22,90:90)-SUMIF(89:89,C22,90:90)+100</f>
        <v>100</v>
      </c>
      <c r="K21" s="870"/>
      <c r="L21" s="873"/>
      <c r="M21" s="861"/>
      <c r="N21" s="861"/>
      <c r="O21" s="872"/>
      <c r="P21" s="3030"/>
      <c r="Q21" s="492" t="str">
        <f t="shared" si="8"/>
        <v>环境状况</v>
      </c>
      <c r="R21" s="904" t="s">
        <v>1254</v>
      </c>
      <c r="S21" s="905">
        <f>F21</f>
        <v>100</v>
      </c>
      <c r="T21" s="904" t="s">
        <v>1254</v>
      </c>
      <c r="U21" s="905">
        <f>H21</f>
        <v>100</v>
      </c>
      <c r="V21" s="904" t="s">
        <v>1254</v>
      </c>
      <c r="W21" s="905">
        <f>J21</f>
        <v>100</v>
      </c>
      <c r="X21" s="898"/>
      <c r="Y21" s="3030"/>
      <c r="Z21" s="833" t="str">
        <f>Q21</f>
        <v>环境状况</v>
      </c>
      <c r="AA21" s="915">
        <f t="shared" si="3"/>
        <v>1</v>
      </c>
      <c r="AB21" s="915">
        <f t="shared" si="4"/>
        <v>1</v>
      </c>
      <c r="AC21" s="915">
        <f t="shared" si="5"/>
        <v>1</v>
      </c>
    </row>
    <row r="22" spans="1:29" ht="15">
      <c r="A22" s="724"/>
      <c r="B22" s="772"/>
      <c r="C22" s="764"/>
      <c r="D22" s="765"/>
      <c r="E22" s="766"/>
      <c r="F22" s="765"/>
      <c r="G22" s="766"/>
      <c r="H22" s="765"/>
      <c r="I22" s="764"/>
      <c r="J22" s="765"/>
      <c r="K22" s="866"/>
      <c r="L22" s="873"/>
      <c r="M22" s="861"/>
      <c r="N22" s="861"/>
      <c r="O22" s="872"/>
      <c r="P22" s="3030"/>
      <c r="Q22" s="492"/>
      <c r="R22" s="904"/>
      <c r="S22" s="905"/>
      <c r="T22" s="904"/>
      <c r="U22" s="905"/>
      <c r="V22" s="904"/>
      <c r="W22" s="905"/>
      <c r="X22" s="898"/>
      <c r="Y22" s="3030"/>
      <c r="Z22" s="833"/>
      <c r="AA22" s="915">
        <v>1</v>
      </c>
      <c r="AB22" s="915">
        <v>1</v>
      </c>
      <c r="AC22" s="915">
        <v>1</v>
      </c>
    </row>
    <row r="23" spans="1:29" s="703" customFormat="1" ht="42.75">
      <c r="A23" s="774"/>
      <c r="B23" s="768" t="s">
        <v>213</v>
      </c>
      <c r="C23" s="769" t="str">
        <f>估价对象房地状况!G19</f>
        <v>估价对象所在区域公共配套设施齐备情况</v>
      </c>
      <c r="D23" s="767">
        <v>100</v>
      </c>
      <c r="E23" s="770"/>
      <c r="F23" s="767">
        <f>SUMIF(91:91,E24,92:92)-SUMIF(91:91,C24,92:92)+100</f>
        <v>100</v>
      </c>
      <c r="G23" s="770"/>
      <c r="H23" s="767">
        <f>SUMIF(91:91,G24,92:92)-SUMIF(91:91,C24,92:92)+100</f>
        <v>100</v>
      </c>
      <c r="I23" s="875"/>
      <c r="J23" s="767">
        <f>SUMIF(91:91,I24,92:92)-SUMIF(91:91,C24,92:92)+100</f>
        <v>100</v>
      </c>
      <c r="K23" s="870"/>
      <c r="L23" s="863"/>
      <c r="M23" s="864"/>
      <c r="N23" s="864"/>
      <c r="O23" s="865"/>
      <c r="P23" s="3030"/>
      <c r="Q23" s="903" t="str">
        <f t="shared" si="8"/>
        <v>公共配套设施</v>
      </c>
      <c r="R23" s="900" t="s">
        <v>1254</v>
      </c>
      <c r="S23" s="901">
        <f>F23</f>
        <v>100</v>
      </c>
      <c r="T23" s="900" t="s">
        <v>1254</v>
      </c>
      <c r="U23" s="901">
        <f>H23</f>
        <v>100</v>
      </c>
      <c r="V23" s="900" t="s">
        <v>1254</v>
      </c>
      <c r="W23" s="901">
        <f>J23</f>
        <v>100</v>
      </c>
      <c r="X23" s="902"/>
      <c r="Y23" s="3030"/>
      <c r="Z23" s="914" t="str">
        <f>Q23</f>
        <v>公共配套设施</v>
      </c>
      <c r="AA23" s="915">
        <f>D23/F23</f>
        <v>1</v>
      </c>
      <c r="AB23" s="915">
        <f>D23/H23</f>
        <v>1</v>
      </c>
      <c r="AC23" s="915">
        <f>D23/J23</f>
        <v>1</v>
      </c>
    </row>
    <row r="24" spans="1:29" s="703" customFormat="1" ht="15">
      <c r="A24" s="774"/>
      <c r="B24" s="772"/>
      <c r="C24" s="775"/>
      <c r="D24" s="765"/>
      <c r="E24" s="766"/>
      <c r="F24" s="765"/>
      <c r="G24" s="766"/>
      <c r="H24" s="765"/>
      <c r="I24" s="764"/>
      <c r="J24" s="765"/>
      <c r="K24" s="866"/>
      <c r="L24" s="863"/>
      <c r="M24" s="864"/>
      <c r="N24" s="864"/>
      <c r="O24" s="865"/>
      <c r="P24" s="3030"/>
      <c r="Q24" s="903"/>
      <c r="R24" s="900"/>
      <c r="S24" s="901"/>
      <c r="T24" s="900"/>
      <c r="U24" s="901"/>
      <c r="V24" s="900"/>
      <c r="W24" s="901"/>
      <c r="X24" s="902"/>
      <c r="Y24" s="3030"/>
      <c r="Z24" s="914"/>
      <c r="AA24" s="913">
        <v>1</v>
      </c>
      <c r="AB24" s="913">
        <v>1</v>
      </c>
      <c r="AC24" s="913">
        <v>1</v>
      </c>
    </row>
    <row r="25" spans="1:29" s="703" customFormat="1" ht="28.5">
      <c r="A25" s="774"/>
      <c r="B25" s="776" t="s">
        <v>214</v>
      </c>
      <c r="C25" s="769" t="str">
        <f>估价对象房地状况!G20</f>
        <v>估价对象所在区域基础设施水平</v>
      </c>
      <c r="D25" s="767">
        <v>100</v>
      </c>
      <c r="E25" s="770"/>
      <c r="F25" s="767">
        <f>SUMIF(93:93,E26,94:94)-SUMIF(93:93,C26,94:94)+100</f>
        <v>100</v>
      </c>
      <c r="G25" s="770"/>
      <c r="H25" s="767">
        <f>SUMIF(93:93,G26,94:94)-SUMIF(93:93,C26,94:94)+100</f>
        <v>100</v>
      </c>
      <c r="I25" s="875"/>
      <c r="J25" s="767">
        <f>SUMIF(93:93,I26,94:94)-SUMIF(93:93,C26,94:94)+100</f>
        <v>100</v>
      </c>
      <c r="K25" s="870"/>
      <c r="L25" s="863"/>
      <c r="M25" s="864"/>
      <c r="N25" s="864"/>
      <c r="O25" s="865"/>
      <c r="P25" s="3030"/>
      <c r="Q25" s="903" t="str">
        <f t="shared" ref="Q25" si="9">B25</f>
        <v>基础设施水平</v>
      </c>
      <c r="R25" s="900" t="s">
        <v>1254</v>
      </c>
      <c r="S25" s="901">
        <f>F25</f>
        <v>100</v>
      </c>
      <c r="T25" s="900" t="s">
        <v>1254</v>
      </c>
      <c r="U25" s="901">
        <f>H25</f>
        <v>100</v>
      </c>
      <c r="V25" s="900" t="s">
        <v>1254</v>
      </c>
      <c r="W25" s="901">
        <f>J25</f>
        <v>100</v>
      </c>
      <c r="X25" s="902"/>
      <c r="Y25" s="3030"/>
      <c r="Z25" s="914" t="str">
        <f>Q25</f>
        <v>基础设施水平</v>
      </c>
      <c r="AA25" s="915">
        <f>D25/F25</f>
        <v>1</v>
      </c>
      <c r="AB25" s="915">
        <f>D25/H25</f>
        <v>1</v>
      </c>
      <c r="AC25" s="915">
        <f>D25/J25</f>
        <v>1</v>
      </c>
    </row>
    <row r="26" spans="1:29" s="703" customFormat="1" ht="15">
      <c r="A26" s="774"/>
      <c r="B26" s="772"/>
      <c r="C26" s="775"/>
      <c r="D26" s="765"/>
      <c r="E26" s="777"/>
      <c r="F26" s="765"/>
      <c r="G26" s="777"/>
      <c r="H26" s="765"/>
      <c r="I26" s="777"/>
      <c r="J26" s="765"/>
      <c r="K26" s="866"/>
      <c r="L26" s="863"/>
      <c r="M26" s="864"/>
      <c r="N26" s="864"/>
      <c r="O26" s="865"/>
      <c r="P26" s="3030"/>
      <c r="Q26" s="903"/>
      <c r="R26" s="900"/>
      <c r="S26" s="901"/>
      <c r="T26" s="900"/>
      <c r="U26" s="901"/>
      <c r="V26" s="900"/>
      <c r="W26" s="901"/>
      <c r="X26" s="902"/>
      <c r="Y26" s="3030"/>
      <c r="Z26" s="914"/>
      <c r="AA26" s="913">
        <v>1</v>
      </c>
      <c r="AB26" s="913">
        <v>1</v>
      </c>
      <c r="AC26" s="913">
        <v>1</v>
      </c>
    </row>
    <row r="27" spans="1:29" ht="15">
      <c r="A27" s="744"/>
      <c r="B27" s="772" t="s">
        <v>216</v>
      </c>
      <c r="C27" s="778"/>
      <c r="D27" s="753">
        <v>100</v>
      </c>
      <c r="E27" s="779"/>
      <c r="F27" s="753">
        <f>SUMIF(95:95,E27,96:96)-SUMIF(95:95,C27,96:96)+100</f>
        <v>100</v>
      </c>
      <c r="G27" s="779"/>
      <c r="H27" s="753">
        <f>SUMIF(95:95,G27,96:96)-SUMIF(95:95,C27,96:96)+100</f>
        <v>100</v>
      </c>
      <c r="I27" s="779"/>
      <c r="J27" s="753">
        <f>SUMIF(95:95,I27,96:96)-SUMIF(95:95,C27,96:96)+100</f>
        <v>100</v>
      </c>
      <c r="K27" s="870"/>
      <c r="L27" s="873"/>
      <c r="M27" s="861"/>
      <c r="N27" s="861"/>
      <c r="O27" s="872"/>
      <c r="P27" s="3030"/>
      <c r="Q27" s="492" t="str">
        <f t="shared" si="8"/>
        <v>临街状况</v>
      </c>
      <c r="R27" s="904" t="s">
        <v>1254</v>
      </c>
      <c r="S27" s="905">
        <f t="shared" ref="S27:S40" si="10">F27</f>
        <v>100</v>
      </c>
      <c r="T27" s="904" t="s">
        <v>1254</v>
      </c>
      <c r="U27" s="905">
        <f t="shared" ref="U27:U40" si="11">H27</f>
        <v>100</v>
      </c>
      <c r="V27" s="904" t="s">
        <v>1254</v>
      </c>
      <c r="W27" s="905">
        <f t="shared" ref="W27:W40" si="12">J27</f>
        <v>100</v>
      </c>
      <c r="X27" s="898"/>
      <c r="Y27" s="3030"/>
      <c r="Z27" s="833" t="str">
        <f t="shared" ref="Z27:Z40" si="13">Q27</f>
        <v>临街状况</v>
      </c>
      <c r="AA27" s="915">
        <f t="shared" si="3"/>
        <v>1</v>
      </c>
      <c r="AB27" s="915">
        <f t="shared" si="4"/>
        <v>1</v>
      </c>
      <c r="AC27" s="915">
        <f t="shared" si="5"/>
        <v>1</v>
      </c>
    </row>
    <row r="28" spans="1:29" ht="27">
      <c r="A28" s="744"/>
      <c r="B28" s="776" t="s">
        <v>572</v>
      </c>
      <c r="C28" s="780">
        <f>估价对象房地状况!G22</f>
        <v>0</v>
      </c>
      <c r="D28" s="767">
        <v>100</v>
      </c>
      <c r="E28" s="770"/>
      <c r="F28" s="767">
        <f>SUMIF(97:97,E29,98:98)-SUMIF(97:97,C29,98:98)+100</f>
        <v>100</v>
      </c>
      <c r="G28" s="770"/>
      <c r="H28" s="767">
        <f>SUMIF(97:97,G29,98:98)-SUMIF(97:97,C29,98:98)+100</f>
        <v>100</v>
      </c>
      <c r="I28" s="875"/>
      <c r="J28" s="767">
        <f>SUMIF(97:97,I29,98:98)-SUMIF(97:97,C29,98:98)+100</f>
        <v>100</v>
      </c>
      <c r="K28" s="870"/>
      <c r="L28" s="873"/>
      <c r="M28" s="861"/>
      <c r="N28" s="861"/>
      <c r="O28" s="872"/>
      <c r="P28" s="3030"/>
      <c r="Q28" s="492" t="str">
        <f t="shared" si="8"/>
        <v>毗邻道路的类型与等级</v>
      </c>
      <c r="R28" s="904" t="s">
        <v>1254</v>
      </c>
      <c r="S28" s="905">
        <f t="shared" si="10"/>
        <v>100</v>
      </c>
      <c r="T28" s="904" t="s">
        <v>1254</v>
      </c>
      <c r="U28" s="905">
        <f t="shared" si="11"/>
        <v>100</v>
      </c>
      <c r="V28" s="904" t="s">
        <v>1254</v>
      </c>
      <c r="W28" s="905">
        <f t="shared" si="12"/>
        <v>100</v>
      </c>
      <c r="X28" s="898"/>
      <c r="Y28" s="3030"/>
      <c r="Z28" s="833" t="str">
        <f t="shared" si="13"/>
        <v>毗邻道路的类型与等级</v>
      </c>
      <c r="AA28" s="915">
        <f t="shared" si="3"/>
        <v>1</v>
      </c>
      <c r="AB28" s="915">
        <f t="shared" si="4"/>
        <v>1</v>
      </c>
      <c r="AC28" s="915">
        <f t="shared" si="5"/>
        <v>1</v>
      </c>
    </row>
    <row r="29" spans="1:29" ht="15">
      <c r="A29" s="744"/>
      <c r="B29" s="772"/>
      <c r="C29" s="764"/>
      <c r="D29" s="765"/>
      <c r="E29" s="766"/>
      <c r="F29" s="765"/>
      <c r="G29" s="766"/>
      <c r="H29" s="765"/>
      <c r="I29" s="766"/>
      <c r="J29" s="765"/>
      <c r="K29" s="878"/>
      <c r="L29" s="873"/>
      <c r="M29" s="861"/>
      <c r="N29" s="861"/>
      <c r="O29" s="872"/>
      <c r="P29" s="3030"/>
      <c r="Q29" s="492"/>
      <c r="R29" s="904"/>
      <c r="S29" s="905"/>
      <c r="T29" s="904"/>
      <c r="U29" s="905"/>
      <c r="V29" s="904"/>
      <c r="W29" s="905"/>
      <c r="X29" s="898"/>
      <c r="Y29" s="3030"/>
      <c r="Z29" s="833"/>
      <c r="AA29" s="915">
        <v>1</v>
      </c>
      <c r="AB29" s="915">
        <v>1</v>
      </c>
      <c r="AC29" s="915">
        <v>1</v>
      </c>
    </row>
    <row r="30" spans="1:29" ht="15">
      <c r="A30" s="744"/>
      <c r="B30" s="781" t="s">
        <v>575</v>
      </c>
      <c r="C30" s="782">
        <f>估价对象房地状况!G23</f>
        <v>0</v>
      </c>
      <c r="D30" s="753">
        <v>100</v>
      </c>
      <c r="E30" s="779"/>
      <c r="F30" s="753">
        <f>SUMIF(99:99,E30,100:100)-SUMIF(99:99,C30,100:100)+100</f>
        <v>100</v>
      </c>
      <c r="G30" s="779"/>
      <c r="H30" s="753">
        <f>SUMIF(99:99,G30,100:100)-SUMIF(99:99,C30,100:100)+100</f>
        <v>100</v>
      </c>
      <c r="I30" s="779"/>
      <c r="J30" s="753">
        <f>SUMIF(99:99,I30,100:100)-SUMIF(99:99,C30,100:100)+100</f>
        <v>100</v>
      </c>
      <c r="K30" s="879"/>
      <c r="L30" s="873"/>
      <c r="M30" s="861"/>
      <c r="N30" s="861"/>
      <c r="O30" s="872"/>
      <c r="P30" s="3030"/>
      <c r="Q30" s="492" t="str">
        <f t="shared" si="8"/>
        <v>土地级别</v>
      </c>
      <c r="R30" s="904" t="s">
        <v>1254</v>
      </c>
      <c r="S30" s="905">
        <f t="shared" si="10"/>
        <v>100</v>
      </c>
      <c r="T30" s="904" t="s">
        <v>1254</v>
      </c>
      <c r="U30" s="905">
        <f t="shared" si="11"/>
        <v>100</v>
      </c>
      <c r="V30" s="904" t="s">
        <v>1254</v>
      </c>
      <c r="W30" s="905">
        <f t="shared" si="12"/>
        <v>100</v>
      </c>
      <c r="X30" s="898"/>
      <c r="Y30" s="3030"/>
      <c r="Z30" s="833" t="str">
        <f t="shared" si="13"/>
        <v>土地级别</v>
      </c>
      <c r="AA30" s="915">
        <f t="shared" si="3"/>
        <v>1</v>
      </c>
      <c r="AB30" s="915">
        <f t="shared" si="4"/>
        <v>1</v>
      </c>
      <c r="AC30" s="915">
        <f t="shared" si="5"/>
        <v>1</v>
      </c>
    </row>
    <row r="31" spans="1:29" ht="15">
      <c r="A31" s="724"/>
      <c r="B31" s="783">
        <v>111</v>
      </c>
      <c r="C31" s="751"/>
      <c r="D31" s="753">
        <v>100</v>
      </c>
      <c r="E31" s="784"/>
      <c r="F31" s="753">
        <f>SUMIF(101:101,E31,102:102)-SUMIF(101:101,C31,102:102)+100</f>
        <v>100</v>
      </c>
      <c r="G31" s="784"/>
      <c r="H31" s="753">
        <f>SUMIF(101:101,G31,102:102)-SUMIF(101:101,C31,102:102)+100</f>
        <v>100</v>
      </c>
      <c r="I31" s="750"/>
      <c r="J31" s="753">
        <f>SUMIF(101:101,I31,102:102)-SUMIF(101:101,C31,102:102)+100</f>
        <v>100</v>
      </c>
      <c r="K31" s="878"/>
      <c r="L31" s="873"/>
      <c r="M31" s="861"/>
      <c r="N31" s="861"/>
      <c r="O31" s="872"/>
      <c r="P31" s="3030"/>
      <c r="Q31" s="492">
        <f t="shared" si="8"/>
        <v>111</v>
      </c>
      <c r="R31" s="904" t="s">
        <v>1254</v>
      </c>
      <c r="S31" s="905">
        <f t="shared" si="10"/>
        <v>100</v>
      </c>
      <c r="T31" s="904" t="s">
        <v>1254</v>
      </c>
      <c r="U31" s="905">
        <f t="shared" si="11"/>
        <v>100</v>
      </c>
      <c r="V31" s="904" t="s">
        <v>1254</v>
      </c>
      <c r="W31" s="905">
        <f t="shared" si="12"/>
        <v>100</v>
      </c>
      <c r="X31" s="898"/>
      <c r="Y31" s="3030"/>
      <c r="Z31" s="833">
        <f t="shared" si="13"/>
        <v>111</v>
      </c>
      <c r="AA31" s="915">
        <f t="shared" si="3"/>
        <v>1</v>
      </c>
      <c r="AB31" s="915">
        <f t="shared" si="4"/>
        <v>1</v>
      </c>
      <c r="AC31" s="915">
        <f t="shared" si="5"/>
        <v>1</v>
      </c>
    </row>
    <row r="32" spans="1:29" ht="15">
      <c r="A32" s="785"/>
      <c r="B32" s="786">
        <v>111</v>
      </c>
      <c r="C32" s="751"/>
      <c r="D32" s="753">
        <v>100</v>
      </c>
      <c r="E32" s="784"/>
      <c r="F32" s="753">
        <f>SUMIF(103:103,E33,104:104)-SUMIF(103:103,C33,104:104)+100</f>
        <v>100</v>
      </c>
      <c r="G32" s="784"/>
      <c r="H32" s="753">
        <f>SUMIF(103:103,G32,104:104)-SUMIF(103:103,C32,104:104)+100</f>
        <v>100</v>
      </c>
      <c r="I32" s="751"/>
      <c r="J32" s="753">
        <f>SUMIF(103:103,I32,104:104)-SUMIF(103:103,C32,104:104)+100</f>
        <v>100</v>
      </c>
      <c r="K32" s="878"/>
      <c r="L32" s="873"/>
      <c r="M32" s="861"/>
      <c r="N32" s="861"/>
      <c r="O32" s="872"/>
      <c r="P32" s="3068" t="s">
        <v>1279</v>
      </c>
      <c r="Q32" s="492">
        <f t="shared" si="8"/>
        <v>111</v>
      </c>
      <c r="R32" s="904" t="s">
        <v>1254</v>
      </c>
      <c r="S32" s="905">
        <f t="shared" si="10"/>
        <v>100</v>
      </c>
      <c r="T32" s="904" t="s">
        <v>1254</v>
      </c>
      <c r="U32" s="905">
        <f t="shared" si="11"/>
        <v>100</v>
      </c>
      <c r="V32" s="904" t="s">
        <v>1254</v>
      </c>
      <c r="W32" s="905">
        <f t="shared" si="12"/>
        <v>100</v>
      </c>
      <c r="X32" s="898"/>
      <c r="Y32" s="3031" t="s">
        <v>1279</v>
      </c>
      <c r="Z32" s="833">
        <f t="shared" si="13"/>
        <v>111</v>
      </c>
      <c r="AA32" s="915">
        <f t="shared" si="3"/>
        <v>1</v>
      </c>
      <c r="AB32" s="915">
        <f t="shared" si="4"/>
        <v>1</v>
      </c>
      <c r="AC32" s="915">
        <f t="shared" si="5"/>
        <v>1</v>
      </c>
    </row>
    <row r="33" spans="1:29" s="705" customFormat="1" ht="15">
      <c r="A33" s="787"/>
      <c r="B33" s="788">
        <v>111</v>
      </c>
      <c r="C33" s="789"/>
      <c r="D33" s="790">
        <v>100</v>
      </c>
      <c r="E33" s="791"/>
      <c r="F33" s="757">
        <f>SUMIF(105:105,E33,106:106)-SUMIF(105:105,C33,106:106)+100</f>
        <v>100</v>
      </c>
      <c r="G33" s="791"/>
      <c r="H33" s="757">
        <f>SUMIF(105:105,G33,106:106)-SUMIF(105:105,C33,106:106)+100</f>
        <v>100</v>
      </c>
      <c r="I33" s="789"/>
      <c r="J33" s="757">
        <f>SUMIF(105:105,I33,106:106)-SUMIF(105:105,C33,106:106)+100</f>
        <v>100</v>
      </c>
      <c r="K33" s="878"/>
      <c r="L33" s="871"/>
      <c r="M33" s="880"/>
      <c r="N33" s="880"/>
      <c r="O33" s="881"/>
      <c r="P33" s="3031"/>
      <c r="Q33" s="492">
        <f t="shared" si="8"/>
        <v>111</v>
      </c>
      <c r="R33" s="906" t="s">
        <v>1254</v>
      </c>
      <c r="S33" s="907">
        <f t="shared" si="10"/>
        <v>100</v>
      </c>
      <c r="T33" s="906" t="s">
        <v>1254</v>
      </c>
      <c r="U33" s="907">
        <f t="shared" si="11"/>
        <v>100</v>
      </c>
      <c r="V33" s="906" t="s">
        <v>1254</v>
      </c>
      <c r="W33" s="907">
        <f t="shared" si="12"/>
        <v>100</v>
      </c>
      <c r="X33" s="908"/>
      <c r="Y33" s="3031"/>
      <c r="Z33" s="916">
        <f t="shared" si="13"/>
        <v>111</v>
      </c>
      <c r="AA33" s="915">
        <f t="shared" si="3"/>
        <v>1</v>
      </c>
      <c r="AB33" s="915">
        <f t="shared" si="4"/>
        <v>1</v>
      </c>
      <c r="AC33" s="915">
        <f t="shared" si="5"/>
        <v>1</v>
      </c>
    </row>
    <row r="34" spans="1:29" ht="15">
      <c r="A34" s="792" t="s">
        <v>1276</v>
      </c>
      <c r="B34" s="793" t="s">
        <v>1435</v>
      </c>
      <c r="C34" s="794"/>
      <c r="D34" s="795">
        <v>100</v>
      </c>
      <c r="E34" s="794"/>
      <c r="F34" s="795" t="e">
        <f>LOOKUP(E34,108:108,109:109)-LOOKUP(C34,108:108,109:109)+100</f>
        <v>#N/A</v>
      </c>
      <c r="G34" s="794"/>
      <c r="H34" s="795" t="e">
        <f>LOOKUP(G34,108:108,109:109)-LOOKUP(C34,108:108,109:109)+100</f>
        <v>#N/A</v>
      </c>
      <c r="I34" s="882"/>
      <c r="J34" s="795" t="e">
        <f>LOOKUP(I34,108:108,109:109)-LOOKUP(C34,108:108,109:109)+100</f>
        <v>#N/A</v>
      </c>
      <c r="K34" s="878"/>
      <c r="L34" s="873"/>
      <c r="M34" s="861"/>
      <c r="N34" s="861"/>
      <c r="O34" s="872"/>
      <c r="P34" s="3031"/>
      <c r="Q34" s="492" t="str">
        <f t="shared" si="8"/>
        <v>宗地面积</v>
      </c>
      <c r="R34" s="904" t="s">
        <v>1254</v>
      </c>
      <c r="S34" s="905" t="e">
        <f t="shared" si="10"/>
        <v>#N/A</v>
      </c>
      <c r="T34" s="904" t="s">
        <v>1254</v>
      </c>
      <c r="U34" s="905" t="e">
        <f t="shared" si="11"/>
        <v>#N/A</v>
      </c>
      <c r="V34" s="904" t="s">
        <v>1254</v>
      </c>
      <c r="W34" s="905" t="e">
        <f t="shared" si="12"/>
        <v>#N/A</v>
      </c>
      <c r="X34" s="898"/>
      <c r="Y34" s="3031"/>
      <c r="Z34" s="833" t="str">
        <f t="shared" si="13"/>
        <v>宗地面积</v>
      </c>
      <c r="AA34" s="915" t="e">
        <f t="shared" si="3"/>
        <v>#N/A</v>
      </c>
      <c r="AB34" s="915" t="e">
        <f t="shared" si="4"/>
        <v>#N/A</v>
      </c>
      <c r="AC34" s="915" t="e">
        <f t="shared" si="5"/>
        <v>#N/A</v>
      </c>
    </row>
    <row r="35" spans="1:29" ht="15">
      <c r="A35" s="792"/>
      <c r="B35" s="741" t="s">
        <v>1436</v>
      </c>
      <c r="C35" s="796"/>
      <c r="D35" s="753">
        <v>100</v>
      </c>
      <c r="E35" s="796"/>
      <c r="F35" s="753">
        <f>SUMIF(110:110,E35,111:111)-SUMIF(110:110,C35,111:111)+100</f>
        <v>100</v>
      </c>
      <c r="G35" s="796"/>
      <c r="H35" s="753">
        <f>SUMIF(110:110,G35,111:111)-SUMIF(110:110,C35,111:111)+100</f>
        <v>100</v>
      </c>
      <c r="I35" s="796"/>
      <c r="J35" s="753">
        <f>SUMIF(110:110,I35,111:111)-SUMIF(110:110,C35,111:111)+100</f>
        <v>100</v>
      </c>
      <c r="K35" s="879"/>
      <c r="L35" s="873"/>
      <c r="M35" s="861"/>
      <c r="N35" s="861"/>
      <c r="O35" s="872"/>
      <c r="P35" s="3031"/>
      <c r="Q35" s="492" t="str">
        <f t="shared" ref="Q35:Q40" si="14">B35</f>
        <v>宗地形状</v>
      </c>
      <c r="R35" s="904" t="s">
        <v>1254</v>
      </c>
      <c r="S35" s="905">
        <f t="shared" si="10"/>
        <v>100</v>
      </c>
      <c r="T35" s="904" t="s">
        <v>1254</v>
      </c>
      <c r="U35" s="905">
        <f t="shared" si="11"/>
        <v>100</v>
      </c>
      <c r="V35" s="904" t="s">
        <v>1254</v>
      </c>
      <c r="W35" s="905">
        <f t="shared" si="12"/>
        <v>100</v>
      </c>
      <c r="X35" s="898"/>
      <c r="Y35" s="3031"/>
      <c r="Z35" s="833" t="str">
        <f t="shared" si="13"/>
        <v>宗地形状</v>
      </c>
      <c r="AA35" s="915">
        <f t="shared" si="3"/>
        <v>1</v>
      </c>
      <c r="AB35" s="915">
        <f t="shared" si="4"/>
        <v>1</v>
      </c>
      <c r="AC35" s="915">
        <f t="shared" si="5"/>
        <v>1</v>
      </c>
    </row>
    <row r="36" spans="1:29" s="703" customFormat="1" ht="15">
      <c r="A36" s="797"/>
      <c r="B36" s="741" t="s">
        <v>1438</v>
      </c>
      <c r="C36" s="798"/>
      <c r="D36" s="743">
        <v>100</v>
      </c>
      <c r="E36" s="798"/>
      <c r="F36" s="753">
        <f>SUMIF(112:112,E36,113:113)-SUMIF(112:112,C36,113:113)+100</f>
        <v>100</v>
      </c>
      <c r="G36" s="798"/>
      <c r="H36" s="753">
        <f>SUMIF(112:112,G36,113:113)-SUMIF(112:112,C36,113:113)+100</f>
        <v>100</v>
      </c>
      <c r="I36" s="798"/>
      <c r="J36" s="753">
        <f>SUMIF(112:112,I36,113:113)-SUMIF(112:112,C36,113:113)+100</f>
        <v>100</v>
      </c>
      <c r="K36" s="879"/>
      <c r="L36" s="863"/>
      <c r="M36" s="864"/>
      <c r="N36" s="864"/>
      <c r="O36" s="865"/>
      <c r="P36" s="3031"/>
      <c r="Q36" s="492" t="str">
        <f t="shared" si="14"/>
        <v>宗地开发程度</v>
      </c>
      <c r="R36" s="900" t="s">
        <v>1254</v>
      </c>
      <c r="S36" s="901">
        <f t="shared" si="10"/>
        <v>100</v>
      </c>
      <c r="T36" s="900" t="s">
        <v>1254</v>
      </c>
      <c r="U36" s="901">
        <f t="shared" si="11"/>
        <v>100</v>
      </c>
      <c r="V36" s="900" t="s">
        <v>1254</v>
      </c>
      <c r="W36" s="901">
        <f t="shared" si="12"/>
        <v>100</v>
      </c>
      <c r="X36" s="902"/>
      <c r="Y36" s="3031"/>
      <c r="Z36" s="914" t="str">
        <f t="shared" si="13"/>
        <v>宗地开发程度</v>
      </c>
      <c r="AA36" s="913">
        <f t="shared" si="3"/>
        <v>1</v>
      </c>
      <c r="AB36" s="913">
        <f t="shared" si="4"/>
        <v>1</v>
      </c>
      <c r="AC36" s="913">
        <f t="shared" si="5"/>
        <v>1</v>
      </c>
    </row>
    <row r="37" spans="1:29" ht="15">
      <c r="A37" s="792"/>
      <c r="B37" s="741" t="s">
        <v>1439</v>
      </c>
      <c r="C37" s="796"/>
      <c r="D37" s="753">
        <v>100</v>
      </c>
      <c r="E37" s="796"/>
      <c r="F37" s="753">
        <f>SUMIF(114:114,E37,115:115)-SUMIF(114:114,C37,115:115)+100</f>
        <v>100</v>
      </c>
      <c r="G37" s="796"/>
      <c r="H37" s="753">
        <f>SUMIF(114:114,G37,115:115)-SUMIF(114:114,C37,115:115)+100</f>
        <v>100</v>
      </c>
      <c r="I37" s="796"/>
      <c r="J37" s="753">
        <f>SUMIF(114:114,I37,115:115)-SUMIF(114:114,C37,115:115)+100</f>
        <v>100</v>
      </c>
      <c r="K37" s="879"/>
      <c r="L37" s="873"/>
      <c r="M37" s="861"/>
      <c r="N37" s="861"/>
      <c r="O37" s="872"/>
      <c r="P37" s="3031" t="s">
        <v>1279</v>
      </c>
      <c r="Q37" s="492" t="str">
        <f t="shared" si="14"/>
        <v>工程地质条件</v>
      </c>
      <c r="R37" s="904" t="s">
        <v>1254</v>
      </c>
      <c r="S37" s="905">
        <f t="shared" si="10"/>
        <v>100</v>
      </c>
      <c r="T37" s="904" t="s">
        <v>1254</v>
      </c>
      <c r="U37" s="905">
        <f t="shared" si="11"/>
        <v>100</v>
      </c>
      <c r="V37" s="904" t="s">
        <v>1254</v>
      </c>
      <c r="W37" s="905">
        <f t="shared" si="12"/>
        <v>100</v>
      </c>
      <c r="X37" s="898"/>
      <c r="Y37" s="3031" t="s">
        <v>1279</v>
      </c>
      <c r="Z37" s="833" t="str">
        <f t="shared" si="13"/>
        <v>工程地质条件</v>
      </c>
      <c r="AA37" s="915">
        <f t="shared" si="3"/>
        <v>1</v>
      </c>
      <c r="AB37" s="915">
        <f t="shared" si="4"/>
        <v>1</v>
      </c>
      <c r="AC37" s="915">
        <f t="shared" si="5"/>
        <v>1</v>
      </c>
    </row>
    <row r="38" spans="1:29" ht="15">
      <c r="A38" s="792"/>
      <c r="B38" s="799">
        <v>111</v>
      </c>
      <c r="C38" s="751"/>
      <c r="D38" s="753">
        <v>100</v>
      </c>
      <c r="E38" s="751"/>
      <c r="F38" s="753">
        <f>SUMIF(116:116,E38,117:117)-SUMIF(116:116,C38,117:117)+100</f>
        <v>100</v>
      </c>
      <c r="G38" s="751"/>
      <c r="H38" s="753">
        <f>SUMIF(116:116,G38,117:117)-SUMIF(116:116,C38,117:117)+100</f>
        <v>100</v>
      </c>
      <c r="I38" s="750"/>
      <c r="J38" s="753">
        <f>SUMIF(116:116,I38,117:117)-SUMIF(116:116,C38,117:117)+100</f>
        <v>100</v>
      </c>
      <c r="K38" s="878"/>
      <c r="L38" s="873"/>
      <c r="M38" s="861"/>
      <c r="N38" s="861"/>
      <c r="O38" s="872"/>
      <c r="P38" s="3031"/>
      <c r="Q38" s="492">
        <f t="shared" si="14"/>
        <v>111</v>
      </c>
      <c r="R38" s="904" t="s">
        <v>1254</v>
      </c>
      <c r="S38" s="905">
        <f t="shared" si="10"/>
        <v>100</v>
      </c>
      <c r="T38" s="904" t="s">
        <v>1254</v>
      </c>
      <c r="U38" s="905">
        <f t="shared" si="11"/>
        <v>100</v>
      </c>
      <c r="V38" s="904" t="s">
        <v>1254</v>
      </c>
      <c r="W38" s="905">
        <f t="shared" si="12"/>
        <v>100</v>
      </c>
      <c r="X38" s="898"/>
      <c r="Y38" s="3031"/>
      <c r="Z38" s="833">
        <f t="shared" si="13"/>
        <v>111</v>
      </c>
      <c r="AA38" s="915">
        <f t="shared" si="3"/>
        <v>1</v>
      </c>
      <c r="AB38" s="915">
        <f t="shared" si="4"/>
        <v>1</v>
      </c>
      <c r="AC38" s="915">
        <f t="shared" si="5"/>
        <v>1</v>
      </c>
    </row>
    <row r="39" spans="1:29" ht="15">
      <c r="A39" s="792"/>
      <c r="B39" s="799">
        <v>111</v>
      </c>
      <c r="C39" s="751"/>
      <c r="D39" s="753">
        <v>100</v>
      </c>
      <c r="E39" s="751"/>
      <c r="F39" s="753">
        <f>SUMIF(118:118,E39,119:119)-SUMIF(118:118,C39,119:119)+100</f>
        <v>100</v>
      </c>
      <c r="G39" s="751"/>
      <c r="H39" s="753">
        <f>SUMIF(118:118,G39,119:119)-SUMIF(118:118,C39,119:119)+100</f>
        <v>100</v>
      </c>
      <c r="I39" s="750"/>
      <c r="J39" s="753">
        <f>SUMIF(118:118,I39,119:119)-SUMIF(118:118,C39,119:119)+100</f>
        <v>100</v>
      </c>
      <c r="K39" s="878"/>
      <c r="L39" s="873"/>
      <c r="M39" s="861"/>
      <c r="N39" s="861"/>
      <c r="O39" s="872"/>
      <c r="P39" s="3031"/>
      <c r="Q39" s="492">
        <f t="shared" si="14"/>
        <v>111</v>
      </c>
      <c r="R39" s="904" t="s">
        <v>1254</v>
      </c>
      <c r="S39" s="905">
        <f t="shared" si="10"/>
        <v>100</v>
      </c>
      <c r="T39" s="904" t="s">
        <v>1254</v>
      </c>
      <c r="U39" s="905">
        <f t="shared" si="11"/>
        <v>100</v>
      </c>
      <c r="V39" s="904" t="s">
        <v>1254</v>
      </c>
      <c r="W39" s="905">
        <f t="shared" si="12"/>
        <v>100</v>
      </c>
      <c r="X39" s="898"/>
      <c r="Y39" s="3031"/>
      <c r="Z39" s="833">
        <f t="shared" si="13"/>
        <v>111</v>
      </c>
      <c r="AA39" s="915">
        <f t="shared" si="3"/>
        <v>1</v>
      </c>
      <c r="AB39" s="915">
        <f t="shared" si="4"/>
        <v>1</v>
      </c>
      <c r="AC39" s="915">
        <f t="shared" si="5"/>
        <v>1</v>
      </c>
    </row>
    <row r="40" spans="1:29" s="705" customFormat="1" ht="15">
      <c r="A40" s="800"/>
      <c r="B40" s="799">
        <v>111</v>
      </c>
      <c r="C40" s="801"/>
      <c r="D40" s="790">
        <v>100</v>
      </c>
      <c r="E40" s="751"/>
      <c r="F40" s="757">
        <f>SUMIF(120:120,E40,121:121)-SUMIF(120:120,C40,121:121)+100</f>
        <v>100</v>
      </c>
      <c r="G40" s="751"/>
      <c r="H40" s="757">
        <f>SUMIF(120:120,G40,121:121)-SUMIF(120:120,C40,121:121)+100</f>
        <v>100</v>
      </c>
      <c r="I40" s="750"/>
      <c r="J40" s="757">
        <f>SUMIF(120:120,I40,121:121)-SUMIF(120:120,C40,121:121)+100</f>
        <v>100</v>
      </c>
      <c r="K40" s="883"/>
      <c r="L40" s="871"/>
      <c r="M40" s="880"/>
      <c r="N40" s="880"/>
      <c r="O40" s="881"/>
      <c r="P40" s="3031"/>
      <c r="Q40" s="492">
        <f t="shared" si="14"/>
        <v>111</v>
      </c>
      <c r="R40" s="906" t="s">
        <v>1254</v>
      </c>
      <c r="S40" s="907">
        <f t="shared" si="10"/>
        <v>100</v>
      </c>
      <c r="T40" s="906" t="s">
        <v>1254</v>
      </c>
      <c r="U40" s="907">
        <f t="shared" si="11"/>
        <v>100</v>
      </c>
      <c r="V40" s="906" t="s">
        <v>1254</v>
      </c>
      <c r="W40" s="907">
        <f t="shared" si="12"/>
        <v>100</v>
      </c>
      <c r="X40" s="908"/>
      <c r="Y40" s="3031"/>
      <c r="Z40" s="916">
        <f t="shared" si="13"/>
        <v>111</v>
      </c>
      <c r="AA40" s="915">
        <f t="shared" si="3"/>
        <v>1</v>
      </c>
      <c r="AB40" s="915">
        <f t="shared" si="4"/>
        <v>1</v>
      </c>
      <c r="AC40" s="915">
        <f t="shared" si="5"/>
        <v>1</v>
      </c>
    </row>
    <row r="41" spans="1:29" ht="15">
      <c r="A41" s="802" t="s">
        <v>1425</v>
      </c>
      <c r="B41" s="803" t="s">
        <v>1466</v>
      </c>
      <c r="C41" s="804" t="s">
        <v>121</v>
      </c>
      <c r="D41" s="805"/>
      <c r="E41" s="806"/>
      <c r="F41" s="807"/>
      <c r="G41" s="808"/>
      <c r="H41" s="809"/>
      <c r="I41" s="806"/>
      <c r="J41" s="809"/>
      <c r="K41" s="884"/>
      <c r="L41" s="885"/>
      <c r="M41" s="861"/>
      <c r="N41" s="861"/>
      <c r="O41" s="819"/>
      <c r="P41" s="3022" t="str">
        <f>A41</f>
        <v>成交单价</v>
      </c>
      <c r="Q41" s="3022"/>
      <c r="R41" s="3048">
        <f>E41</f>
        <v>0</v>
      </c>
      <c r="S41" s="3048"/>
      <c r="T41" s="3048">
        <f>G41</f>
        <v>0</v>
      </c>
      <c r="U41" s="3048"/>
      <c r="V41" s="3048">
        <f>I41</f>
        <v>0</v>
      </c>
      <c r="W41" s="3048"/>
      <c r="X41" s="849"/>
      <c r="Y41" s="917"/>
      <c r="Z41" s="849"/>
      <c r="AA41" s="849"/>
      <c r="AB41" s="849"/>
      <c r="AC41" s="849"/>
    </row>
    <row r="42" spans="1:29" ht="15">
      <c r="A42" s="810" t="s">
        <v>1295</v>
      </c>
      <c r="B42" s="811"/>
      <c r="C42" s="812" t="e">
        <f>R43</f>
        <v>#DIV/0!</v>
      </c>
      <c r="D42" s="813"/>
      <c r="E42" s="812" t="e">
        <f>R42</f>
        <v>#DIV/0!</v>
      </c>
      <c r="F42" s="814"/>
      <c r="G42" s="815" t="e">
        <f>T42</f>
        <v>#DIV/0!</v>
      </c>
      <c r="H42" s="813"/>
      <c r="I42" s="812" t="e">
        <f>V42</f>
        <v>#DIV/0!</v>
      </c>
      <c r="J42" s="813"/>
      <c r="K42" s="886"/>
      <c r="L42" s="885"/>
      <c r="M42" s="861"/>
      <c r="N42" s="861"/>
      <c r="O42" s="819"/>
      <c r="P42" s="3022" t="str">
        <f>A42</f>
        <v>比较价值（元/平方米）</v>
      </c>
      <c r="Q42" s="3022"/>
      <c r="R42" s="3069" t="e">
        <f>ROUND(PRODUCT(R41,AA7:AA40),0)</f>
        <v>#DIV/0!</v>
      </c>
      <c r="S42" s="3069"/>
      <c r="T42" s="3069" t="e">
        <f>ROUND(PRODUCT(T41,AB7:AB40),0)</f>
        <v>#DIV/0!</v>
      </c>
      <c r="U42" s="3069"/>
      <c r="V42" s="3069" t="e">
        <f>ROUND(PRODUCT(V41,AC7:AC40),0)</f>
        <v>#DIV/0!</v>
      </c>
      <c r="W42" s="3069"/>
      <c r="X42" s="849"/>
      <c r="Y42" s="849"/>
      <c r="Z42" s="849"/>
      <c r="AA42" s="849"/>
      <c r="AB42" s="849"/>
      <c r="AC42" s="849"/>
    </row>
    <row r="43" spans="1:29" ht="15">
      <c r="A43" s="816" t="s">
        <v>1296</v>
      </c>
      <c r="B43" s="817"/>
      <c r="C43" s="818" t="e">
        <f>R43</f>
        <v>#DIV/0!</v>
      </c>
      <c r="D43" s="818"/>
      <c r="E43" s="818"/>
      <c r="F43" s="818"/>
      <c r="G43" s="818"/>
      <c r="H43" s="818"/>
      <c r="I43" s="818"/>
      <c r="J43" s="818"/>
      <c r="K43" s="887"/>
      <c r="L43" s="885"/>
      <c r="M43" s="861"/>
      <c r="N43" s="861"/>
      <c r="O43" s="819"/>
      <c r="P43" s="3064" t="str">
        <f>A43</f>
        <v>估价对象XX用房的比较价值（楼面单价，元/平方米）</v>
      </c>
      <c r="Q43" s="3021"/>
      <c r="R43" s="3070" t="e">
        <f>ROUND(AVERAGE(R42:V42),0)</f>
        <v>#DIV/0!</v>
      </c>
      <c r="S43" s="3070"/>
      <c r="T43" s="3070"/>
      <c r="U43" s="3070"/>
      <c r="V43" s="3070"/>
      <c r="W43" s="3070"/>
      <c r="X43" s="849"/>
      <c r="Y43" s="849"/>
      <c r="Z43" s="849"/>
      <c r="AA43" s="849"/>
      <c r="AB43" s="849"/>
      <c r="AC43" s="849"/>
    </row>
    <row r="44" spans="1:29">
      <c r="A44" s="819"/>
      <c r="B44" s="819"/>
      <c r="C44" s="819"/>
      <c r="D44" s="819"/>
      <c r="E44" s="819"/>
      <c r="F44" s="819"/>
      <c r="G44" s="820"/>
      <c r="H44" s="819"/>
      <c r="I44" s="819"/>
      <c r="J44" s="819"/>
      <c r="K44" s="889"/>
      <c r="L44" s="890"/>
      <c r="M44" s="861"/>
      <c r="N44" s="861"/>
      <c r="O44" s="819"/>
    </row>
    <row r="45" spans="1:29">
      <c r="A45" s="819"/>
      <c r="B45" s="819"/>
      <c r="C45" s="819"/>
      <c r="D45" s="819"/>
      <c r="E45" s="819"/>
      <c r="F45" s="819"/>
      <c r="G45" s="819"/>
      <c r="H45" s="819"/>
      <c r="I45" s="819"/>
      <c r="J45" s="819"/>
      <c r="K45" s="889"/>
      <c r="L45" s="890"/>
      <c r="M45" s="861"/>
      <c r="N45" s="861"/>
      <c r="O45" s="819"/>
    </row>
    <row r="46" spans="1:29" ht="13.5" customHeight="1">
      <c r="A46" s="819"/>
      <c r="B46" s="819"/>
      <c r="C46" s="821" t="s">
        <v>1297</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61"/>
      <c r="N46" s="861"/>
      <c r="O46" s="819"/>
    </row>
    <row r="47" spans="1:29" ht="13.5" customHeight="1">
      <c r="A47" s="819"/>
      <c r="B47" s="819"/>
      <c r="C47" s="821" t="s">
        <v>1298</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1299</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ht="27">
      <c r="A50" s="827" t="s">
        <v>1441</v>
      </c>
      <c r="B50" s="828" t="s">
        <v>1442</v>
      </c>
      <c r="C50" s="829" t="s">
        <v>1443</v>
      </c>
      <c r="D50" s="830" t="s">
        <v>1444</v>
      </c>
      <c r="E50" s="831" t="s">
        <v>1445</v>
      </c>
      <c r="F50" s="832" t="s">
        <v>1446</v>
      </c>
      <c r="G50" s="833" t="s">
        <v>1467</v>
      </c>
      <c r="H50" s="833" t="str">
        <f>项目基本情况!G8</f>
        <v>XX</v>
      </c>
      <c r="I50" s="893" t="s">
        <v>1448</v>
      </c>
      <c r="J50" s="889"/>
      <c r="K50" s="890"/>
      <c r="L50" s="890"/>
      <c r="M50" s="819"/>
      <c r="N50" s="819"/>
      <c r="O50" s="819"/>
    </row>
    <row r="51" spans="1:17" s="707" customFormat="1">
      <c r="A51" s="834" t="s">
        <v>1449</v>
      </c>
      <c r="B51" s="835" t="e">
        <f>C43</f>
        <v>#DIV/0!</v>
      </c>
      <c r="C51" s="836">
        <v>1</v>
      </c>
      <c r="D51" s="836">
        <v>1</v>
      </c>
      <c r="E51" s="837">
        <v>120</v>
      </c>
      <c r="F51" s="838" t="e">
        <f t="shared" ref="F51:F60" si="15">ROUND(B51*E51,0)</f>
        <v>#DIV/0!</v>
      </c>
      <c r="G51" s="520">
        <v>1</v>
      </c>
      <c r="H51" s="520">
        <v>1</v>
      </c>
      <c r="I51" s="824"/>
      <c r="J51" s="889"/>
      <c r="K51" s="890"/>
      <c r="L51" s="890"/>
      <c r="M51" s="819"/>
      <c r="N51" s="819"/>
      <c r="O51" s="819"/>
    </row>
    <row r="52" spans="1:17" s="707" customFormat="1">
      <c r="A52" s="839" t="s">
        <v>1450</v>
      </c>
      <c r="B52" s="840" t="e">
        <f>ROUND($C$43*C52*D52,0)</f>
        <v>#DIV/0!</v>
      </c>
      <c r="C52" s="437">
        <f>IF($C$50="北京市系数",G52,H52)</f>
        <v>0.8</v>
      </c>
      <c r="D52" s="841">
        <v>0.25</v>
      </c>
      <c r="E52" s="837">
        <v>0</v>
      </c>
      <c r="F52" s="838" t="e">
        <f t="shared" si="15"/>
        <v>#DIV/0!</v>
      </c>
      <c r="G52" s="520">
        <f>SUMIF(修正!$A$45:$A$56,项目基本情况!$F$9,修正!B45:B56)</f>
        <v>0.8</v>
      </c>
      <c r="H52" s="842"/>
      <c r="I52" s="819"/>
      <c r="J52" s="889"/>
      <c r="K52" s="890"/>
      <c r="L52" s="890"/>
      <c r="M52" s="819"/>
      <c r="N52" s="819"/>
      <c r="O52" s="819"/>
    </row>
    <row r="53" spans="1:17" s="707" customFormat="1">
      <c r="A53" s="839" t="s">
        <v>1451</v>
      </c>
      <c r="B53" s="840" t="e">
        <f t="shared" ref="B53:B60" si="16">ROUND($C$43*C53*D53,0)</f>
        <v>#DIV/0!</v>
      </c>
      <c r="C53" s="437">
        <f t="shared" ref="C53:C60" si="17">IF($C$50="北京市系数",G53,H53)</f>
        <v>0.5</v>
      </c>
      <c r="D53" s="841">
        <v>0.25</v>
      </c>
      <c r="E53" s="837">
        <v>0</v>
      </c>
      <c r="F53" s="838" t="e">
        <f t="shared" si="15"/>
        <v>#DIV/0!</v>
      </c>
      <c r="G53" s="520">
        <f>SUMIF(修正!$A$45:$A$56,项目基本情况!$F$9,修正!C45:C56)</f>
        <v>0.5</v>
      </c>
      <c r="H53" s="842"/>
      <c r="I53" s="824"/>
      <c r="J53" s="889"/>
      <c r="K53" s="890"/>
      <c r="L53" s="890"/>
      <c r="M53" s="819"/>
      <c r="N53" s="819"/>
      <c r="O53" s="819"/>
    </row>
    <row r="54" spans="1:17" s="707" customFormat="1">
      <c r="A54" s="839" t="s">
        <v>1452</v>
      </c>
      <c r="B54" s="840" t="e">
        <f t="shared" si="16"/>
        <v>#DIV/0!</v>
      </c>
      <c r="C54" s="437">
        <f t="shared" si="17"/>
        <v>0.36</v>
      </c>
      <c r="D54" s="841">
        <v>0.25</v>
      </c>
      <c r="E54" s="837">
        <v>0</v>
      </c>
      <c r="F54" s="838" t="e">
        <f t="shared" si="15"/>
        <v>#DIV/0!</v>
      </c>
      <c r="G54" s="520">
        <f>SUMIF(修正!$A$45:$A$56,项目基本情况!$F$9,修正!D45:D56)</f>
        <v>0.36</v>
      </c>
      <c r="H54" s="842"/>
      <c r="I54" s="819"/>
      <c r="J54" s="889"/>
      <c r="K54" s="890"/>
      <c r="L54" s="890"/>
      <c r="M54" s="819"/>
      <c r="N54" s="819"/>
      <c r="O54" s="819"/>
    </row>
    <row r="55" spans="1:17" s="707" customFormat="1">
      <c r="A55" s="839" t="s">
        <v>1453</v>
      </c>
      <c r="B55" s="840" t="e">
        <f t="shared" si="16"/>
        <v>#DIV/0!</v>
      </c>
      <c r="C55" s="437">
        <f t="shared" si="17"/>
        <v>0.3</v>
      </c>
      <c r="D55" s="841">
        <v>0.25</v>
      </c>
      <c r="E55" s="837">
        <v>0</v>
      </c>
      <c r="F55" s="838" t="e">
        <f t="shared" si="15"/>
        <v>#DIV/0!</v>
      </c>
      <c r="G55" s="520">
        <f>SUMIF(修正!$A$45:$A$56,项目基本情况!$F$9,修正!E45:E56)</f>
        <v>0.3</v>
      </c>
      <c r="H55" s="842"/>
      <c r="I55" s="824"/>
      <c r="J55" s="889"/>
      <c r="K55" s="890"/>
      <c r="L55" s="890"/>
      <c r="M55" s="819"/>
      <c r="N55" s="819"/>
      <c r="O55" s="819"/>
    </row>
    <row r="56" spans="1:17" s="707" customFormat="1">
      <c r="A56" s="839" t="s">
        <v>1454</v>
      </c>
      <c r="B56" s="840" t="e">
        <f t="shared" si="16"/>
        <v>#DIV/0!</v>
      </c>
      <c r="C56" s="437">
        <f t="shared" si="17"/>
        <v>0.25</v>
      </c>
      <c r="D56" s="841">
        <v>0.25</v>
      </c>
      <c r="E56" s="837">
        <v>0</v>
      </c>
      <c r="F56" s="838" t="e">
        <f t="shared" si="15"/>
        <v>#DIV/0!</v>
      </c>
      <c r="G56" s="520">
        <f>SUMIF(修正!A40:A51,项目基本情况!F9,修正!F45:F56)</f>
        <v>0.25</v>
      </c>
      <c r="H56" s="842"/>
      <c r="I56" s="819"/>
      <c r="J56" s="889"/>
      <c r="K56" s="890"/>
      <c r="L56" s="890"/>
      <c r="M56" s="819"/>
      <c r="N56" s="819"/>
      <c r="O56" s="819"/>
    </row>
    <row r="57" spans="1:17" s="707" customFormat="1">
      <c r="A57" s="839" t="s">
        <v>1455</v>
      </c>
      <c r="B57" s="840" t="e">
        <f t="shared" si="16"/>
        <v>#DIV/0!</v>
      </c>
      <c r="C57" s="437">
        <f t="shared" si="17"/>
        <v>0.25</v>
      </c>
      <c r="D57" s="841">
        <v>0.25</v>
      </c>
      <c r="E57" s="837">
        <v>0</v>
      </c>
      <c r="F57" s="838" t="e">
        <f t="shared" si="15"/>
        <v>#DIV/0!</v>
      </c>
      <c r="G57" s="520">
        <f>SUMIF(修正!A40:A51,项目基本情况!F9,修正!G45:G56)</f>
        <v>0.25</v>
      </c>
      <c r="H57" s="842"/>
      <c r="I57" s="824"/>
      <c r="J57" s="889"/>
      <c r="K57" s="890"/>
      <c r="L57" s="890"/>
      <c r="M57" s="819"/>
      <c r="N57" s="819"/>
      <c r="O57" s="819"/>
    </row>
    <row r="58" spans="1:17" s="707" customFormat="1">
      <c r="A58" s="839" t="s">
        <v>1456</v>
      </c>
      <c r="B58" s="840" t="e">
        <f t="shared" si="16"/>
        <v>#DIV/0!</v>
      </c>
      <c r="C58" s="437">
        <f t="shared" si="17"/>
        <v>0.2</v>
      </c>
      <c r="D58" s="841">
        <v>0.25</v>
      </c>
      <c r="E58" s="837">
        <v>0</v>
      </c>
      <c r="F58" s="838" t="e">
        <f t="shared" si="15"/>
        <v>#DIV/0!</v>
      </c>
      <c r="G58" s="520">
        <f>SUMIF(修正!A40:A51,项目基本情况!F9,修正!H45:H56)</f>
        <v>0.2</v>
      </c>
      <c r="H58" s="842"/>
      <c r="I58" s="819"/>
      <c r="J58" s="889"/>
      <c r="K58" s="890"/>
      <c r="L58" s="890"/>
      <c r="M58" s="819"/>
      <c r="N58" s="819"/>
      <c r="O58" s="819"/>
    </row>
    <row r="59" spans="1:17" s="707" customFormat="1">
      <c r="A59" s="839" t="s">
        <v>1457</v>
      </c>
      <c r="B59" s="840" t="e">
        <f t="shared" si="16"/>
        <v>#DIV/0!</v>
      </c>
      <c r="C59" s="437">
        <f t="shared" si="17"/>
        <v>0.2</v>
      </c>
      <c r="D59" s="841">
        <v>0.25</v>
      </c>
      <c r="E59" s="837">
        <v>0</v>
      </c>
      <c r="F59" s="838" t="e">
        <f t="shared" si="15"/>
        <v>#DIV/0!</v>
      </c>
      <c r="G59" s="520">
        <f>G58</f>
        <v>0.2</v>
      </c>
      <c r="H59" s="842"/>
      <c r="I59" s="824"/>
      <c r="J59" s="889"/>
      <c r="K59" s="890"/>
      <c r="L59" s="890"/>
      <c r="M59" s="819"/>
      <c r="N59" s="819"/>
      <c r="O59" s="819"/>
    </row>
    <row r="60" spans="1:17" s="707" customFormat="1">
      <c r="A60" s="839" t="s">
        <v>1458</v>
      </c>
      <c r="B60" s="840" t="e">
        <f t="shared" si="16"/>
        <v>#DIV/0!</v>
      </c>
      <c r="C60" s="437">
        <f t="shared" si="17"/>
        <v>0.2</v>
      </c>
      <c r="D60" s="841">
        <v>0.25</v>
      </c>
      <c r="E60" s="837">
        <v>0</v>
      </c>
      <c r="F60" s="838" t="e">
        <f t="shared" si="15"/>
        <v>#DIV/0!</v>
      </c>
      <c r="G60" s="520">
        <f>G58</f>
        <v>0.2</v>
      </c>
      <c r="H60" s="842"/>
      <c r="I60" s="819"/>
      <c r="J60" s="889"/>
      <c r="K60" s="890"/>
      <c r="L60" s="890"/>
      <c r="M60" s="819"/>
      <c r="N60" s="819"/>
      <c r="O60" s="819"/>
    </row>
    <row r="61" spans="1:17" s="707" customFormat="1">
      <c r="A61" s="843" t="s">
        <v>1459</v>
      </c>
      <c r="B61" s="844" t="s">
        <v>1310</v>
      </c>
      <c r="C61" s="844" t="s">
        <v>1310</v>
      </c>
      <c r="D61" s="844" t="s">
        <v>1310</v>
      </c>
      <c r="E61" s="844">
        <f>SUM(E51:E60)</f>
        <v>120</v>
      </c>
      <c r="F61" s="845" t="e">
        <f>SUM(F51:F60)</f>
        <v>#DIV/0!</v>
      </c>
      <c r="G61" s="846"/>
      <c r="H61" s="846"/>
      <c r="I61" s="846"/>
      <c r="J61" s="889"/>
      <c r="K61" s="890"/>
      <c r="L61" s="890"/>
      <c r="M61" s="819"/>
      <c r="N61" s="819"/>
      <c r="O61" s="819"/>
    </row>
    <row r="62" spans="1:17">
      <c r="A62" s="819"/>
      <c r="B62" s="825"/>
      <c r="C62" s="826"/>
      <c r="D62" s="819"/>
      <c r="E62" s="819"/>
      <c r="F62" s="819"/>
      <c r="G62" s="819"/>
      <c r="H62" s="819"/>
      <c r="I62" s="819"/>
      <c r="J62" s="819"/>
      <c r="K62" s="889"/>
      <c r="L62" s="890"/>
      <c r="M62" s="819"/>
      <c r="N62" s="819"/>
      <c r="O62" s="819"/>
    </row>
    <row r="63" spans="1:17">
      <c r="A63" s="819"/>
      <c r="B63" s="825"/>
      <c r="C63" s="847" t="str">
        <f>YEAR(C7)&amp;"-"&amp;MONTH(C7)&amp;"-1"</f>
        <v>2019-6-1</v>
      </c>
      <c r="D63" s="847">
        <f>EDATE(C63,-3)</f>
        <v>43525</v>
      </c>
      <c r="E63" s="847">
        <f t="shared" ref="E63:O63" si="18">EDATE(D63,-3)</f>
        <v>43435</v>
      </c>
      <c r="F63" s="847">
        <f t="shared" si="18"/>
        <v>43344</v>
      </c>
      <c r="G63" s="847">
        <f t="shared" si="18"/>
        <v>43252</v>
      </c>
      <c r="H63" s="847">
        <f t="shared" si="18"/>
        <v>43160</v>
      </c>
      <c r="I63" s="847">
        <f t="shared" si="18"/>
        <v>43070</v>
      </c>
      <c r="J63" s="847">
        <f t="shared" si="18"/>
        <v>42979</v>
      </c>
      <c r="K63" s="847">
        <f t="shared" si="18"/>
        <v>42887</v>
      </c>
      <c r="L63" s="847">
        <f t="shared" si="18"/>
        <v>42795</v>
      </c>
      <c r="M63" s="847">
        <f t="shared" si="18"/>
        <v>42705</v>
      </c>
      <c r="N63" s="847">
        <f t="shared" si="18"/>
        <v>42614</v>
      </c>
      <c r="O63" s="847">
        <f t="shared" si="18"/>
        <v>42522</v>
      </c>
    </row>
    <row r="64" spans="1:17" ht="21">
      <c r="A64" s="848" t="s">
        <v>1300</v>
      </c>
      <c r="B64" s="849"/>
      <c r="C64" s="850"/>
      <c r="D64" s="850"/>
      <c r="E64" s="850"/>
      <c r="F64" s="851"/>
      <c r="G64" s="851"/>
      <c r="H64" s="850"/>
      <c r="I64" s="894"/>
      <c r="J64" s="894"/>
      <c r="K64" s="895"/>
      <c r="L64" s="896"/>
      <c r="M64" s="894"/>
      <c r="N64" s="894"/>
      <c r="O64" s="894"/>
      <c r="P64" s="897"/>
      <c r="Q64" s="909"/>
    </row>
    <row r="65" spans="1:17" s="708" customFormat="1" ht="15">
      <c r="A65" s="918" t="s">
        <v>1460</v>
      </c>
      <c r="B65" s="919"/>
      <c r="C65" s="920" t="str">
        <f>YEAR(C63)&amp;"-"&amp;ROUNDUP(MONTH(C63)/3,0)</f>
        <v>2019-2</v>
      </c>
      <c r="D65" s="920" t="str">
        <f t="shared" ref="D65:O65" si="19">YEAR(D63)&amp;"-"&amp;ROUNDUP(MONTH(D63)/3,0)</f>
        <v>2019-1</v>
      </c>
      <c r="E65" s="920" t="str">
        <f t="shared" si="19"/>
        <v>2018-4</v>
      </c>
      <c r="F65" s="920" t="str">
        <f t="shared" si="19"/>
        <v>2018-3</v>
      </c>
      <c r="G65" s="920" t="str">
        <f t="shared" si="19"/>
        <v>2018-2</v>
      </c>
      <c r="H65" s="920" t="str">
        <f t="shared" si="19"/>
        <v>2018-1</v>
      </c>
      <c r="I65" s="920" t="str">
        <f t="shared" si="19"/>
        <v>2017-4</v>
      </c>
      <c r="J65" s="920" t="str">
        <f t="shared" si="19"/>
        <v>2017-3</v>
      </c>
      <c r="K65" s="920" t="str">
        <f t="shared" si="19"/>
        <v>2017-2</v>
      </c>
      <c r="L65" s="920" t="str">
        <f t="shared" si="19"/>
        <v>2017-1</v>
      </c>
      <c r="M65" s="920" t="str">
        <f t="shared" si="19"/>
        <v>2016-4</v>
      </c>
      <c r="N65" s="920" t="str">
        <f t="shared" si="19"/>
        <v>2016-3</v>
      </c>
      <c r="O65" s="920" t="str">
        <f t="shared" si="19"/>
        <v>2016-2</v>
      </c>
      <c r="P65" s="973"/>
    </row>
    <row r="66" spans="1:17" s="703" customFormat="1" ht="33.75" customHeight="1">
      <c r="A66" s="921" t="s">
        <v>559</v>
      </c>
      <c r="B66" s="922" t="str">
        <f>"北京市平均增长率"&amp;TEXT(基准地价修正!P24,"0.00%")</f>
        <v>北京市平均增长率1.46%</v>
      </c>
      <c r="C66" s="365">
        <v>100</v>
      </c>
      <c r="D66" s="923"/>
      <c r="E66" s="923"/>
      <c r="F66" s="923"/>
      <c r="G66" s="923"/>
      <c r="H66" s="923"/>
      <c r="I66" s="923"/>
      <c r="J66" s="923"/>
      <c r="K66" s="923"/>
      <c r="L66" s="923"/>
      <c r="M66" s="974"/>
      <c r="N66" s="923"/>
      <c r="O66" s="975"/>
      <c r="P66" s="909"/>
    </row>
    <row r="67" spans="1:17" s="703" customFormat="1" ht="15">
      <c r="A67" s="924" t="s">
        <v>1301</v>
      </c>
      <c r="B67" s="925"/>
      <c r="C67" s="926"/>
      <c r="D67" s="927"/>
      <c r="E67" s="927"/>
      <c r="F67" s="927"/>
      <c r="G67" s="927"/>
      <c r="H67" s="927"/>
      <c r="I67" s="927"/>
      <c r="J67" s="927"/>
      <c r="K67" s="927"/>
      <c r="L67" s="927"/>
      <c r="M67" s="976"/>
      <c r="N67" s="927"/>
      <c r="O67" s="977"/>
      <c r="P67" s="909"/>
      <c r="Q67" s="909"/>
    </row>
    <row r="68" spans="1:17" s="703" customFormat="1" ht="15">
      <c r="A68" s="928" t="s">
        <v>1255</v>
      </c>
      <c r="B68" s="929"/>
      <c r="C68" s="930" t="s">
        <v>1256</v>
      </c>
      <c r="D68" s="931"/>
      <c r="E68" s="931"/>
      <c r="F68" s="931"/>
      <c r="G68" s="931"/>
      <c r="H68" s="931"/>
      <c r="I68" s="931"/>
      <c r="J68" s="931"/>
      <c r="K68" s="931"/>
      <c r="L68" s="978"/>
      <c r="M68" s="979"/>
      <c r="N68" s="980"/>
      <c r="O68" s="980"/>
      <c r="P68" s="981"/>
      <c r="Q68" s="909"/>
    </row>
    <row r="69" spans="1:17" s="703" customFormat="1" ht="15">
      <c r="A69" s="928"/>
      <c r="B69" s="929"/>
      <c r="C69" s="932">
        <v>100</v>
      </c>
      <c r="D69" s="933"/>
      <c r="E69" s="933"/>
      <c r="F69" s="933"/>
      <c r="G69" s="933"/>
      <c r="H69" s="933"/>
      <c r="I69" s="933"/>
      <c r="J69" s="933"/>
      <c r="K69" s="933"/>
      <c r="L69" s="933"/>
      <c r="M69" s="982"/>
      <c r="N69" s="980"/>
      <c r="O69" s="980"/>
      <c r="P69" s="909"/>
      <c r="Q69" s="909"/>
    </row>
    <row r="70" spans="1:17">
      <c r="A70" s="934" t="s">
        <v>1302</v>
      </c>
      <c r="B70" s="935" t="s">
        <v>1260</v>
      </c>
      <c r="C70" s="882"/>
      <c r="D70" s="882"/>
      <c r="E70" s="882"/>
      <c r="F70" s="882"/>
      <c r="G70" s="882"/>
      <c r="H70" s="882"/>
      <c r="I70" s="882"/>
      <c r="J70" s="882"/>
      <c r="K70" s="983"/>
      <c r="L70" s="984"/>
      <c r="M70" s="985"/>
      <c r="N70" s="986"/>
      <c r="O70" s="986"/>
      <c r="P70" s="987"/>
      <c r="Q70" s="909"/>
    </row>
    <row r="71" spans="1:17" ht="15">
      <c r="A71" s="936"/>
      <c r="B71" s="937"/>
      <c r="C71" s="938"/>
      <c r="D71" s="938"/>
      <c r="E71" s="938"/>
      <c r="F71" s="938"/>
      <c r="G71" s="938"/>
      <c r="H71" s="938"/>
      <c r="I71" s="938"/>
      <c r="J71" s="938"/>
      <c r="K71" s="938"/>
      <c r="L71" s="938"/>
      <c r="M71" s="988"/>
      <c r="N71" s="989"/>
      <c r="O71" s="989"/>
      <c r="P71" s="987"/>
      <c r="Q71" s="909"/>
    </row>
    <row r="72" spans="1:17" ht="27">
      <c r="A72" s="936"/>
      <c r="B72" s="939" t="s">
        <v>1263</v>
      </c>
      <c r="C72" s="940"/>
      <c r="D72" s="940"/>
      <c r="E72" s="940"/>
      <c r="F72" s="940"/>
      <c r="G72" s="940"/>
      <c r="H72" s="940"/>
      <c r="I72" s="940"/>
      <c r="J72" s="940"/>
      <c r="K72" s="990"/>
      <c r="L72" s="991"/>
      <c r="M72" s="992"/>
      <c r="N72" s="986"/>
      <c r="O72" s="986"/>
      <c r="P72" s="987"/>
      <c r="Q72" s="909"/>
    </row>
    <row r="73" spans="1:17" ht="15">
      <c r="A73" s="936"/>
      <c r="B73" s="941"/>
      <c r="C73" s="942"/>
      <c r="D73" s="942"/>
      <c r="E73" s="942"/>
      <c r="F73" s="942"/>
      <c r="G73" s="942"/>
      <c r="H73" s="942"/>
      <c r="I73" s="942"/>
      <c r="J73" s="942"/>
      <c r="K73" s="942"/>
      <c r="L73" s="942"/>
      <c r="M73" s="993"/>
      <c r="N73" s="989"/>
      <c r="O73" s="989"/>
      <c r="P73" s="987"/>
      <c r="Q73" s="909"/>
    </row>
    <row r="74" spans="1:17" ht="15">
      <c r="A74" s="936"/>
      <c r="B74" s="943" t="s">
        <v>1265</v>
      </c>
      <c r="C74" s="944" t="str">
        <f>C75&amp;"（含）"&amp;"-"&amp;D75</f>
        <v>（含）-</v>
      </c>
      <c r="D74" s="944" t="str">
        <f t="shared" ref="D74:L74" si="20">D75&amp;"（含）"&amp;"-"&amp;E75</f>
        <v>（含）-</v>
      </c>
      <c r="E74" s="944" t="str">
        <f t="shared" si="20"/>
        <v>（含）-</v>
      </c>
      <c r="F74" s="944" t="str">
        <f t="shared" si="20"/>
        <v>（含）-</v>
      </c>
      <c r="G74" s="944" t="str">
        <f t="shared" si="20"/>
        <v>（含）-</v>
      </c>
      <c r="H74" s="944" t="str">
        <f t="shared" si="20"/>
        <v>（含）-</v>
      </c>
      <c r="I74" s="944" t="str">
        <f t="shared" si="20"/>
        <v>（含）-</v>
      </c>
      <c r="J74" s="944" t="str">
        <f t="shared" si="20"/>
        <v>（含）-</v>
      </c>
      <c r="K74" s="944" t="str">
        <f t="shared" si="20"/>
        <v>（含）-</v>
      </c>
      <c r="L74" s="944" t="str">
        <f t="shared" si="20"/>
        <v>（含）-</v>
      </c>
      <c r="M74" s="765" t="str">
        <f>M75&amp;"（含）"&amp;"-"&amp;P75</f>
        <v>（含）-</v>
      </c>
      <c r="N74" s="989"/>
      <c r="O74" s="989"/>
      <c r="P74" s="987"/>
      <c r="Q74" s="909"/>
    </row>
    <row r="75" spans="1:17" ht="15">
      <c r="A75" s="936"/>
      <c r="B75" s="945"/>
      <c r="C75" s="750"/>
      <c r="D75" s="750"/>
      <c r="E75" s="750"/>
      <c r="F75" s="750"/>
      <c r="G75" s="750"/>
      <c r="H75" s="750"/>
      <c r="I75" s="750"/>
      <c r="J75" s="750"/>
      <c r="K75" s="994"/>
      <c r="L75" s="995"/>
      <c r="M75" s="996"/>
      <c r="N75" s="986"/>
      <c r="O75" s="986"/>
      <c r="P75" s="987"/>
      <c r="Q75" s="909"/>
    </row>
    <row r="76" spans="1:17" ht="15">
      <c r="A76" s="936"/>
      <c r="B76" s="937"/>
      <c r="C76" s="942">
        <v>100</v>
      </c>
      <c r="D76" s="942">
        <f>IF($B$41="单位面积地价",C76+$K11,C76-$K11)</f>
        <v>100</v>
      </c>
      <c r="E76" s="942">
        <f t="shared" ref="E76:M76" si="21">IF($B$41="单位面积地价",D76+$K11,D76-$K11)</f>
        <v>100</v>
      </c>
      <c r="F76" s="942">
        <f t="shared" si="21"/>
        <v>100</v>
      </c>
      <c r="G76" s="942">
        <f t="shared" si="21"/>
        <v>100</v>
      </c>
      <c r="H76" s="942">
        <f t="shared" si="21"/>
        <v>100</v>
      </c>
      <c r="I76" s="942">
        <f t="shared" si="21"/>
        <v>100</v>
      </c>
      <c r="J76" s="942">
        <f t="shared" si="21"/>
        <v>100</v>
      </c>
      <c r="K76" s="942">
        <f t="shared" si="21"/>
        <v>100</v>
      </c>
      <c r="L76" s="942">
        <f t="shared" si="21"/>
        <v>100</v>
      </c>
      <c r="M76" s="942">
        <f t="shared" si="21"/>
        <v>100</v>
      </c>
      <c r="N76" s="989"/>
      <c r="O76" s="989"/>
      <c r="P76" s="987"/>
      <c r="Q76" s="909"/>
    </row>
    <row r="77" spans="1:17" s="705" customFormat="1" ht="15">
      <c r="A77" s="946"/>
      <c r="B77" s="939">
        <f>B12</f>
        <v>111</v>
      </c>
      <c r="C77" s="947"/>
      <c r="D77" s="947"/>
      <c r="E77" s="947"/>
      <c r="F77" s="947"/>
      <c r="G77" s="947"/>
      <c r="H77" s="948"/>
      <c r="I77" s="948"/>
      <c r="J77" s="948"/>
      <c r="K77" s="948"/>
      <c r="L77" s="997"/>
      <c r="M77" s="998"/>
      <c r="N77" s="999"/>
      <c r="O77" s="999"/>
      <c r="P77" s="1000"/>
      <c r="Q77" s="1030"/>
    </row>
    <row r="78" spans="1:17" s="705" customFormat="1" ht="15">
      <c r="A78" s="946"/>
      <c r="B78" s="941"/>
      <c r="C78" s="949"/>
      <c r="D78" s="938"/>
      <c r="E78" s="938"/>
      <c r="F78" s="938"/>
      <c r="G78" s="938"/>
      <c r="H78" s="938"/>
      <c r="I78" s="938"/>
      <c r="J78" s="938"/>
      <c r="K78" s="938"/>
      <c r="L78" s="938"/>
      <c r="M78" s="988"/>
      <c r="N78" s="989"/>
      <c r="O78" s="989"/>
      <c r="P78" s="1000"/>
      <c r="Q78" s="1030"/>
    </row>
    <row r="79" spans="1:17" s="705" customFormat="1" ht="15">
      <c r="A79" s="946"/>
      <c r="B79" s="939">
        <f>B13</f>
        <v>111</v>
      </c>
      <c r="C79" s="947"/>
      <c r="D79" s="947"/>
      <c r="E79" s="947"/>
      <c r="F79" s="947"/>
      <c r="G79" s="947"/>
      <c r="H79" s="948"/>
      <c r="I79" s="948"/>
      <c r="J79" s="948"/>
      <c r="K79" s="948"/>
      <c r="L79" s="997"/>
      <c r="M79" s="998"/>
      <c r="N79" s="999"/>
      <c r="O79" s="999"/>
      <c r="P79" s="1001"/>
      <c r="Q79" s="1031"/>
    </row>
    <row r="80" spans="1:17" s="705" customFormat="1" ht="15">
      <c r="A80" s="946"/>
      <c r="B80" s="941"/>
      <c r="C80" s="949"/>
      <c r="D80" s="949"/>
      <c r="E80" s="949"/>
      <c r="F80" s="949"/>
      <c r="G80" s="949"/>
      <c r="H80" s="950"/>
      <c r="I80" s="950"/>
      <c r="J80" s="950"/>
      <c r="K80" s="950"/>
      <c r="L80" s="950"/>
      <c r="M80" s="1002"/>
      <c r="N80" s="999"/>
      <c r="O80" s="999"/>
      <c r="P80" s="1000"/>
      <c r="Q80" s="1030"/>
    </row>
    <row r="81" spans="1:17" s="705" customFormat="1" ht="15">
      <c r="A81" s="946"/>
      <c r="B81" s="943">
        <f>B14</f>
        <v>111</v>
      </c>
      <c r="C81" s="931"/>
      <c r="D81" s="931"/>
      <c r="E81" s="931"/>
      <c r="F81" s="931"/>
      <c r="G81" s="931"/>
      <c r="H81" s="951"/>
      <c r="I81" s="951"/>
      <c r="J81" s="951"/>
      <c r="K81" s="951"/>
      <c r="L81" s="1003"/>
      <c r="M81" s="1004"/>
      <c r="N81" s="999"/>
      <c r="O81" s="999"/>
      <c r="P81" s="1005"/>
      <c r="Q81" s="1030"/>
    </row>
    <row r="82" spans="1:17" s="705" customFormat="1" ht="15">
      <c r="A82" s="952"/>
      <c r="B82" s="953"/>
      <c r="C82" s="954"/>
      <c r="D82" s="954"/>
      <c r="E82" s="954"/>
      <c r="F82" s="954"/>
      <c r="G82" s="954"/>
      <c r="H82" s="955"/>
      <c r="I82" s="955"/>
      <c r="J82" s="955"/>
      <c r="K82" s="955"/>
      <c r="L82" s="955"/>
      <c r="M82" s="1006"/>
      <c r="N82" s="999"/>
      <c r="O82" s="999"/>
      <c r="P82" s="1000"/>
      <c r="Q82" s="1030"/>
    </row>
    <row r="83" spans="1:17">
      <c r="A83" s="934" t="s">
        <v>1266</v>
      </c>
      <c r="B83" s="935" t="s">
        <v>210</v>
      </c>
      <c r="C83" s="956" t="s">
        <v>228</v>
      </c>
      <c r="D83" s="956" t="s">
        <v>240</v>
      </c>
      <c r="E83" s="956" t="s">
        <v>251</v>
      </c>
      <c r="F83" s="956" t="s">
        <v>261</v>
      </c>
      <c r="G83" s="956" t="s">
        <v>268</v>
      </c>
      <c r="H83" s="957"/>
      <c r="I83" s="957"/>
      <c r="J83" s="957"/>
      <c r="K83" s="1007"/>
      <c r="L83" s="1008"/>
      <c r="M83" s="1009"/>
      <c r="N83" s="986"/>
      <c r="O83" s="986"/>
      <c r="P83" s="1010"/>
      <c r="Q83" s="909"/>
    </row>
    <row r="84" spans="1:17" ht="15">
      <c r="A84" s="936"/>
      <c r="B84" s="941"/>
      <c r="C84" s="942">
        <v>100</v>
      </c>
      <c r="D84" s="942">
        <f>C84-$K15</f>
        <v>100</v>
      </c>
      <c r="E84" s="942">
        <f>D84-$K15</f>
        <v>100</v>
      </c>
      <c r="F84" s="942">
        <f>E84-$K15</f>
        <v>100</v>
      </c>
      <c r="G84" s="942">
        <f>F84-$K15</f>
        <v>100</v>
      </c>
      <c r="H84" s="942"/>
      <c r="I84" s="942"/>
      <c r="J84" s="942"/>
      <c r="K84" s="942"/>
      <c r="L84" s="942"/>
      <c r="M84" s="993"/>
      <c r="N84" s="989"/>
      <c r="O84" s="989"/>
      <c r="P84" s="987"/>
      <c r="Q84" s="909"/>
    </row>
    <row r="85" spans="1:17" ht="15">
      <c r="A85" s="936"/>
      <c r="B85" s="939" t="s">
        <v>211</v>
      </c>
      <c r="C85" s="958" t="s">
        <v>228</v>
      </c>
      <c r="D85" s="958" t="s">
        <v>240</v>
      </c>
      <c r="E85" s="958" t="s">
        <v>251</v>
      </c>
      <c r="F85" s="958" t="s">
        <v>261</v>
      </c>
      <c r="G85" s="958" t="s">
        <v>268</v>
      </c>
      <c r="H85" s="940"/>
      <c r="I85" s="940"/>
      <c r="J85" s="940"/>
      <c r="K85" s="990"/>
      <c r="L85" s="991"/>
      <c r="M85" s="992"/>
      <c r="N85" s="986"/>
      <c r="O85" s="986"/>
      <c r="P85" s="987"/>
      <c r="Q85" s="909"/>
    </row>
    <row r="86" spans="1:17" ht="15">
      <c r="A86" s="936"/>
      <c r="B86" s="941"/>
      <c r="C86" s="942">
        <v>100</v>
      </c>
      <c r="D86" s="942">
        <f>C86-$K17</f>
        <v>100</v>
      </c>
      <c r="E86" s="942">
        <f>D86-$K17</f>
        <v>100</v>
      </c>
      <c r="F86" s="942">
        <f>E86-$K17</f>
        <v>100</v>
      </c>
      <c r="G86" s="942">
        <f>F86-$K17</f>
        <v>100</v>
      </c>
      <c r="H86" s="942"/>
      <c r="I86" s="942"/>
      <c r="J86" s="942"/>
      <c r="K86" s="942"/>
      <c r="L86" s="942"/>
      <c r="M86" s="993"/>
      <c r="N86" s="989"/>
      <c r="O86" s="989"/>
      <c r="P86" s="987"/>
      <c r="Q86" s="909"/>
    </row>
    <row r="87" spans="1:17" s="703" customFormat="1" ht="15">
      <c r="A87" s="959"/>
      <c r="B87" s="939" t="s">
        <v>212</v>
      </c>
      <c r="C87" s="956" t="s">
        <v>228</v>
      </c>
      <c r="D87" s="956" t="s">
        <v>240</v>
      </c>
      <c r="E87" s="956" t="s">
        <v>251</v>
      </c>
      <c r="F87" s="956" t="s">
        <v>261</v>
      </c>
      <c r="G87" s="956" t="s">
        <v>268</v>
      </c>
      <c r="H87" s="958"/>
      <c r="I87" s="958"/>
      <c r="J87" s="958"/>
      <c r="K87" s="958"/>
      <c r="L87" s="1011"/>
      <c r="M87" s="1012"/>
      <c r="N87" s="980"/>
      <c r="O87" s="980"/>
      <c r="P87" s="987"/>
      <c r="Q87" s="909"/>
    </row>
    <row r="88" spans="1:17" s="703" customFormat="1" ht="15">
      <c r="A88" s="959"/>
      <c r="B88" s="941"/>
      <c r="C88" s="960">
        <v>100</v>
      </c>
      <c r="D88" s="942">
        <f>C88-$K19</f>
        <v>100</v>
      </c>
      <c r="E88" s="942">
        <f>D88-$K19</f>
        <v>100</v>
      </c>
      <c r="F88" s="942">
        <f>E88-$K19</f>
        <v>100</v>
      </c>
      <c r="G88" s="942">
        <f>F88-$K19</f>
        <v>100</v>
      </c>
      <c r="H88" s="942"/>
      <c r="I88" s="942"/>
      <c r="J88" s="942"/>
      <c r="K88" s="942"/>
      <c r="L88" s="942"/>
      <c r="M88" s="993"/>
      <c r="N88" s="989"/>
      <c r="O88" s="989"/>
      <c r="P88" s="987"/>
      <c r="Q88" s="909"/>
    </row>
    <row r="89" spans="1:17" s="703" customFormat="1" ht="27">
      <c r="A89" s="959"/>
      <c r="B89" s="939" t="s">
        <v>574</v>
      </c>
      <c r="C89" s="956" t="s">
        <v>228</v>
      </c>
      <c r="D89" s="956" t="s">
        <v>240</v>
      </c>
      <c r="E89" s="956" t="s">
        <v>251</v>
      </c>
      <c r="F89" s="956" t="s">
        <v>261</v>
      </c>
      <c r="G89" s="956" t="s">
        <v>268</v>
      </c>
      <c r="H89" s="958"/>
      <c r="I89" s="958"/>
      <c r="J89" s="958"/>
      <c r="K89" s="958"/>
      <c r="L89" s="958"/>
      <c r="M89" s="1012"/>
      <c r="N89" s="980"/>
      <c r="O89" s="980"/>
      <c r="P89" s="987"/>
      <c r="Q89" s="909"/>
    </row>
    <row r="90" spans="1:17" s="703" customFormat="1" ht="15">
      <c r="A90" s="959"/>
      <c r="B90" s="941"/>
      <c r="C90" s="942">
        <v>100</v>
      </c>
      <c r="D90" s="942">
        <f>C90-$K21</f>
        <v>100</v>
      </c>
      <c r="E90" s="942">
        <f>D90-$K21</f>
        <v>100</v>
      </c>
      <c r="F90" s="942">
        <f>E90-$K21</f>
        <v>100</v>
      </c>
      <c r="G90" s="942">
        <f>F90-$K21</f>
        <v>100</v>
      </c>
      <c r="H90" s="942"/>
      <c r="I90" s="942"/>
      <c r="J90" s="942"/>
      <c r="K90" s="942"/>
      <c r="L90" s="942"/>
      <c r="M90" s="993"/>
      <c r="N90" s="989"/>
      <c r="O90" s="989"/>
      <c r="P90" s="987"/>
      <c r="Q90" s="909"/>
    </row>
    <row r="91" spans="1:17" s="705" customFormat="1" ht="15">
      <c r="A91" s="946"/>
      <c r="B91" s="943" t="s">
        <v>213</v>
      </c>
      <c r="C91" s="956" t="s">
        <v>228</v>
      </c>
      <c r="D91" s="956" t="s">
        <v>240</v>
      </c>
      <c r="E91" s="956" t="s">
        <v>251</v>
      </c>
      <c r="F91" s="956" t="s">
        <v>261</v>
      </c>
      <c r="G91" s="956" t="s">
        <v>268</v>
      </c>
      <c r="H91" s="961"/>
      <c r="I91" s="961"/>
      <c r="J91" s="961"/>
      <c r="K91" s="961"/>
      <c r="L91" s="1013"/>
      <c r="M91" s="1014"/>
      <c r="N91" s="999"/>
      <c r="O91" s="999"/>
      <c r="P91" s="1000"/>
      <c r="Q91" s="1030"/>
    </row>
    <row r="92" spans="1:17" s="705" customFormat="1" ht="15">
      <c r="A92" s="946"/>
      <c r="B92" s="943"/>
      <c r="C92" s="942">
        <v>100</v>
      </c>
      <c r="D92" s="942">
        <f>C92-$K23</f>
        <v>100</v>
      </c>
      <c r="E92" s="942">
        <f>D92-$K23</f>
        <v>100</v>
      </c>
      <c r="F92" s="942">
        <f>E92-$K23</f>
        <v>100</v>
      </c>
      <c r="G92" s="942">
        <f>F92-$K23</f>
        <v>100</v>
      </c>
      <c r="H92" s="962"/>
      <c r="I92" s="962"/>
      <c r="J92" s="962"/>
      <c r="K92" s="962"/>
      <c r="L92" s="962"/>
      <c r="M92" s="1015"/>
      <c r="N92" s="999"/>
      <c r="O92" s="999"/>
      <c r="P92" s="1000"/>
      <c r="Q92" s="1030"/>
    </row>
    <row r="93" spans="1:17" s="705" customFormat="1" ht="15">
      <c r="A93" s="946"/>
      <c r="B93" s="939" t="s">
        <v>214</v>
      </c>
      <c r="C93" s="940" t="s">
        <v>1311</v>
      </c>
      <c r="D93" s="940" t="s">
        <v>1312</v>
      </c>
      <c r="E93" s="940" t="s">
        <v>1313</v>
      </c>
      <c r="F93" s="940" t="s">
        <v>1314</v>
      </c>
      <c r="G93" s="940" t="s">
        <v>1315</v>
      </c>
      <c r="H93" s="961"/>
      <c r="I93" s="961"/>
      <c r="J93" s="961"/>
      <c r="K93" s="961"/>
      <c r="L93" s="961"/>
      <c r="M93" s="1014"/>
      <c r="N93" s="999"/>
      <c r="O93" s="999"/>
      <c r="P93" s="1000"/>
      <c r="Q93" s="1030"/>
    </row>
    <row r="94" spans="1:17" s="705" customFormat="1" ht="15">
      <c r="A94" s="946"/>
      <c r="B94" s="941"/>
      <c r="C94" s="942">
        <v>100</v>
      </c>
      <c r="D94" s="942">
        <f>C94-$K25</f>
        <v>100</v>
      </c>
      <c r="E94" s="942">
        <f>D94-$K25</f>
        <v>100</v>
      </c>
      <c r="F94" s="942">
        <f>E94-$K25</f>
        <v>100</v>
      </c>
      <c r="G94" s="942">
        <f>F94-$K25</f>
        <v>100</v>
      </c>
      <c r="H94" s="945"/>
      <c r="I94" s="945"/>
      <c r="J94" s="945"/>
      <c r="K94" s="945"/>
      <c r="L94" s="945"/>
      <c r="M94" s="1016"/>
      <c r="N94" s="999"/>
      <c r="O94" s="999"/>
      <c r="P94" s="1000"/>
      <c r="Q94" s="1030"/>
    </row>
    <row r="95" spans="1:17" ht="15">
      <c r="A95" s="936"/>
      <c r="B95" s="939" t="str">
        <f>B27</f>
        <v>临街状况</v>
      </c>
      <c r="C95" s="940" t="s">
        <v>1462</v>
      </c>
      <c r="D95" s="940" t="s">
        <v>1463</v>
      </c>
      <c r="E95" s="940" t="s">
        <v>1464</v>
      </c>
      <c r="F95" s="940" t="s">
        <v>1465</v>
      </c>
      <c r="G95" s="940"/>
      <c r="H95" s="940"/>
      <c r="I95" s="940"/>
      <c r="J95" s="940"/>
      <c r="K95" s="990"/>
      <c r="L95" s="991"/>
      <c r="M95" s="992"/>
      <c r="N95" s="986"/>
      <c r="O95" s="986"/>
      <c r="P95" s="987"/>
      <c r="Q95" s="909"/>
    </row>
    <row r="96" spans="1:17" ht="15">
      <c r="A96" s="936"/>
      <c r="B96" s="941"/>
      <c r="C96" s="942">
        <v>100</v>
      </c>
      <c r="D96" s="942">
        <f t="shared" ref="D96:M96" si="22">C96-$K27</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42">
        <f t="shared" si="22"/>
        <v>100</v>
      </c>
      <c r="N96" s="989"/>
      <c r="O96" s="989"/>
      <c r="P96" s="987"/>
      <c r="Q96" s="909"/>
    </row>
    <row r="97" spans="1:17" ht="27">
      <c r="A97" s="936"/>
      <c r="B97" s="939" t="s">
        <v>572</v>
      </c>
      <c r="C97" s="947"/>
      <c r="D97" s="947"/>
      <c r="E97" s="947"/>
      <c r="F97" s="947"/>
      <c r="G97" s="947"/>
      <c r="H97" s="963"/>
      <c r="I97" s="963"/>
      <c r="J97" s="963"/>
      <c r="K97" s="1017"/>
      <c r="L97" s="1018"/>
      <c r="M97" s="1019"/>
      <c r="N97" s="986"/>
      <c r="O97" s="986"/>
      <c r="P97" s="987"/>
      <c r="Q97" s="909"/>
    </row>
    <row r="98" spans="1:17" ht="15">
      <c r="A98" s="936"/>
      <c r="B98" s="941"/>
      <c r="C98" s="942">
        <v>100</v>
      </c>
      <c r="D98" s="942">
        <f t="shared" ref="D98:M98" si="23">C98-$K28</f>
        <v>100</v>
      </c>
      <c r="E98" s="942">
        <f t="shared" si="23"/>
        <v>100</v>
      </c>
      <c r="F98" s="942">
        <f t="shared" si="23"/>
        <v>100</v>
      </c>
      <c r="G98" s="942">
        <f t="shared" si="23"/>
        <v>100</v>
      </c>
      <c r="H98" s="942">
        <f t="shared" si="23"/>
        <v>100</v>
      </c>
      <c r="I98" s="942">
        <f t="shared" si="23"/>
        <v>100</v>
      </c>
      <c r="J98" s="942">
        <f t="shared" si="23"/>
        <v>100</v>
      </c>
      <c r="K98" s="942">
        <f t="shared" si="23"/>
        <v>100</v>
      </c>
      <c r="L98" s="942">
        <f t="shared" si="23"/>
        <v>100</v>
      </c>
      <c r="M98" s="942">
        <f t="shared" si="23"/>
        <v>100</v>
      </c>
      <c r="N98" s="989"/>
      <c r="O98" s="989"/>
      <c r="P98" s="987"/>
      <c r="Q98" s="909"/>
    </row>
    <row r="99" spans="1:17" ht="15">
      <c r="A99" s="936"/>
      <c r="B99" s="939" t="s">
        <v>575</v>
      </c>
      <c r="C99" s="963"/>
      <c r="D99" s="963"/>
      <c r="E99" s="963"/>
      <c r="F99" s="963"/>
      <c r="G99" s="963"/>
      <c r="H99" s="963"/>
      <c r="I99" s="963"/>
      <c r="J99" s="963"/>
      <c r="K99" s="1017"/>
      <c r="L99" s="1018"/>
      <c r="M99" s="1019"/>
      <c r="N99" s="986"/>
      <c r="O99" s="986"/>
      <c r="P99" s="987"/>
      <c r="Q99" s="909"/>
    </row>
    <row r="100" spans="1:17" ht="15">
      <c r="A100" s="936"/>
      <c r="B100" s="941"/>
      <c r="C100" s="942">
        <v>100</v>
      </c>
      <c r="D100" s="942">
        <f t="shared" ref="D100:M100" si="24">C100-$K30</f>
        <v>100</v>
      </c>
      <c r="E100" s="942">
        <f t="shared" si="24"/>
        <v>100</v>
      </c>
      <c r="F100" s="942">
        <f t="shared" si="24"/>
        <v>100</v>
      </c>
      <c r="G100" s="942">
        <f t="shared" si="24"/>
        <v>100</v>
      </c>
      <c r="H100" s="942">
        <f t="shared" si="24"/>
        <v>100</v>
      </c>
      <c r="I100" s="942">
        <f t="shared" si="24"/>
        <v>100</v>
      </c>
      <c r="J100" s="942">
        <f t="shared" si="24"/>
        <v>100</v>
      </c>
      <c r="K100" s="942">
        <f t="shared" si="24"/>
        <v>100</v>
      </c>
      <c r="L100" s="942">
        <f t="shared" si="24"/>
        <v>100</v>
      </c>
      <c r="M100" s="942">
        <f t="shared" si="24"/>
        <v>100</v>
      </c>
      <c r="N100" s="989"/>
      <c r="O100" s="989"/>
      <c r="P100" s="987"/>
      <c r="Q100" s="909"/>
    </row>
    <row r="101" spans="1:17" ht="15">
      <c r="A101" s="936"/>
      <c r="B101" s="943">
        <f>B31</f>
        <v>111</v>
      </c>
      <c r="C101" s="947"/>
      <c r="D101" s="947"/>
      <c r="E101" s="947"/>
      <c r="F101" s="947"/>
      <c r="G101" s="964"/>
      <c r="H101" s="964"/>
      <c r="I101" s="964"/>
      <c r="J101" s="964"/>
      <c r="K101" s="1020"/>
      <c r="L101" s="1021"/>
      <c r="M101" s="1022"/>
      <c r="N101" s="986"/>
      <c r="O101" s="986"/>
      <c r="P101" s="987"/>
      <c r="Q101" s="909"/>
    </row>
    <row r="102" spans="1:17" ht="15">
      <c r="A102" s="936"/>
      <c r="B102" s="953"/>
      <c r="C102" s="949"/>
      <c r="D102" s="938"/>
      <c r="E102" s="938"/>
      <c r="F102" s="938"/>
      <c r="G102" s="965"/>
      <c r="H102" s="965"/>
      <c r="I102" s="965"/>
      <c r="J102" s="965"/>
      <c r="K102" s="965"/>
      <c r="L102" s="965"/>
      <c r="M102" s="1023"/>
      <c r="N102" s="989"/>
      <c r="O102" s="989"/>
      <c r="P102" s="987"/>
      <c r="Q102" s="909"/>
    </row>
    <row r="103" spans="1:17">
      <c r="A103" s="785"/>
      <c r="B103" s="939">
        <f>B32</f>
        <v>111</v>
      </c>
      <c r="C103" s="947"/>
      <c r="D103" s="947"/>
      <c r="E103" s="947"/>
      <c r="F103" s="947"/>
      <c r="G103" s="963"/>
      <c r="H103" s="963"/>
      <c r="I103" s="963"/>
      <c r="J103" s="963"/>
      <c r="K103" s="1017"/>
      <c r="L103" s="1018"/>
      <c r="M103" s="1019"/>
      <c r="N103" s="986"/>
      <c r="O103" s="986"/>
      <c r="P103" s="987"/>
      <c r="Q103" s="909"/>
    </row>
    <row r="104" spans="1:17" ht="15">
      <c r="A104" s="936"/>
      <c r="B104" s="941"/>
      <c r="C104" s="949"/>
      <c r="D104" s="949"/>
      <c r="E104" s="949"/>
      <c r="F104" s="949"/>
      <c r="G104" s="938"/>
      <c r="H104" s="938"/>
      <c r="I104" s="938"/>
      <c r="J104" s="938"/>
      <c r="K104" s="938"/>
      <c r="L104" s="938"/>
      <c r="M104" s="988"/>
      <c r="N104" s="989"/>
      <c r="O104" s="989"/>
      <c r="P104" s="987"/>
      <c r="Q104" s="909"/>
    </row>
    <row r="105" spans="1:17" s="705" customFormat="1">
      <c r="A105" s="966"/>
      <c r="B105" s="967">
        <f>B33</f>
        <v>111</v>
      </c>
      <c r="C105" s="931"/>
      <c r="D105" s="931"/>
      <c r="E105" s="931"/>
      <c r="F105" s="931"/>
      <c r="G105" s="923"/>
      <c r="H105" s="923"/>
      <c r="I105" s="923"/>
      <c r="J105" s="1024"/>
      <c r="K105" s="1024"/>
      <c r="L105" s="1025"/>
      <c r="M105" s="1026"/>
      <c r="N105" s="999"/>
      <c r="O105" s="999"/>
      <c r="P105" s="1000"/>
      <c r="Q105" s="1030"/>
    </row>
    <row r="106" spans="1:17" s="705" customFormat="1" ht="15">
      <c r="A106" s="946"/>
      <c r="B106" s="943"/>
      <c r="C106" s="954"/>
      <c r="D106" s="954"/>
      <c r="E106" s="954"/>
      <c r="F106" s="954"/>
      <c r="G106" s="968"/>
      <c r="H106" s="968"/>
      <c r="I106" s="968"/>
      <c r="J106" s="968"/>
      <c r="K106" s="968"/>
      <c r="L106" s="968"/>
      <c r="M106" s="1027"/>
      <c r="N106" s="989"/>
      <c r="O106" s="989"/>
      <c r="P106" s="1000"/>
      <c r="Q106" s="1030"/>
    </row>
    <row r="107" spans="1:17">
      <c r="A107" s="934" t="s">
        <v>1276</v>
      </c>
      <c r="B107" s="935" t="s">
        <v>1435</v>
      </c>
      <c r="C107" s="969" t="str">
        <f t="shared" ref="C107:L107" si="25">C108&amp;"(含)"&amp;"-"&amp;D108</f>
        <v>(含)-</v>
      </c>
      <c r="D107" s="969" t="str">
        <f t="shared" si="25"/>
        <v>(含)-</v>
      </c>
      <c r="E107" s="969" t="str">
        <f t="shared" si="25"/>
        <v>(含)-</v>
      </c>
      <c r="F107" s="969" t="str">
        <f t="shared" si="25"/>
        <v>(含)-</v>
      </c>
      <c r="G107" s="969" t="str">
        <f t="shared" si="25"/>
        <v>(含)-</v>
      </c>
      <c r="H107" s="969" t="str">
        <f t="shared" si="25"/>
        <v>(含)-</v>
      </c>
      <c r="I107" s="969" t="str">
        <f t="shared" si="25"/>
        <v>(含)-</v>
      </c>
      <c r="J107" s="969" t="str">
        <f t="shared" si="25"/>
        <v>(含)-</v>
      </c>
      <c r="K107" s="969" t="str">
        <f t="shared" si="25"/>
        <v>(含)-</v>
      </c>
      <c r="L107" s="1028" t="str">
        <f t="shared" si="25"/>
        <v>(含)-</v>
      </c>
      <c r="M107" s="1029" t="str">
        <f>M108&amp;"(含)"&amp;"-"&amp;P108</f>
        <v>(含)-</v>
      </c>
      <c r="N107" s="986"/>
      <c r="O107" s="986"/>
      <c r="P107" s="987"/>
      <c r="Q107" s="909"/>
    </row>
    <row r="108" spans="1:17" ht="15">
      <c r="A108" s="936"/>
      <c r="B108" s="943"/>
      <c r="C108" s="923"/>
      <c r="D108" s="923"/>
      <c r="E108" s="923"/>
      <c r="F108" s="923"/>
      <c r="G108" s="923"/>
      <c r="H108" s="923"/>
      <c r="I108" s="923"/>
      <c r="J108" s="1024"/>
      <c r="K108" s="1024"/>
      <c r="L108" s="1025"/>
      <c r="M108" s="1026"/>
      <c r="N108" s="986"/>
      <c r="O108" s="986"/>
      <c r="P108" s="987"/>
      <c r="Q108" s="909"/>
    </row>
    <row r="109" spans="1:17" ht="15">
      <c r="A109" s="936"/>
      <c r="B109" s="941"/>
      <c r="C109" s="954"/>
      <c r="D109" s="965"/>
      <c r="E109" s="965"/>
      <c r="F109" s="965"/>
      <c r="G109" s="965"/>
      <c r="H109" s="965"/>
      <c r="I109" s="965"/>
      <c r="J109" s="965"/>
      <c r="K109" s="965"/>
      <c r="L109" s="965"/>
      <c r="M109" s="1023"/>
      <c r="N109" s="989"/>
      <c r="O109" s="989"/>
      <c r="P109" s="987"/>
      <c r="Q109" s="909"/>
    </row>
    <row r="110" spans="1:17">
      <c r="A110" s="970"/>
      <c r="B110" s="939" t="s">
        <v>1436</v>
      </c>
      <c r="C110" s="963"/>
      <c r="D110" s="963"/>
      <c r="E110" s="963"/>
      <c r="F110" s="963"/>
      <c r="G110" s="963"/>
      <c r="H110" s="963"/>
      <c r="I110" s="963"/>
      <c r="J110" s="963"/>
      <c r="K110" s="1017"/>
      <c r="L110" s="1018"/>
      <c r="M110" s="1019"/>
      <c r="N110" s="986"/>
      <c r="O110" s="986"/>
      <c r="P110" s="987"/>
      <c r="Q110" s="909"/>
    </row>
    <row r="111" spans="1:17" ht="15">
      <c r="A111" s="936"/>
      <c r="B111" s="941"/>
      <c r="C111" s="942">
        <v>100</v>
      </c>
      <c r="D111" s="942">
        <f t="shared" ref="D111:M111" si="26">C111-$K35</f>
        <v>100</v>
      </c>
      <c r="E111" s="942">
        <f t="shared" si="26"/>
        <v>100</v>
      </c>
      <c r="F111" s="942">
        <f t="shared" si="26"/>
        <v>100</v>
      </c>
      <c r="G111" s="942">
        <f t="shared" si="26"/>
        <v>100</v>
      </c>
      <c r="H111" s="942">
        <f t="shared" si="26"/>
        <v>100</v>
      </c>
      <c r="I111" s="942">
        <f t="shared" si="26"/>
        <v>100</v>
      </c>
      <c r="J111" s="942">
        <f t="shared" si="26"/>
        <v>100</v>
      </c>
      <c r="K111" s="942">
        <f t="shared" si="26"/>
        <v>100</v>
      </c>
      <c r="L111" s="942">
        <f t="shared" si="26"/>
        <v>100</v>
      </c>
      <c r="M111" s="993">
        <f t="shared" si="26"/>
        <v>100</v>
      </c>
      <c r="N111" s="989"/>
      <c r="O111" s="989"/>
      <c r="P111" s="987"/>
      <c r="Q111" s="909"/>
    </row>
    <row r="112" spans="1:17" s="705" customFormat="1">
      <c r="A112" s="966"/>
      <c r="B112" s="939" t="s">
        <v>1438</v>
      </c>
      <c r="C112" s="947"/>
      <c r="D112" s="947"/>
      <c r="E112" s="947"/>
      <c r="F112" s="947"/>
      <c r="G112" s="947"/>
      <c r="H112" s="963"/>
      <c r="I112" s="963"/>
      <c r="J112" s="963"/>
      <c r="K112" s="1017"/>
      <c r="L112" s="1018"/>
      <c r="M112" s="1019"/>
      <c r="N112" s="999"/>
      <c r="O112" s="999"/>
      <c r="P112" s="1000"/>
      <c r="Q112" s="1030"/>
    </row>
    <row r="113" spans="1:17" s="705" customFormat="1" ht="15">
      <c r="A113" s="946"/>
      <c r="B113" s="941"/>
      <c r="C113" s="942">
        <v>100</v>
      </c>
      <c r="D113" s="942">
        <f t="shared" ref="D113:M113" si="27">C113-$K36</f>
        <v>100</v>
      </c>
      <c r="E113" s="942">
        <f t="shared" si="27"/>
        <v>100</v>
      </c>
      <c r="F113" s="942">
        <f t="shared" si="27"/>
        <v>100</v>
      </c>
      <c r="G113" s="942">
        <f t="shared" si="27"/>
        <v>100</v>
      </c>
      <c r="H113" s="942">
        <f t="shared" si="27"/>
        <v>100</v>
      </c>
      <c r="I113" s="942">
        <f t="shared" si="27"/>
        <v>100</v>
      </c>
      <c r="J113" s="942">
        <f t="shared" si="27"/>
        <v>100</v>
      </c>
      <c r="K113" s="942">
        <f t="shared" si="27"/>
        <v>100</v>
      </c>
      <c r="L113" s="942">
        <f t="shared" si="27"/>
        <v>100</v>
      </c>
      <c r="M113" s="993">
        <f t="shared" si="27"/>
        <v>100</v>
      </c>
      <c r="N113" s="999"/>
      <c r="O113" s="999"/>
      <c r="P113" s="1000"/>
      <c r="Q113" s="1030"/>
    </row>
    <row r="114" spans="1:17">
      <c r="A114" s="970"/>
      <c r="B114" s="939" t="s">
        <v>1439</v>
      </c>
      <c r="C114" s="947"/>
      <c r="D114" s="947"/>
      <c r="E114" s="963"/>
      <c r="F114" s="963"/>
      <c r="G114" s="963"/>
      <c r="H114" s="963"/>
      <c r="I114" s="963"/>
      <c r="J114" s="963"/>
      <c r="K114" s="1017"/>
      <c r="L114" s="1018"/>
      <c r="M114" s="1019"/>
      <c r="N114" s="986"/>
      <c r="O114" s="986"/>
      <c r="P114" s="987"/>
      <c r="Q114" s="909"/>
    </row>
    <row r="115" spans="1:17" ht="15">
      <c r="A115" s="936"/>
      <c r="B115" s="941"/>
      <c r="C115" s="942">
        <v>100</v>
      </c>
      <c r="D115" s="942">
        <f t="shared" ref="D115:M115" si="28">C115-$K37</f>
        <v>100</v>
      </c>
      <c r="E115" s="942">
        <f t="shared" si="28"/>
        <v>100</v>
      </c>
      <c r="F115" s="942">
        <f t="shared" si="28"/>
        <v>100</v>
      </c>
      <c r="G115" s="942">
        <f t="shared" si="28"/>
        <v>100</v>
      </c>
      <c r="H115" s="942">
        <f t="shared" si="28"/>
        <v>100</v>
      </c>
      <c r="I115" s="942">
        <f t="shared" si="28"/>
        <v>100</v>
      </c>
      <c r="J115" s="942">
        <f t="shared" si="28"/>
        <v>100</v>
      </c>
      <c r="K115" s="942">
        <f t="shared" si="28"/>
        <v>100</v>
      </c>
      <c r="L115" s="942">
        <f t="shared" si="28"/>
        <v>100</v>
      </c>
      <c r="M115" s="993">
        <f t="shared" si="28"/>
        <v>100</v>
      </c>
      <c r="N115" s="989"/>
      <c r="O115" s="989"/>
      <c r="P115" s="987"/>
      <c r="Q115" s="909"/>
    </row>
    <row r="116" spans="1:17">
      <c r="A116" s="970"/>
      <c r="B116" s="939">
        <f>B38</f>
        <v>111</v>
      </c>
      <c r="C116" s="947"/>
      <c r="D116" s="947"/>
      <c r="E116" s="947"/>
      <c r="F116" s="947"/>
      <c r="G116" s="947"/>
      <c r="H116" s="963"/>
      <c r="I116" s="963"/>
      <c r="J116" s="963"/>
      <c r="K116" s="1017"/>
      <c r="L116" s="1018"/>
      <c r="M116" s="1019"/>
      <c r="N116" s="986"/>
      <c r="O116" s="986"/>
      <c r="P116" s="987"/>
      <c r="Q116" s="909"/>
    </row>
    <row r="117" spans="1:17" ht="15">
      <c r="A117" s="936"/>
      <c r="B117" s="941"/>
      <c r="C117" s="949"/>
      <c r="D117" s="938"/>
      <c r="E117" s="938"/>
      <c r="F117" s="938"/>
      <c r="G117" s="938"/>
      <c r="H117" s="938"/>
      <c r="I117" s="938"/>
      <c r="J117" s="938"/>
      <c r="K117" s="938"/>
      <c r="L117" s="938"/>
      <c r="M117" s="988"/>
      <c r="N117" s="989"/>
      <c r="O117" s="989"/>
      <c r="P117" s="987"/>
      <c r="Q117" s="909"/>
    </row>
    <row r="118" spans="1:17">
      <c r="A118" s="970"/>
      <c r="B118" s="939">
        <f>B39</f>
        <v>111</v>
      </c>
      <c r="C118" s="947"/>
      <c r="D118" s="947"/>
      <c r="E118" s="947"/>
      <c r="F118" s="947"/>
      <c r="G118" s="963"/>
      <c r="H118" s="963"/>
      <c r="I118" s="963"/>
      <c r="J118" s="963"/>
      <c r="K118" s="1017"/>
      <c r="L118" s="1018"/>
      <c r="M118" s="1019"/>
      <c r="N118" s="986"/>
      <c r="O118" s="986"/>
      <c r="P118" s="987"/>
      <c r="Q118" s="909"/>
    </row>
    <row r="119" spans="1:17" ht="15">
      <c r="A119" s="936"/>
      <c r="B119" s="941"/>
      <c r="C119" s="949"/>
      <c r="D119" s="949"/>
      <c r="E119" s="949"/>
      <c r="F119" s="949"/>
      <c r="G119" s="938"/>
      <c r="H119" s="938"/>
      <c r="I119" s="938"/>
      <c r="J119" s="938"/>
      <c r="K119" s="938"/>
      <c r="L119" s="938"/>
      <c r="M119" s="988"/>
      <c r="N119" s="989"/>
      <c r="O119" s="989"/>
      <c r="P119" s="987"/>
      <c r="Q119" s="909"/>
    </row>
    <row r="120" spans="1:17" s="705" customFormat="1">
      <c r="A120" s="966"/>
      <c r="B120" s="939">
        <f>B40</f>
        <v>111</v>
      </c>
      <c r="C120" s="931"/>
      <c r="D120" s="931"/>
      <c r="E120" s="931"/>
      <c r="F120" s="931"/>
      <c r="G120" s="948"/>
      <c r="H120" s="948"/>
      <c r="I120" s="948"/>
      <c r="J120" s="948"/>
      <c r="K120" s="948"/>
      <c r="L120" s="997"/>
      <c r="M120" s="998"/>
      <c r="N120" s="999"/>
      <c r="O120" s="999"/>
      <c r="P120" s="1000"/>
      <c r="Q120" s="1030"/>
    </row>
    <row r="121" spans="1:17" s="705" customFormat="1" ht="15">
      <c r="A121" s="971"/>
      <c r="B121" s="972"/>
      <c r="C121" s="954"/>
      <c r="D121" s="954"/>
      <c r="E121" s="954"/>
      <c r="F121" s="954"/>
      <c r="G121" s="965"/>
      <c r="H121" s="965"/>
      <c r="I121" s="965"/>
      <c r="J121" s="965"/>
      <c r="K121" s="965"/>
      <c r="L121" s="965"/>
      <c r="M121" s="1023"/>
      <c r="N121" s="999"/>
      <c r="O121" s="999"/>
      <c r="P121" s="1000"/>
      <c r="Q121" s="103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05"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29 E29 G29 I29">
      <formula1>套工道路等级</formula1>
    </dataValidation>
    <dataValidation type="list" allowBlank="1" showInputMessage="1" showErrorMessage="1" sqref="C22 E22 G22 I22">
      <formula1>环境</formula1>
    </dataValidation>
    <dataValidation type="list" allowBlank="1" showInputMessage="1" showErrorMessage="1" sqref="C8 E8 G8 I8">
      <formula1>套工交易情况</formula1>
    </dataValidation>
    <dataValidation type="list" allowBlank="1" showInputMessage="1" showErrorMessage="1" sqref="C27 E27 G27 I27">
      <formula1>临街状况</formula1>
    </dataValidation>
    <dataValidation type="list" allowBlank="1" showInputMessage="1" showErrorMessage="1" sqref="C20 E20 G20 I20">
      <formula1>区域土地利用方向</formula1>
    </dataValidation>
    <dataValidation type="list" allowBlank="1" showInputMessage="1" showErrorMessage="1" sqref="C36 E36 G36 I36">
      <formula1>套工宗地内开发程度</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53" customWidth="1"/>
    <col min="2" max="3" width="12.5" style="2653" customWidth="1"/>
    <col min="4" max="6" width="8.125" style="2653"/>
    <col min="7" max="7" width="17.5" style="2653" customWidth="1"/>
    <col min="8" max="16384" width="8.125" style="2653"/>
  </cols>
  <sheetData>
    <row r="1" spans="1:7" ht="23.25">
      <c r="A1" s="2700" t="s">
        <v>78</v>
      </c>
      <c r="B1" s="2701"/>
      <c r="C1" s="2701"/>
      <c r="D1" s="2701"/>
      <c r="E1" s="2701"/>
      <c r="F1" s="2701"/>
      <c r="G1" s="2701"/>
    </row>
    <row r="2" spans="1:7">
      <c r="A2" s="2702"/>
    </row>
    <row r="3" spans="1:7" s="2698" customFormat="1" ht="18">
      <c r="A3" s="2703" t="str">
        <f>IF(ISNUMBER(FIND("公司",项目基本情况!B4)),项目基本情况!B4&amp;"：",项目基本情况!B4&amp;"  先生/女士：")</f>
        <v>xx  先生/女士：</v>
      </c>
      <c r="B3" s="2704"/>
      <c r="C3" s="2704"/>
      <c r="D3" s="2704"/>
      <c r="E3" s="2704"/>
      <c r="F3" s="2704"/>
      <c r="G3" s="2704"/>
    </row>
    <row r="4" spans="1:7" ht="18">
      <c r="A4" s="2705" t="str">
        <f>IF(ISNUMBER(FIND("公司",A3)),"受贵公司委托，我公司对"&amp;项目基本情况!I1&amp;"进行了预评估。","受您的委托，我公司对"&amp;项目基本情况!I1&amp;"进行了预评估。")</f>
        <v>受您的委托，我公司对北京市房地产进行了预评估。</v>
      </c>
      <c r="B4" s="2705"/>
      <c r="C4" s="2705"/>
      <c r="D4" s="2705"/>
      <c r="E4" s="2705"/>
      <c r="F4" s="2705"/>
      <c r="G4" s="2705"/>
    </row>
    <row r="5" spans="1:7" ht="18.75">
      <c r="A5" s="2706" t="s">
        <v>79</v>
      </c>
    </row>
    <row r="6" spans="1:7" s="2699" customFormat="1" ht="54">
      <c r="A6" s="270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估价对象为北京市房地产，为XX所有。根据《不动产权证书》[]，估价对象建筑面积为1024.48平方米，（分摊）出让国有建设用地使用权面积为105.21平方米。估价对象用途为。</v>
      </c>
      <c r="B6" s="2705"/>
      <c r="C6" s="2705"/>
      <c r="D6" s="2705"/>
      <c r="E6" s="2705"/>
      <c r="F6" s="2705"/>
      <c r="G6" s="2705"/>
    </row>
    <row r="7" spans="1:7" ht="18.75">
      <c r="A7" s="2706" t="s">
        <v>80</v>
      </c>
    </row>
    <row r="8" spans="1:7" ht="54">
      <c r="A8" s="2707"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2708"/>
      <c r="C8" s="2705"/>
      <c r="D8" s="2705"/>
      <c r="E8" s="2705"/>
      <c r="F8" s="2705"/>
      <c r="G8" s="2705"/>
    </row>
    <row r="9" spans="1:7" ht="18.75">
      <c r="A9" s="2704" t="s">
        <v>81</v>
      </c>
      <c r="B9" s="2709"/>
    </row>
    <row r="10" spans="1:7" ht="18">
      <c r="A10" s="2710" t="str">
        <f>TEXT(项目基本情况!D2,"yyyy年m月d日;;")&amp;IF(项目基本情况!B2=项目基本情况!D2,"（评估专业人员实地查勘之日）","")</f>
        <v>2019年6月30日</v>
      </c>
      <c r="B10" s="2711"/>
      <c r="C10" s="2711"/>
      <c r="D10" s="2711"/>
      <c r="E10" s="2711"/>
      <c r="F10" s="2711"/>
      <c r="G10" s="2711"/>
    </row>
    <row r="11" spans="1:7" ht="18.75">
      <c r="A11" s="2704" t="s">
        <v>82</v>
      </c>
    </row>
    <row r="12" spans="1:7" ht="75">
      <c r="A12" s="2705" t="s">
        <v>83</v>
      </c>
      <c r="B12" s="2705"/>
      <c r="C12" s="2705"/>
      <c r="D12" s="2705"/>
      <c r="E12" s="2705"/>
      <c r="F12" s="2705"/>
      <c r="G12" s="2705"/>
    </row>
    <row r="13" spans="1:7" ht="36">
      <c r="A13" s="270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本次估价的“房地产价值”是指在正常市场情况下，在价值时点2019年6月30日，估价对象规划用途为，假定未设立法定优先受偿款下的房地产市场价值。</v>
      </c>
      <c r="B13" s="2705"/>
      <c r="C13" s="2705"/>
      <c r="D13" s="2705"/>
      <c r="E13" s="2705"/>
      <c r="F13" s="2705"/>
      <c r="G13" s="2705"/>
    </row>
    <row r="14" spans="1:7" ht="36">
      <c r="A14" s="270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2712"/>
      <c r="C14" s="2712"/>
      <c r="D14" s="2712"/>
      <c r="E14" s="2712"/>
      <c r="F14" s="2712"/>
      <c r="G14" s="2712"/>
    </row>
    <row r="15" spans="1:7" ht="56.25">
      <c r="A15" s="2705" t="s">
        <v>84</v>
      </c>
      <c r="B15" s="2705"/>
      <c r="C15" s="2705"/>
      <c r="D15" s="2705"/>
      <c r="E15" s="2705"/>
      <c r="F15" s="2705"/>
      <c r="G15" s="2705"/>
    </row>
    <row r="16" spans="1:7" ht="54">
      <c r="A16" s="270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2712"/>
      <c r="C16" s="2712"/>
      <c r="D16" s="2712"/>
      <c r="E16" s="2712"/>
      <c r="F16" s="2712"/>
      <c r="G16" s="2712"/>
    </row>
    <row r="17" spans="1:1" ht="18.75">
      <c r="A17" s="2704" t="s">
        <v>85</v>
      </c>
    </row>
    <row r="18" spans="1:1" ht="18">
      <c r="A18" s="2664"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205"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sqref="A1:XFD1048576"/>
    </sheetView>
  </sheetViews>
  <sheetFormatPr defaultColWidth="9" defaultRowHeight="12.75"/>
  <cols>
    <col min="1" max="1" width="9.75" style="391" customWidth="1"/>
    <col min="2" max="2" width="19.25" style="392"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1" customWidth="1"/>
    <col min="27" max="32" width="9.375" style="395" customWidth="1"/>
    <col min="33" max="36" width="9.375" style="391" customWidth="1"/>
    <col min="37" max="38" width="9.375" style="393" customWidth="1"/>
    <col min="39" max="16384" width="9" style="393"/>
  </cols>
  <sheetData>
    <row r="1" spans="1:36" ht="28.5">
      <c r="A1" s="396" t="s">
        <v>1468</v>
      </c>
      <c r="B1" s="397"/>
      <c r="C1" s="398" t="s">
        <v>1239</v>
      </c>
      <c r="D1" s="399">
        <f>SUM(D29:D30,D33:D39)</f>
        <v>0</v>
      </c>
      <c r="E1" s="399"/>
      <c r="F1" s="399"/>
      <c r="G1" s="399"/>
      <c r="H1" s="399"/>
      <c r="I1" s="399"/>
      <c r="J1" s="399"/>
      <c r="L1" s="567" t="s">
        <v>223</v>
      </c>
      <c r="M1" s="568">
        <f>SUMPRODUCT((区片价!B5:B9=I2)*(区片价!C3:F3=E2)*(区片价!C5:F9))</f>
        <v>0</v>
      </c>
      <c r="N1" s="569">
        <f>SUMPRODUCT((因素修正幅度!B5:B9=I2)*(因素修正幅度!C3:F3=E2)*(因素修正幅度!C5:F9))</f>
        <v>0</v>
      </c>
      <c r="O1" s="394"/>
      <c r="P1" s="394"/>
      <c r="Q1" s="394"/>
      <c r="R1" s="644" t="s">
        <v>1469</v>
      </c>
      <c r="S1" s="644" t="s">
        <v>1470</v>
      </c>
      <c r="T1" s="644" t="s">
        <v>1471</v>
      </c>
      <c r="U1" s="644" t="s">
        <v>1472</v>
      </c>
      <c r="V1" s="644" t="s">
        <v>1473</v>
      </c>
      <c r="W1" s="645"/>
      <c r="X1" s="645"/>
      <c r="Y1" s="645"/>
      <c r="Z1" s="645"/>
      <c r="AA1" s="645"/>
      <c r="AB1" s="645"/>
      <c r="AC1" s="652"/>
      <c r="AD1" s="653"/>
      <c r="AE1" s="653"/>
      <c r="AF1" s="653"/>
      <c r="AG1" s="653"/>
      <c r="AH1" s="653"/>
      <c r="AI1" s="653"/>
      <c r="AJ1" s="663"/>
    </row>
    <row r="2" spans="1:36" ht="24.75">
      <c r="A2" s="400" t="s">
        <v>832</v>
      </c>
      <c r="B2" s="401" t="e">
        <f>C26</f>
        <v>#DIV/0!</v>
      </c>
      <c r="C2" s="402" t="s">
        <v>1433</v>
      </c>
      <c r="D2" s="403" t="s">
        <v>1474</v>
      </c>
      <c r="E2" s="404"/>
      <c r="F2" s="403" t="s">
        <v>1475</v>
      </c>
      <c r="G2" s="405" t="str">
        <f>项目基本情况!F9</f>
        <v>二级</v>
      </c>
      <c r="H2" s="406" t="s">
        <v>1476</v>
      </c>
      <c r="I2" s="405" t="str">
        <f>项目基本情况!F10</f>
        <v>Ⅱ—09</v>
      </c>
      <c r="J2" s="570"/>
      <c r="L2" s="571" t="s">
        <v>236</v>
      </c>
      <c r="M2" s="572">
        <f>SUMPRODUCT((区片价!B10:B28=I2)*(区片价!C3:F3=E2)*(区片价!C10:F28))</f>
        <v>0</v>
      </c>
      <c r="N2" s="573">
        <f>SUMPRODUCT((因素修正幅度!B10:B28=I2)*(因素修正幅度!C3:F3=E2)*(因素修正幅度!C10:F28))</f>
        <v>0</v>
      </c>
      <c r="O2" s="394"/>
      <c r="P2" s="394"/>
      <c r="Q2" s="394"/>
      <c r="R2" s="644">
        <v>1</v>
      </c>
      <c r="S2" s="644" t="e">
        <f>ROUND(IF(G3&gt;1,IF(R2&lt;7,SUMPRODUCT((B93:B98=R2)*(C92:N92=G2)*(C93:N98)),SUMIF(C92:N92,G2,C100:N100)),IF(R2&lt;7,SUMPRODUCT((B102:B107=R2)*(C92:N92=G2)*(C102:N107)),SUMIF(C92:N92,G2,C109:N109))),4)</f>
        <v>#DIV/0!</v>
      </c>
      <c r="T2" s="644" t="e">
        <f>ROUND($C$5*$C$18*$C$19*$C$20*S2*$C$24,0)</f>
        <v>#DIV/0!</v>
      </c>
      <c r="U2" s="646"/>
      <c r="V2" s="644" t="e">
        <f>ROUND(T2*U2/10000,0)</f>
        <v>#DIV/0!</v>
      </c>
      <c r="W2" s="645"/>
      <c r="X2" s="645"/>
      <c r="Y2" s="645"/>
      <c r="Z2" s="645"/>
      <c r="AA2" s="645"/>
      <c r="AB2" s="645"/>
      <c r="AC2" s="652"/>
      <c r="AD2" s="653"/>
      <c r="AE2" s="653"/>
      <c r="AF2" s="653"/>
      <c r="AG2" s="653"/>
      <c r="AH2" s="653"/>
      <c r="AI2" s="653"/>
      <c r="AJ2" s="663"/>
    </row>
    <row r="3" spans="1:36" ht="15.75">
      <c r="A3" s="407" t="s">
        <v>833</v>
      </c>
      <c r="B3" s="401" t="e">
        <f>ROUND(B2/D1,0)</f>
        <v>#DIV/0!</v>
      </c>
      <c r="C3" s="402" t="s">
        <v>834</v>
      </c>
      <c r="D3" s="403" t="s">
        <v>1477</v>
      </c>
      <c r="E3" s="408"/>
      <c r="F3" s="409" t="s">
        <v>1478</v>
      </c>
      <c r="G3" s="410">
        <f>项目基本情况!C15</f>
        <v>0</v>
      </c>
      <c r="H3" s="411" t="s">
        <v>1479</v>
      </c>
      <c r="I3" s="574"/>
      <c r="J3" s="570" t="s">
        <v>1480</v>
      </c>
      <c r="L3" s="571" t="s">
        <v>248</v>
      </c>
      <c r="M3" s="572">
        <f>SUMPRODUCT((区片价!B29:B48=I2)*(区片价!C3:F3=E2)*(区片价!C29:F48))</f>
        <v>0</v>
      </c>
      <c r="N3" s="573">
        <f>SUMPRODUCT((因素修正幅度!B29:B48=I2)*(因素修正幅度!C3:F3=E2)*(因素修正幅度!C29:F48))</f>
        <v>0</v>
      </c>
      <c r="O3" s="394"/>
      <c r="P3" s="394"/>
      <c r="Q3" s="394"/>
      <c r="R3" s="644">
        <v>2</v>
      </c>
      <c r="S3" s="644" t="e">
        <f>ROUND(IF(G3&gt;1,IF(R3&lt;7,SUMPRODUCT((B93:B98=R3)*(C92:N92=G2)*(C93:N98)),SUMIF(C92:N92,G2,C100:N100)),IF(R3&lt;7,SUMPRODUCT((B102:B107=R3)*(C92:N92=G2)*(C102:N107)),SUMIF(C92:N92,G2,C109:N109))),4)</f>
        <v>#DIV/0!</v>
      </c>
      <c r="T3" s="644" t="e">
        <f t="shared" ref="T3:T16" si="0">ROUND($C$5*$C$18*$C$19*$C$20*S3*$C$24,0)</f>
        <v>#DIV/0!</v>
      </c>
      <c r="U3" s="646"/>
      <c r="V3" s="644" t="e">
        <f t="shared" ref="V3:V16" si="1">ROUND(T3*U3/10000,0)</f>
        <v>#DIV/0!</v>
      </c>
      <c r="W3" s="645"/>
      <c r="X3" s="645"/>
      <c r="Y3" s="645"/>
      <c r="Z3" s="645"/>
      <c r="AA3" s="645"/>
      <c r="AB3" s="645"/>
      <c r="AC3" s="652"/>
      <c r="AD3" s="653"/>
      <c r="AE3" s="653"/>
      <c r="AF3" s="653"/>
      <c r="AG3" s="653"/>
      <c r="AH3" s="653"/>
      <c r="AI3" s="653"/>
      <c r="AJ3" s="663"/>
    </row>
    <row r="4" spans="1:36" ht="15.75">
      <c r="A4" s="3071"/>
      <c r="B4" s="3072"/>
      <c r="C4" s="3072"/>
      <c r="D4" s="3073"/>
      <c r="E4" s="3073"/>
      <c r="F4" s="3073"/>
      <c r="G4" s="3073"/>
      <c r="H4" s="3073"/>
      <c r="I4" s="3073"/>
      <c r="J4" s="3074"/>
      <c r="L4" s="571" t="s">
        <v>258</v>
      </c>
      <c r="M4" s="572">
        <f>SUMPRODUCT((区片价!B49:B75=I2)*(区片价!C3:F3=E2)*(区片价!C49:F75))</f>
        <v>0</v>
      </c>
      <c r="N4" s="573">
        <f>SUMPRODUCT((因素修正幅度!B49:B75=I2)*(因素修正幅度!C3:F3=E2)*(因素修正幅度!C49:F75))</f>
        <v>0</v>
      </c>
      <c r="O4" s="394"/>
      <c r="P4" s="394"/>
      <c r="Q4" s="394"/>
      <c r="R4" s="644">
        <v>3</v>
      </c>
      <c r="S4" s="644" t="e">
        <f>ROUND(IF(G3&gt;1,IF(R4&lt;7,SUMPRODUCT((B93:B98=R4)*(C92:N92=G2)*(C93:N98)),SUMIF(C92:N92,G2,C100:N100)),IF(R4&lt;7,SUMPRODUCT((B102:B107=R4)*(C92:N92=G2)*(C102:N107)),SUMIF(C92:N92,G2,C109:N109))),4)</f>
        <v>#DIV/0!</v>
      </c>
      <c r="T4" s="644" t="e">
        <f t="shared" si="0"/>
        <v>#DIV/0!</v>
      </c>
      <c r="U4" s="646"/>
      <c r="V4" s="644" t="e">
        <f t="shared" si="1"/>
        <v>#DIV/0!</v>
      </c>
      <c r="W4" s="645"/>
      <c r="X4" s="645"/>
      <c r="Y4" s="645"/>
      <c r="Z4" s="645"/>
      <c r="AA4" s="645"/>
      <c r="AB4" s="645"/>
      <c r="AC4" s="652"/>
      <c r="AD4" s="653"/>
      <c r="AE4" s="653"/>
      <c r="AF4" s="653"/>
      <c r="AG4" s="653"/>
      <c r="AH4" s="653"/>
      <c r="AI4" s="653"/>
      <c r="AJ4" s="663"/>
    </row>
    <row r="5" spans="1:36" s="389" customFormat="1" ht="15">
      <c r="A5" s="412" t="s">
        <v>1481</v>
      </c>
      <c r="B5" s="413" t="s">
        <v>1482</v>
      </c>
      <c r="C5" s="414" t="e">
        <f>ROUND(IF(E2="商业",C6*C7+C16,(IF(E2="住宅",C6*C12+C16,C6+C16))),0)</f>
        <v>#DIV/0!</v>
      </c>
      <c r="D5" s="415" t="e">
        <f>ROUND(C6+C16,0)</f>
        <v>#DIV/0!</v>
      </c>
      <c r="E5" s="415"/>
      <c r="F5" s="416"/>
      <c r="G5" s="417"/>
      <c r="H5" s="417"/>
      <c r="I5" s="417"/>
      <c r="J5" s="575"/>
      <c r="K5" s="576"/>
      <c r="L5" s="571" t="s">
        <v>1483</v>
      </c>
      <c r="M5" s="572">
        <f>SUMPRODUCT((区片价!B76:B109=I2)*(区片价!C3:F3=E2)*(区片价!C76:F109))</f>
        <v>0</v>
      </c>
      <c r="N5" s="573">
        <f>SUMPRODUCT((因素修正幅度!B76:B109=I2)*(因素修正幅度!C3:F3=E2)*(因素修正幅度!C76:F109))</f>
        <v>0</v>
      </c>
      <c r="O5" s="394"/>
      <c r="P5" s="394"/>
      <c r="Q5" s="394"/>
      <c r="R5" s="644">
        <v>4</v>
      </c>
      <c r="S5" s="644" t="e">
        <f>ROUND(IF(G3&gt;1,IF(R5&lt;7,SUMPRODUCT((B93:B98=R5)*(C92:N92=G2)*(C93:N98)),SUMIF(C92:N92,G2,C100:N100)),IF(R5&lt;7,SUMPRODUCT((B102:B107=R5)*(C92:N92=G2)*(C102:N107)),SUMIF(C92:N92,G2,C109:N109))),4)</f>
        <v>#DIV/0!</v>
      </c>
      <c r="T5" s="644" t="e">
        <f t="shared" si="0"/>
        <v>#DIV/0!</v>
      </c>
      <c r="U5" s="646"/>
      <c r="V5" s="644" t="e">
        <f t="shared" si="1"/>
        <v>#DIV/0!</v>
      </c>
      <c r="W5" s="645"/>
      <c r="X5" s="645"/>
      <c r="Y5" s="645"/>
      <c r="Z5" s="645"/>
      <c r="AA5" s="645"/>
      <c r="AB5" s="645"/>
      <c r="AC5" s="654"/>
      <c r="AD5" s="655"/>
      <c r="AE5" s="655"/>
      <c r="AF5" s="655"/>
      <c r="AG5" s="655"/>
      <c r="AH5" s="655"/>
      <c r="AI5" s="655"/>
      <c r="AJ5" s="664"/>
    </row>
    <row r="6" spans="1:36" ht="15">
      <c r="A6" s="418">
        <v>1</v>
      </c>
      <c r="B6" s="419" t="s">
        <v>1484</v>
      </c>
      <c r="C6" s="420">
        <f>SUMIF(L1:L12,G2,M1:M12)</f>
        <v>0</v>
      </c>
      <c r="D6" s="421" t="s">
        <v>1485</v>
      </c>
      <c r="E6" s="422"/>
      <c r="F6" s="422"/>
      <c r="G6" s="423"/>
      <c r="H6" s="423"/>
      <c r="I6" s="423"/>
      <c r="J6" s="577"/>
      <c r="K6" s="578"/>
      <c r="L6" s="571" t="s">
        <v>272</v>
      </c>
      <c r="M6" s="572">
        <f>SUMPRODUCT((区片价!B110:B157=I2)*(区片价!C3:F3=E2)*(区片价!C110:F157))</f>
        <v>0</v>
      </c>
      <c r="N6" s="573">
        <f>SUMPRODUCT((因素修正幅度!B110:B157=I2)*(因素修正幅度!C3:F3=E2)*(因素修正幅度!C110:F157))</f>
        <v>0</v>
      </c>
      <c r="O6" s="394"/>
      <c r="P6" s="394"/>
      <c r="Q6" s="394"/>
      <c r="R6" s="644">
        <v>5</v>
      </c>
      <c r="S6" s="644" t="e">
        <f>ROUND(IF(G3&gt;1,IF(R6&lt;7,SUMPRODUCT((B93:B98=R6)*(C92:N92=G2)*(C93:N98)),SUMIF(C92:N92,G2,C100:N100)),IF(R6&lt;7,SUMPRODUCT((B102:B107=R6)*(C92:N92=G2)*(C102:N107)),SUMIF(C92:N92,G2,C109:N109))),4)</f>
        <v>#DIV/0!</v>
      </c>
      <c r="T6" s="644" t="e">
        <f t="shared" si="0"/>
        <v>#DIV/0!</v>
      </c>
      <c r="U6" s="646"/>
      <c r="V6" s="644" t="e">
        <f t="shared" si="1"/>
        <v>#DIV/0!</v>
      </c>
      <c r="W6" s="645"/>
      <c r="X6" s="645"/>
      <c r="Y6" s="645"/>
      <c r="Z6" s="645"/>
      <c r="AA6" s="645"/>
      <c r="AB6" s="645"/>
      <c r="AC6" s="654"/>
      <c r="AD6" s="655"/>
      <c r="AE6" s="655"/>
      <c r="AF6" s="655"/>
      <c r="AG6" s="655"/>
      <c r="AH6" s="655"/>
      <c r="AI6" s="655"/>
      <c r="AJ6" s="664"/>
    </row>
    <row r="7" spans="1:36" ht="24">
      <c r="A7" s="3082" t="str">
        <f>IF(E2="商业",IF(C8="不临58条商业街","",2),"")</f>
        <v/>
      </c>
      <c r="B7" s="424" t="s">
        <v>1486</v>
      </c>
      <c r="C7" s="425" t="e">
        <f>IF(C8="不临58条商业街",1,ROUND(1+(1.6*E8+1.2*E9+0.8*E10+0.4*E11)*C9,4))</f>
        <v>#DIV/0!</v>
      </c>
      <c r="D7" s="426" t="s">
        <v>1487</v>
      </c>
      <c r="E7" s="427"/>
      <c r="F7" s="428"/>
      <c r="G7" s="429"/>
      <c r="H7" s="429"/>
      <c r="I7" s="429"/>
      <c r="J7" s="579"/>
      <c r="K7" s="578"/>
      <c r="L7" s="571" t="s">
        <v>277</v>
      </c>
      <c r="M7" s="572">
        <f>SUMPRODUCT((区片价!B158:B205=I2)*(区片价!C3:F3=E2)*(区片价!C158:F205))</f>
        <v>0</v>
      </c>
      <c r="N7" s="573">
        <f>SUMPRODUCT((因素修正幅度!B158:B205=I2)*(因素修正幅度!C3:F3=E2)*(因素修正幅度!C158:F205))</f>
        <v>0</v>
      </c>
      <c r="O7" s="394"/>
      <c r="P7" s="394"/>
      <c r="Q7" s="394"/>
      <c r="R7" s="644">
        <v>6</v>
      </c>
      <c r="S7" s="644" t="e">
        <f>ROUND(IF(G3&gt;1,IF(R7&lt;7,SUMPRODUCT((B93:B98=R7)*(C92:N92=G2)*(C93:N98)),SUMIF(C92:N92,G2,C100:N100)),IF(R7&lt;7,SUMPRODUCT((B102:B107=R7)*(C92:N92=G2)*(C102:N107)),SUMIF(C92:N92,G2,C109:N109))),4)</f>
        <v>#DIV/0!</v>
      </c>
      <c r="T7" s="644" t="e">
        <f t="shared" si="0"/>
        <v>#DIV/0!</v>
      </c>
      <c r="U7" s="646"/>
      <c r="V7" s="644" t="e">
        <f t="shared" si="1"/>
        <v>#DIV/0!</v>
      </c>
      <c r="W7" s="647" t="s">
        <v>1488</v>
      </c>
      <c r="X7" s="648" t="str">
        <f>G2</f>
        <v>二级</v>
      </c>
      <c r="Y7" s="648" t="s">
        <v>1478</v>
      </c>
      <c r="Z7" s="656">
        <f>G3</f>
        <v>0</v>
      </c>
      <c r="AA7" s="645"/>
      <c r="AB7" s="645"/>
      <c r="AC7" s="652"/>
      <c r="AD7" s="653"/>
      <c r="AE7" s="653"/>
      <c r="AF7" s="653"/>
      <c r="AG7" s="653"/>
      <c r="AH7" s="653"/>
      <c r="AI7" s="653"/>
      <c r="AJ7" s="663"/>
    </row>
    <row r="8" spans="1:36" ht="15">
      <c r="A8" s="3083"/>
      <c r="B8" s="411" t="s">
        <v>1489</v>
      </c>
      <c r="C8" s="431"/>
      <c r="D8" s="432" t="s">
        <v>1490</v>
      </c>
      <c r="E8" s="433" t="e">
        <f>ROUND(C11/E7,4)</f>
        <v>#DIV/0!</v>
      </c>
      <c r="F8" s="434" t="s">
        <v>1491</v>
      </c>
      <c r="G8" s="435"/>
      <c r="H8" s="435"/>
      <c r="I8" s="435"/>
      <c r="J8" s="580"/>
      <c r="L8" s="571" t="s">
        <v>283</v>
      </c>
      <c r="M8" s="572">
        <f>SUMPRODUCT((区片价!B206:B244=I2)*(区片价!C3:F3=E2)*(区片价!C206:F244))</f>
        <v>0</v>
      </c>
      <c r="N8" s="573">
        <f>SUMPRODUCT((因素修正幅度!B206:B244=I2)*(因素修正幅度!C3:F3=E2)*(因素修正幅度!C206:F244))</f>
        <v>0</v>
      </c>
      <c r="O8" s="394"/>
      <c r="P8" s="394"/>
      <c r="Q8" s="394"/>
      <c r="R8" s="644">
        <v>7</v>
      </c>
      <c r="S8" s="646"/>
      <c r="T8" s="644" t="e">
        <f t="shared" si="0"/>
        <v>#DIV/0!</v>
      </c>
      <c r="U8" s="646"/>
      <c r="V8" s="644" t="e">
        <f t="shared" si="1"/>
        <v>#DIV/0!</v>
      </c>
      <c r="W8" s="3075" t="s">
        <v>1492</v>
      </c>
      <c r="X8" s="3076"/>
      <c r="Y8" s="657" t="s">
        <v>1493</v>
      </c>
      <c r="Z8" s="657" t="s">
        <v>1494</v>
      </c>
      <c r="AA8" s="657" t="s">
        <v>1495</v>
      </c>
      <c r="AB8" s="657" t="s">
        <v>1496</v>
      </c>
      <c r="AC8" s="657" t="s">
        <v>1497</v>
      </c>
      <c r="AD8" s="657" t="s">
        <v>1498</v>
      </c>
      <c r="AE8" s="657" t="s">
        <v>1499</v>
      </c>
      <c r="AF8" s="657" t="s">
        <v>1500</v>
      </c>
      <c r="AG8" s="657" t="s">
        <v>1501</v>
      </c>
      <c r="AH8" s="657" t="s">
        <v>1502</v>
      </c>
      <c r="AI8" s="657" t="s">
        <v>1503</v>
      </c>
      <c r="AJ8" s="657" t="s">
        <v>1504</v>
      </c>
    </row>
    <row r="9" spans="1:36" ht="15">
      <c r="A9" s="3083"/>
      <c r="B9" s="411" t="s">
        <v>1505</v>
      </c>
      <c r="C9" s="436">
        <f>SUMIF(修正!C59:C119,C8,修正!E59:E119)</f>
        <v>0</v>
      </c>
      <c r="D9" s="437" t="s">
        <v>1506</v>
      </c>
      <c r="E9" s="437" t="e">
        <f>ROUND(C11/E7,4)</f>
        <v>#DIV/0!</v>
      </c>
      <c r="F9" s="434" t="s">
        <v>1507</v>
      </c>
      <c r="G9" s="435"/>
      <c r="H9" s="435"/>
      <c r="I9" s="435"/>
      <c r="J9" s="580"/>
      <c r="L9" s="571" t="s">
        <v>287</v>
      </c>
      <c r="M9" s="572">
        <f>SUMPRODUCT((区片价!B245:B289=I2)*(区片价!C3:F3=E2)*(区片价!C245:F289))</f>
        <v>0</v>
      </c>
      <c r="N9" s="573">
        <f>SUMPRODUCT((因素修正幅度!B245:B289=I2)*(因素修正幅度!C3:F3=E2)*(因素修正幅度!C245:F289))</f>
        <v>0</v>
      </c>
      <c r="O9" s="394"/>
      <c r="P9" s="394"/>
      <c r="Q9" s="394"/>
      <c r="R9" s="644">
        <v>8</v>
      </c>
      <c r="S9" s="646"/>
      <c r="T9" s="644" t="e">
        <f t="shared" si="0"/>
        <v>#DIV/0!</v>
      </c>
      <c r="U9" s="646"/>
      <c r="V9" s="644" t="e">
        <f t="shared" si="1"/>
        <v>#DIV/0!</v>
      </c>
      <c r="W9" s="3080" t="s">
        <v>1508</v>
      </c>
      <c r="X9" s="649" t="s">
        <v>1509</v>
      </c>
      <c r="Y9" s="658"/>
      <c r="Z9" s="659">
        <f>$Y$9</f>
        <v>0</v>
      </c>
      <c r="AA9" s="659">
        <f t="shared" ref="AA9:AJ9" si="2">$Y$9</f>
        <v>0</v>
      </c>
      <c r="AB9" s="659">
        <f t="shared" si="2"/>
        <v>0</v>
      </c>
      <c r="AC9" s="659">
        <f t="shared" si="2"/>
        <v>0</v>
      </c>
      <c r="AD9" s="659">
        <f t="shared" si="2"/>
        <v>0</v>
      </c>
      <c r="AE9" s="659">
        <f t="shared" si="2"/>
        <v>0</v>
      </c>
      <c r="AF9" s="659">
        <f t="shared" si="2"/>
        <v>0</v>
      </c>
      <c r="AG9" s="659">
        <f t="shared" si="2"/>
        <v>0</v>
      </c>
      <c r="AH9" s="659">
        <f t="shared" si="2"/>
        <v>0</v>
      </c>
      <c r="AI9" s="659">
        <f t="shared" si="2"/>
        <v>0</v>
      </c>
      <c r="AJ9" s="659">
        <f t="shared" si="2"/>
        <v>0</v>
      </c>
    </row>
    <row r="10" spans="1:36" ht="15">
      <c r="A10" s="3083"/>
      <c r="B10" s="411" t="s">
        <v>1510</v>
      </c>
      <c r="C10" s="437">
        <f>SUMIF(修正!C59:C119,C8,修正!F59:F119)</f>
        <v>0</v>
      </c>
      <c r="D10" s="437" t="s">
        <v>1511</v>
      </c>
      <c r="E10" s="437" t="e">
        <f>ROUND(C11/E7,4)</f>
        <v>#DIV/0!</v>
      </c>
      <c r="F10" s="434" t="s">
        <v>1512</v>
      </c>
      <c r="G10" s="435"/>
      <c r="H10" s="435"/>
      <c r="I10" s="435"/>
      <c r="J10" s="580"/>
      <c r="L10" s="571" t="s">
        <v>290</v>
      </c>
      <c r="M10" s="572">
        <f>SUMPRODUCT((区片价!B290:B316=I2)*(区片价!C3:F3=E2)*(区片价!C290:F316))</f>
        <v>0</v>
      </c>
      <c r="N10" s="573">
        <f>SUMPRODUCT((因素修正幅度!B290:B316=I2)*(因素修正幅度!C3:F3=E2)*(因素修正幅度!C290:F316))</f>
        <v>0</v>
      </c>
      <c r="O10" s="394"/>
      <c r="P10" s="394"/>
      <c r="Q10" s="394"/>
      <c r="R10" s="644">
        <v>9</v>
      </c>
      <c r="S10" s="646"/>
      <c r="T10" s="644" t="e">
        <f t="shared" si="0"/>
        <v>#DIV/0!</v>
      </c>
      <c r="U10" s="646"/>
      <c r="V10" s="644" t="e">
        <f t="shared" si="1"/>
        <v>#DIV/0!</v>
      </c>
      <c r="W10" s="3080"/>
      <c r="X10" s="649">
        <v>7</v>
      </c>
      <c r="Y10" s="660">
        <f>(-0.163*(Y9^2)-0.59*Y9+7617)*(10^(-4))</f>
        <v>0.76170000000000004</v>
      </c>
      <c r="Z10" s="660">
        <f>(-0.163*(Z9^2)-0.59*Z9+7617)*(10^(-4))</f>
        <v>0.76170000000000004</v>
      </c>
      <c r="AA10" s="660">
        <f>(-0.161*(AA9^2)-7.509*AA9+6533)*(10^(-4))</f>
        <v>0.65329999999999999</v>
      </c>
      <c r="AB10" s="660">
        <f>(-0.161*(AB9^2)-7.509*AB9+6533)*(10^(-4))</f>
        <v>0.65329999999999999</v>
      </c>
      <c r="AC10" s="660">
        <f>(-0.161*(AC9^2)-7.509*AC9+6533)*(10^(-4))</f>
        <v>0.65329999999999999</v>
      </c>
      <c r="AD10" s="660">
        <f>(-0.161*(AD9^2)-7.509*AD9+6533)*(10^(-4))</f>
        <v>0.65329999999999999</v>
      </c>
      <c r="AE10" s="660">
        <f>(-0.161*(AE9^2)-7.509*AE9+6533)*(10^(-4))</f>
        <v>0.65329999999999999</v>
      </c>
      <c r="AF10" s="660">
        <f>(-0.214*(AF9^2)-21.991*AF9+4665)*(10^(-4))</f>
        <v>0.46650000000000003</v>
      </c>
      <c r="AG10" s="660">
        <f>(-0.214*(AG9^2)-21.991*AG9+4665)*(10^(-4))</f>
        <v>0.46650000000000003</v>
      </c>
      <c r="AH10" s="660">
        <f>(-0.214*(AH9^2)-21.991*AH9+4665)*(10^(-4))</f>
        <v>0.46650000000000003</v>
      </c>
      <c r="AI10" s="660">
        <f>(-0.214*(AI9^2)-21.991*AI9+4665)*(10^(-4))</f>
        <v>0.46650000000000003</v>
      </c>
      <c r="AJ10" s="660">
        <f>(-0.214*(AJ9^2)-21.991*AJ9+4665)*(10^(-4))</f>
        <v>0.46650000000000003</v>
      </c>
    </row>
    <row r="11" spans="1:36" ht="15">
      <c r="A11" s="3083"/>
      <c r="B11" s="438" t="s">
        <v>1513</v>
      </c>
      <c r="C11" s="439">
        <f>C10/4</f>
        <v>0</v>
      </c>
      <c r="D11" s="439" t="s">
        <v>1514</v>
      </c>
      <c r="E11" s="439" t="e">
        <f>ROUND(C11/E7,4)</f>
        <v>#DIV/0!</v>
      </c>
      <c r="F11" s="440" t="s">
        <v>1515</v>
      </c>
      <c r="G11" s="441"/>
      <c r="H11" s="441"/>
      <c r="I11" s="441"/>
      <c r="J11" s="581"/>
      <c r="L11" s="571" t="s">
        <v>293</v>
      </c>
      <c r="M11" s="572">
        <f>SUMPRODUCT((区片价!B317:B337=I2)*(区片价!C3:F3=E2)*(区片价!C317:F337))</f>
        <v>0</v>
      </c>
      <c r="N11" s="573">
        <f>SUMPRODUCT((因素修正幅度!B317:B337=I2)*(因素修正幅度!C3:F3=E2)*(因素修正幅度!C317:F337))</f>
        <v>0</v>
      </c>
      <c r="O11" s="394"/>
      <c r="P11" s="394"/>
      <c r="Q11" s="394"/>
      <c r="R11" s="644">
        <v>10</v>
      </c>
      <c r="S11" s="646"/>
      <c r="T11" s="644" t="e">
        <f t="shared" si="0"/>
        <v>#DIV/0!</v>
      </c>
      <c r="U11" s="646"/>
      <c r="V11" s="644" t="e">
        <f t="shared" si="1"/>
        <v>#DIV/0!</v>
      </c>
      <c r="W11" s="3080" t="s">
        <v>1516</v>
      </c>
      <c r="X11" s="650" t="s">
        <v>1478</v>
      </c>
      <c r="Y11" s="661">
        <f>$G$3</f>
        <v>0</v>
      </c>
      <c r="Z11" s="661">
        <f t="shared" ref="Z11:AJ11" si="3">$G$3</f>
        <v>0</v>
      </c>
      <c r="AA11" s="661">
        <f t="shared" si="3"/>
        <v>0</v>
      </c>
      <c r="AB11" s="661">
        <f t="shared" si="3"/>
        <v>0</v>
      </c>
      <c r="AC11" s="661">
        <f t="shared" si="3"/>
        <v>0</v>
      </c>
      <c r="AD11" s="661">
        <f t="shared" si="3"/>
        <v>0</v>
      </c>
      <c r="AE11" s="661">
        <f t="shared" si="3"/>
        <v>0</v>
      </c>
      <c r="AF11" s="661">
        <f t="shared" si="3"/>
        <v>0</v>
      </c>
      <c r="AG11" s="661">
        <f t="shared" si="3"/>
        <v>0</v>
      </c>
      <c r="AH11" s="661">
        <f t="shared" si="3"/>
        <v>0</v>
      </c>
      <c r="AI11" s="661">
        <f t="shared" si="3"/>
        <v>0</v>
      </c>
      <c r="AJ11" s="661">
        <f t="shared" si="3"/>
        <v>0</v>
      </c>
    </row>
    <row r="12" spans="1:36" ht="24.75">
      <c r="A12" s="3082" t="str">
        <f>IF(E2="住宅",2,"")</f>
        <v/>
      </c>
      <c r="B12" s="442" t="s">
        <v>1517</v>
      </c>
      <c r="C12" s="425">
        <f>ROUND(C15*D15*E15*F15*G15*H15*I15*J15,4)</f>
        <v>1.32</v>
      </c>
      <c r="D12" s="443" t="s">
        <v>1518</v>
      </c>
      <c r="E12" s="444"/>
      <c r="F12" s="444"/>
      <c r="G12" s="445"/>
      <c r="H12" s="445"/>
      <c r="I12" s="445"/>
      <c r="J12" s="582"/>
      <c r="L12" s="583" t="s">
        <v>296</v>
      </c>
      <c r="M12" s="584">
        <f>SUMPRODUCT((区片价!B338:B344=I2)*(区片价!C3:F3=E2)*(区片价!C338:F344))</f>
        <v>0</v>
      </c>
      <c r="N12" s="585">
        <f>SUMPRODUCT((因素修正幅度!B338:B344=I2)*(因素修正幅度!C3:F3=E2)*(因素修正幅度!C338:F344))</f>
        <v>0</v>
      </c>
      <c r="O12" s="394"/>
      <c r="P12" s="394"/>
      <c r="Q12" s="394"/>
      <c r="R12" s="644">
        <v>11</v>
      </c>
      <c r="S12" s="646"/>
      <c r="T12" s="644" t="e">
        <f t="shared" si="0"/>
        <v>#DIV/0!</v>
      </c>
      <c r="U12" s="646"/>
      <c r="V12" s="644" t="e">
        <f t="shared" si="1"/>
        <v>#DIV/0!</v>
      </c>
      <c r="W12" s="3080"/>
      <c r="X12" s="651" t="s">
        <v>1519</v>
      </c>
      <c r="Y12" s="659">
        <f t="shared" ref="Y12:AJ12" si="4">Y9</f>
        <v>0</v>
      </c>
      <c r="Z12" s="659">
        <f t="shared" si="4"/>
        <v>0</v>
      </c>
      <c r="AA12" s="659">
        <f t="shared" si="4"/>
        <v>0</v>
      </c>
      <c r="AB12" s="659">
        <f t="shared" si="4"/>
        <v>0</v>
      </c>
      <c r="AC12" s="659">
        <f t="shared" si="4"/>
        <v>0</v>
      </c>
      <c r="AD12" s="659">
        <f t="shared" si="4"/>
        <v>0</v>
      </c>
      <c r="AE12" s="659">
        <f t="shared" si="4"/>
        <v>0</v>
      </c>
      <c r="AF12" s="659">
        <f t="shared" si="4"/>
        <v>0</v>
      </c>
      <c r="AG12" s="659">
        <f t="shared" si="4"/>
        <v>0</v>
      </c>
      <c r="AH12" s="659">
        <f t="shared" si="4"/>
        <v>0</v>
      </c>
      <c r="AI12" s="659">
        <f t="shared" si="4"/>
        <v>0</v>
      </c>
      <c r="AJ12" s="659">
        <f t="shared" si="4"/>
        <v>0</v>
      </c>
    </row>
    <row r="13" spans="1:36" ht="24">
      <c r="A13" s="3084"/>
      <c r="B13" s="446" t="s">
        <v>1520</v>
      </c>
      <c r="C13" s="447" t="s">
        <v>1521</v>
      </c>
      <c r="D13" s="448" t="s">
        <v>1522</v>
      </c>
      <c r="E13" s="448" t="s">
        <v>1523</v>
      </c>
      <c r="F13" s="449" t="s">
        <v>1524</v>
      </c>
      <c r="G13" s="450" t="s">
        <v>1525</v>
      </c>
      <c r="H13" s="450" t="s">
        <v>1525</v>
      </c>
      <c r="I13" s="450" t="s">
        <v>1525</v>
      </c>
      <c r="J13" s="586" t="s">
        <v>1525</v>
      </c>
      <c r="L13" s="394"/>
      <c r="M13" s="394"/>
      <c r="N13" s="394"/>
      <c r="O13" s="394"/>
      <c r="P13" s="394"/>
      <c r="Q13" s="394"/>
      <c r="R13" s="644">
        <v>12</v>
      </c>
      <c r="S13" s="646"/>
      <c r="T13" s="644" t="e">
        <f t="shared" si="0"/>
        <v>#DIV/0!</v>
      </c>
      <c r="U13" s="646"/>
      <c r="V13" s="644" t="e">
        <f t="shared" si="1"/>
        <v>#DIV/0!</v>
      </c>
      <c r="W13" s="3080"/>
      <c r="X13" s="651"/>
      <c r="Y13" s="660" t="e">
        <f>(-0.163*(Y12^2)-0.59*Y12+7617)*(10^(-4))/Y11</f>
        <v>#DIV/0!</v>
      </c>
      <c r="Z13" s="660" t="e">
        <f t="shared" ref="Z13:AJ13" si="5">(-0.163*(Z12^2)-0.59*Z12+7617)*(10^(-4))/Z11</f>
        <v>#DIV/0!</v>
      </c>
      <c r="AA13" s="660" t="e">
        <f t="shared" si="5"/>
        <v>#DIV/0!</v>
      </c>
      <c r="AB13" s="660" t="e">
        <f t="shared" si="5"/>
        <v>#DIV/0!</v>
      </c>
      <c r="AC13" s="660" t="e">
        <f t="shared" si="5"/>
        <v>#DIV/0!</v>
      </c>
      <c r="AD13" s="660" t="e">
        <f t="shared" si="5"/>
        <v>#DIV/0!</v>
      </c>
      <c r="AE13" s="660" t="e">
        <f t="shared" si="5"/>
        <v>#DIV/0!</v>
      </c>
      <c r="AF13" s="660" t="e">
        <f t="shared" si="5"/>
        <v>#DIV/0!</v>
      </c>
      <c r="AG13" s="660" t="e">
        <f t="shared" si="5"/>
        <v>#DIV/0!</v>
      </c>
      <c r="AH13" s="660" t="e">
        <f t="shared" si="5"/>
        <v>#DIV/0!</v>
      </c>
      <c r="AI13" s="660" t="e">
        <f t="shared" si="5"/>
        <v>#DIV/0!</v>
      </c>
      <c r="AJ13" s="660" t="e">
        <f t="shared" si="5"/>
        <v>#DIV/0!</v>
      </c>
    </row>
    <row r="14" spans="1:36" ht="15">
      <c r="A14" s="3084"/>
      <c r="B14" s="451"/>
      <c r="C14" s="452" t="s">
        <v>1526</v>
      </c>
      <c r="D14" s="453" t="s">
        <v>1527</v>
      </c>
      <c r="E14" s="453" t="s">
        <v>1527</v>
      </c>
      <c r="F14" s="454" t="s">
        <v>1528</v>
      </c>
      <c r="G14" s="455" t="s">
        <v>1529</v>
      </c>
      <c r="H14" s="456"/>
      <c r="I14" s="587"/>
      <c r="J14" s="588"/>
      <c r="L14" s="394"/>
      <c r="M14" s="394"/>
      <c r="N14" s="394"/>
      <c r="O14" s="394"/>
      <c r="P14" s="394"/>
      <c r="Q14" s="394"/>
      <c r="R14" s="644">
        <v>13</v>
      </c>
      <c r="S14" s="646"/>
      <c r="T14" s="644" t="e">
        <f t="shared" si="0"/>
        <v>#DIV/0!</v>
      </c>
      <c r="U14" s="646"/>
      <c r="V14" s="644" t="e">
        <f t="shared" si="1"/>
        <v>#DIV/0!</v>
      </c>
      <c r="W14" s="645"/>
      <c r="X14" s="645"/>
      <c r="Y14" s="645"/>
      <c r="Z14" s="645"/>
      <c r="AA14" s="645"/>
      <c r="AB14" s="645"/>
      <c r="AC14" s="652"/>
      <c r="AD14" s="653"/>
      <c r="AE14" s="653"/>
      <c r="AF14" s="653"/>
      <c r="AG14" s="653"/>
      <c r="AH14" s="653"/>
      <c r="AI14" s="653"/>
      <c r="AJ14" s="663"/>
    </row>
    <row r="15" spans="1:36" ht="15">
      <c r="A15" s="3085"/>
      <c r="B15" s="457" t="s">
        <v>1334</v>
      </c>
      <c r="C15" s="458">
        <f>IF(C14="有",1.1,1)</f>
        <v>1.1000000000000001</v>
      </c>
      <c r="D15" s="458">
        <f>IF(D14="有",1.1,1)</f>
        <v>1</v>
      </c>
      <c r="E15" s="458">
        <f>IF(E14="有",1.1,1)</f>
        <v>1</v>
      </c>
      <c r="F15" s="458">
        <f>IF(F14="500米范围内",1.2,IF(F14="500-1000米",1.1,1))</f>
        <v>1.2</v>
      </c>
      <c r="G15" s="459">
        <v>1</v>
      </c>
      <c r="H15" s="459">
        <v>1</v>
      </c>
      <c r="I15" s="459">
        <v>1</v>
      </c>
      <c r="J15" s="589">
        <v>1</v>
      </c>
      <c r="Q15" s="394"/>
      <c r="R15" s="644">
        <v>14</v>
      </c>
      <c r="S15" s="646"/>
      <c r="T15" s="644" t="e">
        <f t="shared" si="0"/>
        <v>#DIV/0!</v>
      </c>
      <c r="U15" s="646"/>
      <c r="V15" s="644" t="e">
        <f t="shared" si="1"/>
        <v>#DIV/0!</v>
      </c>
      <c r="W15" s="645"/>
      <c r="X15" s="645"/>
      <c r="Y15" s="645"/>
      <c r="Z15" s="645"/>
      <c r="AA15" s="645"/>
      <c r="AB15" s="645"/>
      <c r="AC15" s="652"/>
      <c r="AD15" s="653"/>
      <c r="AE15" s="653"/>
      <c r="AF15" s="653"/>
      <c r="AG15" s="653"/>
      <c r="AH15" s="653"/>
      <c r="AI15" s="653"/>
      <c r="AJ15" s="663"/>
    </row>
    <row r="16" spans="1:36" ht="24.6" customHeight="1">
      <c r="A16" s="3086" t="b">
        <f>IF(E2="办公",2,IF(E2="工业",2,IF(E2="住宅",3,IF(E2="商业",IF(C8="不临58条商业街",2,3)))))</f>
        <v>0</v>
      </c>
      <c r="B16" s="460" t="s">
        <v>1530</v>
      </c>
      <c r="C16" s="461" t="e">
        <f>ROUND(IF(F17="与级别开发程度一致",0,(G17-E17)/C17),0)</f>
        <v>#DIV/0!</v>
      </c>
      <c r="D16" s="3077" t="s">
        <v>1531</v>
      </c>
      <c r="E16" s="3078"/>
      <c r="F16" s="3077" t="s">
        <v>1532</v>
      </c>
      <c r="G16" s="3078"/>
      <c r="H16" s="463"/>
      <c r="I16" s="463"/>
      <c r="J16" s="590"/>
      <c r="K16" s="463"/>
      <c r="L16" s="463"/>
      <c r="M16" s="463"/>
      <c r="N16" s="463"/>
      <c r="O16" s="591"/>
      <c r="Q16" s="394"/>
      <c r="R16" s="644">
        <v>15</v>
      </c>
      <c r="S16" s="646"/>
      <c r="T16" s="644" t="e">
        <f t="shared" si="0"/>
        <v>#DIV/0!</v>
      </c>
      <c r="U16" s="646"/>
      <c r="V16" s="644" t="e">
        <f t="shared" si="1"/>
        <v>#DIV/0!</v>
      </c>
      <c r="W16" s="645"/>
      <c r="X16" s="645"/>
      <c r="Y16" s="645"/>
      <c r="Z16" s="645"/>
      <c r="AA16" s="645"/>
      <c r="AB16" s="645"/>
      <c r="AC16" s="652"/>
      <c r="AD16" s="653"/>
      <c r="AE16" s="653"/>
      <c r="AF16" s="653"/>
      <c r="AG16" s="653"/>
      <c r="AH16" s="653"/>
      <c r="AI16" s="653"/>
      <c r="AJ16" s="663"/>
    </row>
    <row r="17" spans="1:37">
      <c r="A17" s="3087"/>
      <c r="B17" s="464" t="s">
        <v>1533</v>
      </c>
      <c r="C17" s="465">
        <f>SUMPRODUCT((修正!A2:A5=E2)*(修正!B1:M1=G2)*(修正!B2:M5))</f>
        <v>0</v>
      </c>
      <c r="D17" s="458" t="str">
        <f>IF(OR(G2="八级",G2="九级",G2="十级",G2="十一级",G2="十二级"),"五通一平","七通一平")</f>
        <v>七通一平</v>
      </c>
      <c r="E17" s="466">
        <f>SUMPRODUCT((修正!B1:M1=G2)*(修正!B15:M15))</f>
        <v>375</v>
      </c>
      <c r="F17" s="467"/>
      <c r="G17" s="468">
        <f>SUM(H17:O17)</f>
        <v>0</v>
      </c>
      <c r="H17" s="465">
        <f>SUMPRODUCT((七通一平=H16)*(修正!B1:M1=G2)*(修正!B6:M14))</f>
        <v>0</v>
      </c>
      <c r="I17" s="465">
        <f>SUMPRODUCT((七通一平=I16)*(修正!B1:M1=G2)*(修正!B6:M14))</f>
        <v>0</v>
      </c>
      <c r="J17" s="592">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3">
        <f>SUMPRODUCT((七通一平=O16)*(修正!B1:M1=G2)*(修正!B6:M14))</f>
        <v>0</v>
      </c>
      <c r="Q17" s="394"/>
      <c r="R17" s="394"/>
      <c r="S17" s="394"/>
      <c r="T17" s="394"/>
      <c r="U17" s="394"/>
      <c r="V17" s="394"/>
      <c r="W17" s="394"/>
      <c r="X17" s="394"/>
      <c r="Y17" s="394"/>
      <c r="Z17" s="539"/>
      <c r="AA17" s="539"/>
      <c r="AB17" s="539"/>
      <c r="AC17" s="539"/>
      <c r="AD17" s="539"/>
      <c r="AE17" s="394"/>
      <c r="AF17" s="394"/>
      <c r="AG17" s="393"/>
      <c r="AH17" s="393"/>
      <c r="AI17" s="393"/>
      <c r="AJ17" s="393"/>
    </row>
    <row r="18" spans="1:37" s="389" customFormat="1" ht="15">
      <c r="A18" s="469" t="s">
        <v>1534</v>
      </c>
      <c r="B18" s="470" t="s">
        <v>1535</v>
      </c>
      <c r="C18" s="471">
        <f>SUMIF(修正!C18:C39,E3,修正!E18:E39)</f>
        <v>0</v>
      </c>
      <c r="D18" s="472"/>
      <c r="E18" s="473"/>
      <c r="F18" s="473"/>
      <c r="G18" s="473"/>
      <c r="H18" s="473"/>
      <c r="I18" s="473"/>
      <c r="J18" s="594"/>
      <c r="K18" s="595"/>
      <c r="O18" s="394"/>
      <c r="P18" s="394"/>
      <c r="Q18" s="394"/>
      <c r="R18" s="394"/>
      <c r="S18" s="394"/>
      <c r="T18" s="394"/>
      <c r="U18" s="394"/>
      <c r="V18" s="394"/>
      <c r="W18" s="394"/>
      <c r="X18" s="394"/>
      <c r="Y18" s="394"/>
      <c r="Z18" s="394"/>
      <c r="AA18" s="394"/>
      <c r="AB18" s="394"/>
      <c r="AC18" s="394"/>
      <c r="AD18" s="394"/>
      <c r="AE18" s="539"/>
      <c r="AF18" s="539"/>
      <c r="AG18" s="391"/>
      <c r="AH18" s="391"/>
      <c r="AI18" s="391"/>
    </row>
    <row r="19" spans="1:37" s="389" customFormat="1" ht="28.5">
      <c r="A19" s="469" t="s">
        <v>1536</v>
      </c>
      <c r="B19" s="474" t="s">
        <v>1537</v>
      </c>
      <c r="C19" s="475">
        <f>ROUND(IF(H19="按公示增长率计算",SUMPRODUCT((地价!A3:A27=YEAR(G19)&amp;"-"&amp;ROUNDUP(MONTH(G19)/3,0))*(地价!X2:AB2=E2)*(地价!X3:AB27)),IF(H19="地价指数",M20/M19,(1+I19)^O19)),4)</f>
        <v>0</v>
      </c>
      <c r="D19" s="476" t="s">
        <v>1538</v>
      </c>
      <c r="E19" s="477">
        <v>41640</v>
      </c>
      <c r="F19" s="476" t="s">
        <v>1539</v>
      </c>
      <c r="G19" s="478">
        <f>'数据-取费表'!B2</f>
        <v>43646</v>
      </c>
      <c r="H19" s="479" t="s">
        <v>1540</v>
      </c>
      <c r="I19" s="596" t="str">
        <f>IF(H19="季度增幅（自定义）",SUMIF(N21:N24,E2,O21:O24),"")</f>
        <v/>
      </c>
      <c r="J19" s="597"/>
      <c r="K19" s="595"/>
      <c r="L19" s="598" t="s">
        <v>1541</v>
      </c>
      <c r="M19" s="599">
        <f>ROUND(SUMIF(地价!B2:F2,E2,地价!B27:F27),0)</f>
        <v>0</v>
      </c>
      <c r="N19" s="600" t="s">
        <v>1542</v>
      </c>
      <c r="O19" s="601">
        <f>ROUNDDOWN(DATEDIF(E19,G19,"M")/3,0)</f>
        <v>21</v>
      </c>
      <c r="P19" s="539"/>
      <c r="R19" s="394"/>
      <c r="S19" s="394"/>
      <c r="T19" s="394"/>
      <c r="U19" s="394"/>
      <c r="V19" s="394"/>
      <c r="W19" s="394"/>
      <c r="X19" s="394"/>
      <c r="Y19" s="394"/>
      <c r="Z19" s="394"/>
      <c r="AA19" s="394"/>
      <c r="AB19" s="394"/>
      <c r="AC19" s="394"/>
      <c r="AD19" s="394"/>
      <c r="AE19" s="595"/>
      <c r="AF19" s="662"/>
      <c r="AG19" s="665"/>
      <c r="AH19" s="391"/>
      <c r="AI19" s="666"/>
      <c r="AJ19" s="666"/>
      <c r="AK19" s="666"/>
    </row>
    <row r="20" spans="1:37" s="389" customFormat="1" ht="27">
      <c r="A20" s="480" t="s">
        <v>1543</v>
      </c>
      <c r="B20" s="481" t="s">
        <v>1544</v>
      </c>
      <c r="C20" s="482" t="e">
        <f>ROUND(POWER(1+G20,J20-I20)*(POWER(1+G20,I20)-1)/(POWER(1+G20,J20)-1),4)</f>
        <v>#DIV/0!</v>
      </c>
      <c r="D20" s="483" t="s">
        <v>1545</v>
      </c>
      <c r="E20" s="484">
        <f ca="1">存贷款利率!D4/100</f>
        <v>4.3499999999999997E-2</v>
      </c>
      <c r="F20" s="483" t="s">
        <v>1546</v>
      </c>
      <c r="G20" s="485">
        <f>SUMIF(M26:P26,E2,M28:P28)</f>
        <v>0</v>
      </c>
      <c r="H20" s="483" t="s">
        <v>1547</v>
      </c>
      <c r="I20" s="462">
        <f>'数据-取费表'!B13</f>
        <v>24.74</v>
      </c>
      <c r="J20" s="602">
        <f>IF(E2="住宅",70,IF(E2="商业",40,50))</f>
        <v>50</v>
      </c>
      <c r="K20" s="595"/>
      <c r="L20" s="603" t="s">
        <v>1548</v>
      </c>
      <c r="M20" s="604">
        <f>ROUND(SUMPRODUCT((地价!A4:A27=YEAR(G19)&amp;"-"&amp;ROUNDUP(MONTH(G19)/3,0))*(地价!B2:F2=E2)*(地价!B4:F27)),0)</f>
        <v>0</v>
      </c>
      <c r="N20" s="605" t="s">
        <v>1549</v>
      </c>
      <c r="O20" s="606" t="s">
        <v>1550</v>
      </c>
      <c r="P20" s="607" t="s">
        <v>1551</v>
      </c>
      <c r="R20" s="394"/>
      <c r="S20" s="394"/>
      <c r="T20" s="394"/>
      <c r="U20" s="394"/>
      <c r="V20" s="394"/>
      <c r="W20" s="394"/>
      <c r="X20" s="394"/>
      <c r="Y20" s="394"/>
      <c r="Z20" s="394"/>
      <c r="AA20" s="394"/>
      <c r="AB20" s="394"/>
      <c r="AC20" s="394"/>
      <c r="AD20" s="394"/>
      <c r="AE20" s="595"/>
      <c r="AF20" s="595"/>
    </row>
    <row r="21" spans="1:37" s="389" customFormat="1" ht="14.25">
      <c r="A21" s="486" t="s">
        <v>1552</v>
      </c>
      <c r="B21" s="487" t="s">
        <v>1553</v>
      </c>
      <c r="C21" s="488" t="b">
        <f>IF(B21="容积率修正",IF(G3&lt;=10,D22,J22),C23)</f>
        <v>0</v>
      </c>
      <c r="D21" s="489"/>
      <c r="E21" s="489"/>
      <c r="F21" s="489"/>
      <c r="G21" s="489"/>
      <c r="H21" s="489"/>
      <c r="I21" s="489"/>
      <c r="J21" s="608"/>
      <c r="K21" s="595"/>
      <c r="N21" s="609" t="s">
        <v>1554</v>
      </c>
      <c r="O21" s="610"/>
      <c r="P21" s="611">
        <f>SUMPRODUCT((地价!A3:A27=YEAR(G19)&amp;"-"&amp;ROUNDUP(MONTH(G19)/3,0))*(地价!AD2:AH2=N21)*(地价!AD3:AH27))</f>
        <v>1.4999999999999999E-2</v>
      </c>
      <c r="R21" s="394"/>
      <c r="S21" s="394"/>
      <c r="T21" s="394"/>
      <c r="U21" s="394"/>
      <c r="V21" s="394"/>
      <c r="W21" s="394"/>
      <c r="X21" s="394"/>
      <c r="Y21" s="394"/>
      <c r="Z21" s="394"/>
      <c r="AA21" s="394"/>
      <c r="AB21" s="394"/>
      <c r="AC21" s="394"/>
      <c r="AD21" s="394"/>
      <c r="AE21" s="595"/>
      <c r="AF21" s="595"/>
    </row>
    <row r="22" spans="1:37" s="389" customFormat="1" ht="14.25">
      <c r="A22" s="490">
        <v>1</v>
      </c>
      <c r="B22" s="491" t="s">
        <v>1555</v>
      </c>
      <c r="C22" s="492" t="s">
        <v>1556</v>
      </c>
      <c r="D22" s="492" t="b">
        <f>IF(E22=G22,F22,IF(G3&lt;=10,ROUND(F22+(H22-F22)*(G3-E22)/(G22-E22),4),"——"))</f>
        <v>0</v>
      </c>
      <c r="E22" s="410">
        <f>ROUNDDOWN(G3,1)</f>
        <v>0</v>
      </c>
      <c r="F22" s="49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10">
        <f>ROUNDUP(G3,1)</f>
        <v>0</v>
      </c>
      <c r="H22" s="4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2" t="s">
        <v>1557</v>
      </c>
      <c r="J22" s="612" t="str">
        <f>IF(G3&gt;10,D113,"——")</f>
        <v>——</v>
      </c>
      <c r="K22" s="595"/>
      <c r="N22" s="609" t="s">
        <v>1558</v>
      </c>
      <c r="O22" s="610"/>
      <c r="P22" s="611">
        <f>SUMPRODUCT((地价!A3:A27=YEAR(G19)&amp;"-"&amp;ROUNDUP(MONTH(G19)/3,0))*(地价!AD2:AH2=N22)*(地价!AD3:AH27))</f>
        <v>1.4999999999999999E-2</v>
      </c>
      <c r="R22" s="394"/>
      <c r="S22" s="394"/>
      <c r="T22" s="394"/>
      <c r="U22" s="394"/>
      <c r="V22" s="394"/>
      <c r="W22" s="394"/>
      <c r="X22" s="394"/>
      <c r="Y22" s="394"/>
      <c r="Z22" s="394"/>
      <c r="AA22" s="394"/>
      <c r="AB22" s="394"/>
      <c r="AC22" s="394"/>
      <c r="AD22" s="394"/>
      <c r="AE22" s="595"/>
      <c r="AF22" s="595"/>
    </row>
    <row r="23" spans="1:37" ht="27">
      <c r="A23" s="490">
        <v>2</v>
      </c>
      <c r="B23" s="491" t="s">
        <v>1559</v>
      </c>
      <c r="C23" s="493" t="e">
        <f>ROUND(IF(G3&gt;1,IF(I3&lt;7,SUMPRODUCT((B93:B98=I3)*(C92:N92=G2)*(C93:N98)),SUMIF(C92:N92,G2,C100:N100)),IF(I3&lt;7,SUMPRODUCT((B102:B107=I3)*(C92:N92=G2)*(C102:N107)),SUMIF(C92:N92,G2,C109:N109))),4)</f>
        <v>#DIV/0!</v>
      </c>
      <c r="D23" s="456"/>
      <c r="E23" s="456"/>
      <c r="F23" s="494"/>
      <c r="G23" s="495"/>
      <c r="H23" s="496"/>
      <c r="I23" s="613"/>
      <c r="J23" s="614"/>
      <c r="N23" s="609" t="s">
        <v>1560</v>
      </c>
      <c r="O23" s="610"/>
      <c r="P23" s="611">
        <f>SUMPRODUCT((地价!A3:A27=YEAR(G19)&amp;"-"&amp;ROUNDUP(MONTH(G19)/3,0))*(地价!AD2:AH2=N23)*(地价!AD3:AH27))</f>
        <v>2.3300000000000001E-2</v>
      </c>
      <c r="R23" s="394"/>
      <c r="S23" s="394"/>
      <c r="T23" s="394"/>
      <c r="U23" s="394"/>
      <c r="V23" s="394"/>
      <c r="W23" s="394"/>
      <c r="X23" s="394"/>
      <c r="Y23" s="394"/>
      <c r="Z23" s="394"/>
      <c r="AA23" s="394"/>
      <c r="AB23" s="394"/>
      <c r="AC23" s="394"/>
      <c r="AD23" s="394"/>
      <c r="AE23" s="539"/>
      <c r="AF23" s="539"/>
      <c r="AK23" s="391"/>
    </row>
    <row r="24" spans="1:37" s="389" customFormat="1" ht="15">
      <c r="A24" s="497" t="s">
        <v>1561</v>
      </c>
      <c r="B24" s="498" t="s">
        <v>1562</v>
      </c>
      <c r="C24" s="499">
        <f>SUMIF(A46:A88,E2,B46:B88)</f>
        <v>0</v>
      </c>
      <c r="D24" s="500"/>
      <c r="E24" s="501"/>
      <c r="F24" s="501"/>
      <c r="G24" s="501"/>
      <c r="H24" s="501"/>
      <c r="I24" s="501"/>
      <c r="J24" s="615"/>
      <c r="K24" s="595"/>
      <c r="N24" s="616" t="s">
        <v>1563</v>
      </c>
      <c r="O24" s="617"/>
      <c r="P24" s="618">
        <f>SUMPRODUCT((地价!A3:A27=YEAR(G19)&amp;"-"&amp;ROUNDUP(MONTH(G19)/3,0))*(地价!AD2:AH2=N24)*(地价!AD3:AH27))</f>
        <v>1.46E-2</v>
      </c>
      <c r="R24" s="394"/>
      <c r="S24" s="394"/>
      <c r="T24" s="394"/>
      <c r="U24" s="394"/>
      <c r="V24" s="394"/>
      <c r="W24" s="394"/>
      <c r="X24" s="394"/>
      <c r="Y24" s="394"/>
      <c r="Z24" s="394"/>
      <c r="AA24" s="394"/>
      <c r="AB24" s="394"/>
      <c r="AC24" s="394"/>
      <c r="AD24" s="394"/>
      <c r="AE24" s="595"/>
      <c r="AF24" s="595"/>
    </row>
    <row r="25" spans="1:37" ht="14.25">
      <c r="A25" s="480" t="s">
        <v>1564</v>
      </c>
      <c r="B25" s="502" t="s">
        <v>1565</v>
      </c>
      <c r="C25" s="503"/>
      <c r="D25" s="429"/>
      <c r="E25" s="429"/>
      <c r="F25" s="504"/>
      <c r="G25" s="429"/>
      <c r="H25" s="429"/>
      <c r="I25" s="429"/>
      <c r="J25" s="579"/>
      <c r="L25" s="394"/>
      <c r="M25" s="394"/>
      <c r="N25" s="619" t="s">
        <v>1566</v>
      </c>
      <c r="O25" s="620"/>
      <c r="P25" s="618">
        <f>SUMPRODUCT((地价!A3:A27=YEAR(G19)&amp;"-"&amp;ROUNDUP(MONTH(G19)/3,0))*(地价!AD2:AH2=N25)*(地价!AD3:AH27))</f>
        <v>2.1299999999999999E-2</v>
      </c>
      <c r="R25" s="394"/>
      <c r="S25" s="394"/>
      <c r="T25" s="394"/>
      <c r="U25" s="394"/>
      <c r="V25" s="394"/>
      <c r="W25" s="394"/>
      <c r="X25" s="394"/>
      <c r="Y25" s="394"/>
      <c r="Z25" s="394"/>
      <c r="AA25" s="394"/>
      <c r="AB25" s="394"/>
      <c r="AC25" s="394"/>
      <c r="AD25" s="394"/>
      <c r="AE25" s="539"/>
      <c r="AF25" s="539"/>
    </row>
    <row r="26" spans="1:37" ht="15">
      <c r="A26" s="505"/>
      <c r="B26" s="491" t="s">
        <v>1567</v>
      </c>
      <c r="C26" s="506" t="e">
        <f>E29+SUM(E33:E39)</f>
        <v>#DIV/0!</v>
      </c>
      <c r="D26" s="507"/>
      <c r="E26" s="456"/>
      <c r="F26" s="508"/>
      <c r="G26" s="456"/>
      <c r="H26" s="456"/>
      <c r="I26" s="456"/>
      <c r="J26" s="621"/>
      <c r="L26" s="622" t="s">
        <v>1568</v>
      </c>
      <c r="M26" s="432" t="s">
        <v>1569</v>
      </c>
      <c r="N26" s="432" t="s">
        <v>1570</v>
      </c>
      <c r="O26" s="432" t="s">
        <v>1571</v>
      </c>
      <c r="P26" s="623" t="s">
        <v>1572</v>
      </c>
      <c r="Q26" s="394"/>
      <c r="R26" s="394"/>
      <c r="S26" s="394"/>
      <c r="T26" s="394"/>
      <c r="U26" s="394"/>
      <c r="V26" s="394"/>
      <c r="W26" s="394"/>
      <c r="X26" s="394"/>
      <c r="Y26" s="394"/>
      <c r="Z26" s="394"/>
      <c r="AA26" s="394"/>
      <c r="AB26" s="394"/>
      <c r="AC26" s="394"/>
      <c r="AD26" s="394"/>
      <c r="AE26" s="539"/>
      <c r="AF26" s="539"/>
    </row>
    <row r="27" spans="1:37" ht="15">
      <c r="A27" s="505"/>
      <c r="B27" s="509" t="s">
        <v>1573</v>
      </c>
      <c r="C27" s="510" t="e">
        <f>E30+SUM(I33:I39)</f>
        <v>#DIV/0!</v>
      </c>
      <c r="D27" s="511"/>
      <c r="E27" s="512"/>
      <c r="F27" s="513"/>
      <c r="G27" s="512"/>
      <c r="H27" s="512"/>
      <c r="I27" s="512"/>
      <c r="J27" s="624"/>
      <c r="L27" s="625" t="s">
        <v>1574</v>
      </c>
      <c r="M27" s="436">
        <v>0.25</v>
      </c>
      <c r="N27" s="436">
        <v>0.2</v>
      </c>
      <c r="O27" s="436">
        <v>0.15</v>
      </c>
      <c r="P27" s="626">
        <v>0.1</v>
      </c>
      <c r="Q27" s="394"/>
      <c r="R27" s="394"/>
      <c r="S27" s="394"/>
      <c r="T27" s="394"/>
      <c r="U27" s="394"/>
      <c r="V27" s="394"/>
      <c r="W27" s="394"/>
      <c r="X27" s="394"/>
      <c r="Y27" s="394"/>
      <c r="Z27" s="394"/>
      <c r="AA27" s="394"/>
      <c r="AB27" s="394"/>
      <c r="AC27" s="394"/>
      <c r="AD27" s="394"/>
      <c r="AE27" s="539"/>
      <c r="AF27" s="539"/>
    </row>
    <row r="28" spans="1:37" ht="15">
      <c r="A28" s="480"/>
      <c r="B28" s="514" t="s">
        <v>1575</v>
      </c>
      <c r="C28" s="515" t="s">
        <v>1576</v>
      </c>
      <c r="D28" s="515" t="s">
        <v>1577</v>
      </c>
      <c r="E28" s="516" t="s">
        <v>1578</v>
      </c>
      <c r="F28" s="517"/>
      <c r="G28" s="445"/>
      <c r="H28" s="445"/>
      <c r="I28" s="445"/>
      <c r="J28" s="582"/>
      <c r="L28" s="627" t="s">
        <v>1546</v>
      </c>
      <c r="M28" s="628">
        <f ca="1">ROUND($E$20*(1+M27),3)</f>
        <v>5.3999999999999999E-2</v>
      </c>
      <c r="N28" s="628">
        <f ca="1">ROUND($E$20*(1+N27),3)</f>
        <v>5.1999999999999998E-2</v>
      </c>
      <c r="O28" s="628">
        <f ca="1">ROUND($E$20*(1+O27),3)</f>
        <v>0.05</v>
      </c>
      <c r="P28" s="629">
        <f ca="1">ROUND($E$20*(1+P27),3)</f>
        <v>4.8000000000000001E-2</v>
      </c>
      <c r="Q28" s="394"/>
      <c r="R28" s="394"/>
      <c r="S28" s="394"/>
      <c r="T28" s="394"/>
      <c r="U28" s="394"/>
      <c r="V28" s="394"/>
      <c r="W28" s="394"/>
      <c r="X28" s="394"/>
      <c r="Y28" s="394"/>
      <c r="Z28" s="394"/>
      <c r="AA28" s="394"/>
      <c r="AB28" s="394"/>
      <c r="AC28" s="394"/>
      <c r="AD28" s="394"/>
      <c r="AE28" s="539"/>
      <c r="AF28" s="539"/>
    </row>
    <row r="29" spans="1:37">
      <c r="A29" s="430"/>
      <c r="B29" s="518" t="s">
        <v>1579</v>
      </c>
      <c r="C29" s="506" t="e">
        <f>ROUND(C5*C18*C19*C20*C21*C24,0)</f>
        <v>#DIV/0!</v>
      </c>
      <c r="D29" s="519"/>
      <c r="E29" s="520" t="e">
        <f>ROUND(C29*D29,0)</f>
        <v>#DIV/0!</v>
      </c>
      <c r="F29" s="521" t="s">
        <v>1580</v>
      </c>
      <c r="G29" s="522"/>
      <c r="H29" s="522"/>
      <c r="I29" s="522"/>
      <c r="J29" s="630"/>
      <c r="L29" s="394"/>
      <c r="M29" s="394"/>
      <c r="N29" s="394"/>
      <c r="O29" s="394"/>
      <c r="P29" s="394"/>
      <c r="Q29" s="394"/>
      <c r="R29" s="394"/>
      <c r="S29" s="394"/>
      <c r="T29" s="394"/>
      <c r="U29" s="394"/>
      <c r="V29" s="394"/>
      <c r="W29" s="394"/>
      <c r="X29" s="394"/>
      <c r="Y29" s="394"/>
      <c r="Z29" s="394"/>
      <c r="AA29" s="394"/>
      <c r="AB29" s="394"/>
      <c r="AC29" s="394"/>
      <c r="AD29" s="394"/>
      <c r="AE29" s="394"/>
      <c r="AF29" s="394"/>
      <c r="AG29" s="393"/>
      <c r="AH29" s="393"/>
      <c r="AI29" s="393"/>
      <c r="AJ29" s="393"/>
    </row>
    <row r="30" spans="1:37" ht="24.75">
      <c r="A30" s="523"/>
      <c r="B30" s="524" t="s">
        <v>1581</v>
      </c>
      <c r="C30" s="458" t="e">
        <f>ROUND(IF(E2="工业",C29*M39,C29*M38),0)</f>
        <v>#DIV/0!</v>
      </c>
      <c r="D30" s="525"/>
      <c r="E30" s="520" t="e">
        <f>ROUND(C30*D30,0)</f>
        <v>#DIV/0!</v>
      </c>
      <c r="F30" s="526" t="s">
        <v>1582</v>
      </c>
      <c r="G30" s="527"/>
      <c r="H30" s="527"/>
      <c r="I30" s="527"/>
      <c r="J30" s="631"/>
      <c r="L30" s="394"/>
      <c r="M30" s="394"/>
      <c r="N30" s="394"/>
      <c r="O30" s="394"/>
      <c r="P30" s="394"/>
      <c r="Q30" s="394"/>
      <c r="R30" s="394"/>
      <c r="S30" s="394"/>
      <c r="T30" s="394"/>
      <c r="U30" s="394"/>
      <c r="V30" s="394"/>
      <c r="W30" s="394"/>
      <c r="X30" s="394"/>
      <c r="Y30" s="394"/>
      <c r="Z30" s="394"/>
      <c r="AA30" s="394"/>
      <c r="AB30" s="394"/>
      <c r="AC30" s="394"/>
      <c r="AD30" s="394"/>
      <c r="AE30" s="394"/>
      <c r="AF30" s="394"/>
      <c r="AG30" s="393"/>
      <c r="AH30" s="393"/>
      <c r="AI30" s="393"/>
      <c r="AJ30" s="393"/>
    </row>
    <row r="31" spans="1:37">
      <c r="A31" s="528"/>
      <c r="B31" s="529" t="s">
        <v>1583</v>
      </c>
      <c r="C31" s="530" t="s">
        <v>1584</v>
      </c>
      <c r="D31" s="445"/>
      <c r="E31" s="530"/>
      <c r="F31" s="530"/>
      <c r="G31" s="443" t="s">
        <v>1582</v>
      </c>
      <c r="H31" s="445"/>
      <c r="I31" s="632"/>
      <c r="J31" s="582"/>
      <c r="L31" s="394"/>
      <c r="M31" s="394"/>
      <c r="N31" s="394"/>
      <c r="O31" s="394"/>
      <c r="P31" s="394"/>
      <c r="Q31" s="394"/>
      <c r="R31" s="394"/>
      <c r="S31" s="394"/>
      <c r="T31" s="394"/>
      <c r="U31" s="394"/>
      <c r="V31" s="394"/>
      <c r="W31" s="394"/>
      <c r="X31" s="394"/>
      <c r="Y31" s="394"/>
      <c r="Z31" s="394"/>
      <c r="AA31" s="394"/>
      <c r="AB31" s="394"/>
      <c r="AC31" s="394"/>
      <c r="AD31" s="394"/>
      <c r="AE31" s="394"/>
      <c r="AF31" s="394"/>
      <c r="AG31" s="393"/>
      <c r="AH31" s="393"/>
      <c r="AI31" s="393"/>
      <c r="AJ31" s="393"/>
    </row>
    <row r="32" spans="1:37" ht="24">
      <c r="A32" s="430"/>
      <c r="B32" s="531"/>
      <c r="C32" s="532" t="s">
        <v>1576</v>
      </c>
      <c r="D32" s="533" t="s">
        <v>1577</v>
      </c>
      <c r="E32" s="533" t="s">
        <v>1578</v>
      </c>
      <c r="F32" s="534" t="s">
        <v>1585</v>
      </c>
      <c r="G32" s="493" t="s">
        <v>1576</v>
      </c>
      <c r="H32" s="493" t="s">
        <v>1577</v>
      </c>
      <c r="I32" s="493" t="s">
        <v>1578</v>
      </c>
      <c r="J32" s="633"/>
      <c r="L32" s="394"/>
      <c r="M32" s="394"/>
      <c r="N32" s="394"/>
      <c r="O32" s="394"/>
      <c r="P32" s="394"/>
      <c r="Q32" s="394"/>
      <c r="R32" s="394"/>
      <c r="S32" s="394"/>
      <c r="T32" s="394"/>
      <c r="U32" s="394"/>
      <c r="V32" s="394"/>
      <c r="W32" s="394"/>
      <c r="X32" s="394"/>
      <c r="Y32" s="394"/>
      <c r="Z32" s="394"/>
      <c r="AA32" s="394"/>
      <c r="AB32" s="394"/>
      <c r="AC32" s="394"/>
      <c r="AD32" s="394"/>
      <c r="AE32" s="394"/>
      <c r="AF32" s="394"/>
      <c r="AG32" s="393"/>
      <c r="AH32" s="393"/>
      <c r="AI32" s="393"/>
      <c r="AJ32" s="393"/>
    </row>
    <row r="33" spans="1:37">
      <c r="A33" s="3088" t="s">
        <v>1586</v>
      </c>
      <c r="B33" s="535" t="s">
        <v>1587</v>
      </c>
      <c r="C33" s="506" t="e">
        <f>ROUND(D5*C19*C20*C24*F33,0)</f>
        <v>#DIV/0!</v>
      </c>
      <c r="D33" s="519"/>
      <c r="E33" s="437" t="e">
        <f t="shared" ref="E33:E39" si="6">ROUND(C33*D33,0)</f>
        <v>#DIV/0!</v>
      </c>
      <c r="F33" s="437">
        <f>SUMIF(修正!A45:A56,G2,修正!B45:B56)</f>
        <v>0.8</v>
      </c>
      <c r="G33" s="437" t="e">
        <f t="shared" ref="G33" si="7">ROUND(IF(E2="工业",C33*$M$39,C33*$M$38),0)</f>
        <v>#DIV/0!</v>
      </c>
      <c r="H33" s="437">
        <f>D33</f>
        <v>0</v>
      </c>
      <c r="I33" s="437" t="e">
        <f t="shared" ref="I33:I39" si="8">ROUND(G33*H33,0)</f>
        <v>#DIV/0!</v>
      </c>
      <c r="J33" s="634"/>
      <c r="L33" s="394"/>
      <c r="M33" s="394"/>
      <c r="N33" s="394"/>
      <c r="O33" s="394"/>
      <c r="P33" s="394"/>
      <c r="Q33" s="394"/>
      <c r="R33" s="394"/>
      <c r="S33" s="394"/>
      <c r="T33" s="394"/>
      <c r="U33" s="394"/>
      <c r="V33" s="394"/>
      <c r="W33" s="394"/>
      <c r="X33" s="394"/>
      <c r="Y33" s="394"/>
      <c r="Z33" s="539"/>
      <c r="AA33" s="539"/>
      <c r="AB33" s="539"/>
      <c r="AC33" s="539"/>
      <c r="AD33" s="539"/>
      <c r="AE33" s="539"/>
      <c r="AF33" s="539"/>
    </row>
    <row r="34" spans="1:37">
      <c r="A34" s="3089"/>
      <c r="B34" s="447" t="s">
        <v>1588</v>
      </c>
      <c r="C34" s="506" t="e">
        <f>ROUND(D5*C19*C20*C24*F34,0)</f>
        <v>#DIV/0!</v>
      </c>
      <c r="D34" s="519"/>
      <c r="E34" s="437" t="e">
        <f t="shared" si="6"/>
        <v>#DIV/0!</v>
      </c>
      <c r="F34" s="437">
        <f>SUMIF(修正!A45:A56,G2,修正!C45:C56)</f>
        <v>0.5</v>
      </c>
      <c r="G34" s="437" t="e">
        <f>ROUND(IF(E2="工业",C34*$M$39,C34*$M$38),0)</f>
        <v>#DIV/0!</v>
      </c>
      <c r="H34" s="437">
        <f t="shared" ref="H34:H39" si="9">D34</f>
        <v>0</v>
      </c>
      <c r="I34" s="437" t="e">
        <f t="shared" si="8"/>
        <v>#DIV/0!</v>
      </c>
      <c r="J34" s="634"/>
      <c r="L34" s="394"/>
      <c r="M34" s="394"/>
      <c r="N34" s="394"/>
      <c r="O34" s="394"/>
      <c r="P34" s="394"/>
      <c r="Q34" s="394"/>
      <c r="R34" s="394"/>
      <c r="S34" s="394"/>
      <c r="T34" s="394"/>
      <c r="U34" s="394"/>
      <c r="V34" s="394"/>
      <c r="W34" s="394"/>
      <c r="X34" s="394"/>
      <c r="Y34" s="394"/>
      <c r="Z34" s="539"/>
      <c r="AA34" s="539"/>
      <c r="AB34" s="539"/>
      <c r="AC34" s="539"/>
      <c r="AD34" s="539"/>
      <c r="AE34" s="539"/>
      <c r="AF34" s="539"/>
    </row>
    <row r="35" spans="1:37">
      <c r="A35" s="3089"/>
      <c r="B35" s="447" t="s">
        <v>1589</v>
      </c>
      <c r="C35" s="506" t="e">
        <f>ROUND(D5*C19*C20*C24*F35,0)</f>
        <v>#DIV/0!</v>
      </c>
      <c r="D35" s="519"/>
      <c r="E35" s="437" t="e">
        <f t="shared" si="6"/>
        <v>#DIV/0!</v>
      </c>
      <c r="F35" s="437">
        <f>SUMIF(修正!A45:A56,G2,修正!D45:D56)</f>
        <v>0.36</v>
      </c>
      <c r="G35" s="437" t="e">
        <f>ROUND(IF(E2="工业",C35*$M$39,C35*$M$38),0)</f>
        <v>#DIV/0!</v>
      </c>
      <c r="H35" s="437">
        <f t="shared" si="9"/>
        <v>0</v>
      </c>
      <c r="I35" s="437" t="e">
        <f t="shared" si="8"/>
        <v>#DIV/0!</v>
      </c>
      <c r="J35" s="634"/>
      <c r="L35" s="394"/>
      <c r="M35" s="394"/>
      <c r="N35" s="394"/>
      <c r="O35" s="394"/>
      <c r="P35" s="394"/>
      <c r="Q35" s="394"/>
      <c r="R35" s="394"/>
      <c r="S35" s="394"/>
      <c r="T35" s="394"/>
      <c r="U35" s="394"/>
      <c r="V35" s="394"/>
      <c r="W35" s="394"/>
      <c r="X35" s="394"/>
      <c r="Y35" s="394"/>
      <c r="Z35" s="539"/>
      <c r="AA35" s="539"/>
      <c r="AB35" s="539"/>
      <c r="AC35" s="539"/>
      <c r="AD35" s="539"/>
      <c r="AE35" s="539"/>
      <c r="AF35" s="539"/>
    </row>
    <row r="36" spans="1:37">
      <c r="A36" s="3090"/>
      <c r="B36" s="447" t="s">
        <v>1590</v>
      </c>
      <c r="C36" s="506" t="e">
        <f>ROUND(D5*C19*C20*C24*F36,0)</f>
        <v>#DIV/0!</v>
      </c>
      <c r="D36" s="519"/>
      <c r="E36" s="437" t="e">
        <f t="shared" si="6"/>
        <v>#DIV/0!</v>
      </c>
      <c r="F36" s="437">
        <f>SUMIF(修正!A45:A56,G2,修正!E45:E56)</f>
        <v>0.3</v>
      </c>
      <c r="G36" s="437" t="e">
        <f>ROUND(IF(E2="工业",C36*$M$39,C36*$M$38),0)</f>
        <v>#DIV/0!</v>
      </c>
      <c r="H36" s="437">
        <f t="shared" si="9"/>
        <v>0</v>
      </c>
      <c r="I36" s="437" t="e">
        <f t="shared" si="8"/>
        <v>#DIV/0!</v>
      </c>
      <c r="J36" s="634"/>
      <c r="L36" s="635"/>
      <c r="M36" s="635"/>
      <c r="N36" s="394"/>
      <c r="O36" s="394"/>
      <c r="P36" s="394"/>
      <c r="Q36" s="394"/>
      <c r="R36" s="394"/>
      <c r="S36" s="394"/>
      <c r="T36" s="394"/>
      <c r="U36" s="394"/>
      <c r="V36" s="394"/>
      <c r="W36" s="394"/>
      <c r="X36" s="394"/>
      <c r="Y36" s="394"/>
      <c r="Z36" s="539"/>
      <c r="AA36" s="539"/>
      <c r="AB36" s="539"/>
      <c r="AC36" s="539"/>
      <c r="AD36" s="539"/>
      <c r="AE36" s="539"/>
      <c r="AF36" s="539"/>
    </row>
    <row r="37" spans="1:37">
      <c r="A37" s="536"/>
      <c r="B37" s="447" t="s">
        <v>1591</v>
      </c>
      <c r="C37" s="437" t="e">
        <f>ROUND(D5*C19*C20*C24*F37,0)</f>
        <v>#DIV/0!</v>
      </c>
      <c r="D37" s="519"/>
      <c r="E37" s="437" t="e">
        <f t="shared" si="6"/>
        <v>#DIV/0!</v>
      </c>
      <c r="F37" s="506">
        <f>SUMIF(修正!A45:A56,G2,修正!F45:F56)</f>
        <v>0.3</v>
      </c>
      <c r="G37" s="437" t="e">
        <f>ROUND(IF(E2="工业",C37*$M$39,C37*$M$38),0)</f>
        <v>#DIV/0!</v>
      </c>
      <c r="H37" s="437">
        <f t="shared" si="9"/>
        <v>0</v>
      </c>
      <c r="I37" s="437" t="e">
        <f t="shared" si="8"/>
        <v>#DIV/0!</v>
      </c>
      <c r="J37" s="634"/>
      <c r="L37" s="636" t="s">
        <v>1592</v>
      </c>
      <c r="M37" s="579"/>
      <c r="N37" s="394"/>
      <c r="O37" s="394"/>
      <c r="P37" s="394"/>
      <c r="Q37" s="394"/>
      <c r="R37" s="394"/>
      <c r="S37" s="394"/>
      <c r="T37" s="394"/>
      <c r="U37" s="394"/>
      <c r="V37" s="394"/>
      <c r="W37" s="394"/>
      <c r="X37" s="394"/>
      <c r="Y37" s="394"/>
      <c r="Z37" s="539"/>
      <c r="AA37" s="539"/>
      <c r="AB37" s="539"/>
      <c r="AC37" s="539"/>
      <c r="AD37" s="539"/>
      <c r="AE37" s="539"/>
      <c r="AF37" s="539"/>
    </row>
    <row r="38" spans="1:37">
      <c r="A38" s="536"/>
      <c r="B38" s="447" t="s">
        <v>1593</v>
      </c>
      <c r="C38" s="437" t="e">
        <f>ROUND(D5*C19*C41*C24*F38,0)</f>
        <v>#DIV/0!</v>
      </c>
      <c r="D38" s="519"/>
      <c r="E38" s="437" t="e">
        <f t="shared" si="6"/>
        <v>#DIV/0!</v>
      </c>
      <c r="F38" s="506">
        <f>SUMIF(修正!A45:A56,G2,修正!G45:G56)</f>
        <v>0.3</v>
      </c>
      <c r="G38" s="437" t="e">
        <f>ROUND(IF(E2="工业",C38*$M$39,C38*$M$38),0)</f>
        <v>#DIV/0!</v>
      </c>
      <c r="H38" s="437">
        <f t="shared" si="9"/>
        <v>0</v>
      </c>
      <c r="I38" s="437" t="e">
        <f t="shared" si="8"/>
        <v>#DIV/0!</v>
      </c>
      <c r="J38" s="634"/>
      <c r="L38" s="637" t="s">
        <v>1594</v>
      </c>
      <c r="M38" s="638">
        <v>0.25</v>
      </c>
      <c r="N38" s="394"/>
      <c r="O38" s="394"/>
      <c r="P38" s="394"/>
      <c r="Q38" s="394"/>
      <c r="R38" s="394"/>
      <c r="S38" s="394"/>
      <c r="T38" s="394"/>
      <c r="U38" s="394"/>
      <c r="V38" s="394"/>
      <c r="W38" s="394"/>
      <c r="X38" s="394"/>
      <c r="Y38" s="394"/>
      <c r="Z38" s="539"/>
      <c r="AA38" s="539"/>
      <c r="AB38" s="539"/>
      <c r="AC38" s="539"/>
      <c r="AD38" s="539"/>
      <c r="AE38" s="539"/>
      <c r="AF38" s="539"/>
    </row>
    <row r="39" spans="1:37">
      <c r="A39" s="523"/>
      <c r="B39" s="537" t="s">
        <v>1595</v>
      </c>
      <c r="C39" s="458" t="e">
        <f>ROUND(D5*C19*C41*C24*F39,0)</f>
        <v>#DIV/0!</v>
      </c>
      <c r="D39" s="525"/>
      <c r="E39" s="458" t="e">
        <f t="shared" si="6"/>
        <v>#DIV/0!</v>
      </c>
      <c r="F39" s="538">
        <f>SUMIF(修正!A45:A56,G2,修正!H45:H56)</f>
        <v>0.25</v>
      </c>
      <c r="G39" s="458" t="e">
        <f>ROUND(IF(E2="工业",C39*$M$39,C39*$M$38),0)</f>
        <v>#DIV/0!</v>
      </c>
      <c r="H39" s="458">
        <f t="shared" si="9"/>
        <v>0</v>
      </c>
      <c r="I39" s="458" t="e">
        <f t="shared" si="8"/>
        <v>#DIV/0!</v>
      </c>
      <c r="J39" s="639"/>
      <c r="L39" s="640" t="s">
        <v>1572</v>
      </c>
      <c r="M39" s="641">
        <v>0.15</v>
      </c>
      <c r="N39" s="394"/>
      <c r="O39" s="394"/>
      <c r="P39" s="394"/>
      <c r="Q39" s="394"/>
      <c r="R39" s="394"/>
      <c r="S39" s="394"/>
      <c r="T39" s="394"/>
      <c r="U39" s="394"/>
      <c r="V39" s="394"/>
      <c r="W39" s="394"/>
      <c r="X39" s="394"/>
      <c r="Y39" s="394"/>
      <c r="Z39" s="539"/>
      <c r="AA39" s="539"/>
      <c r="AB39" s="539"/>
      <c r="AC39" s="539"/>
      <c r="AD39" s="539"/>
      <c r="AE39" s="539"/>
      <c r="AF39" s="539"/>
    </row>
    <row r="40" spans="1:37" s="390" customFormat="1">
      <c r="A40" s="394"/>
      <c r="B40" s="394"/>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539"/>
      <c r="AA40" s="539"/>
      <c r="AB40" s="539"/>
      <c r="AC40" s="539"/>
      <c r="AD40" s="539"/>
      <c r="AE40" s="539"/>
      <c r="AF40" s="539"/>
      <c r="AG40" s="395"/>
      <c r="AH40" s="395"/>
      <c r="AI40" s="395"/>
      <c r="AJ40" s="395"/>
    </row>
    <row r="41" spans="1:37" s="390" customFormat="1">
      <c r="A41" s="539"/>
      <c r="B41" s="540" t="s">
        <v>1596</v>
      </c>
      <c r="C41" s="534" t="e">
        <f>ROUND(POWER(1+E41,H41-G41)*(POWER(1+E41,G41)-1)/(POWER(1+E41,H41)-1),4)</f>
        <v>#DIV/0!</v>
      </c>
      <c r="D41" s="437" t="s">
        <v>1546</v>
      </c>
      <c r="E41" s="338">
        <f>G20</f>
        <v>0</v>
      </c>
      <c r="F41" s="437" t="s">
        <v>1547</v>
      </c>
      <c r="G41" s="541"/>
      <c r="H41" s="437">
        <v>50</v>
      </c>
      <c r="I41" s="394"/>
      <c r="J41" s="394"/>
      <c r="K41" s="394"/>
      <c r="L41" s="394"/>
      <c r="M41" s="394"/>
      <c r="N41" s="394"/>
      <c r="O41" s="394"/>
      <c r="P41" s="394"/>
      <c r="Q41" s="394"/>
      <c r="R41" s="394"/>
      <c r="S41" s="394"/>
      <c r="T41" s="394"/>
      <c r="U41" s="394"/>
      <c r="V41" s="394"/>
      <c r="W41" s="394"/>
      <c r="X41" s="394"/>
      <c r="Y41" s="394"/>
      <c r="Z41" s="539"/>
      <c r="AA41" s="539"/>
      <c r="AB41" s="539"/>
      <c r="AC41" s="539"/>
      <c r="AD41" s="539"/>
      <c r="AE41" s="539"/>
      <c r="AF41" s="539"/>
      <c r="AG41" s="395"/>
      <c r="AH41" s="395"/>
      <c r="AI41" s="395"/>
      <c r="AJ41" s="395"/>
    </row>
    <row r="42" spans="1:37" s="390" customFormat="1">
      <c r="A42" s="539"/>
      <c r="B42" s="542"/>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539"/>
      <c r="AA42" s="539"/>
      <c r="AB42" s="539"/>
      <c r="AC42" s="539"/>
      <c r="AD42" s="539"/>
      <c r="AE42" s="539"/>
      <c r="AF42" s="539"/>
      <c r="AG42" s="395"/>
      <c r="AH42" s="395"/>
      <c r="AI42" s="395"/>
      <c r="AJ42" s="395"/>
    </row>
    <row r="43" spans="1:37" s="390" customFormat="1">
      <c r="A43" s="539"/>
      <c r="B43" s="542"/>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539"/>
      <c r="AA43" s="539"/>
      <c r="AB43" s="539"/>
      <c r="AC43" s="539"/>
      <c r="AD43" s="539"/>
      <c r="AE43" s="539"/>
      <c r="AF43" s="539"/>
      <c r="AG43" s="395"/>
      <c r="AH43" s="395"/>
      <c r="AI43" s="395"/>
      <c r="AJ43" s="395"/>
    </row>
    <row r="44" spans="1:37" s="390" customFormat="1">
      <c r="A44" s="539"/>
      <c r="B44" s="542"/>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539"/>
      <c r="AA44" s="539"/>
      <c r="AB44" s="539"/>
      <c r="AC44" s="539"/>
      <c r="AD44" s="539"/>
      <c r="AE44" s="539"/>
      <c r="AF44" s="539"/>
      <c r="AG44" s="395"/>
      <c r="AH44" s="395"/>
      <c r="AI44" s="395"/>
      <c r="AJ44" s="395"/>
    </row>
    <row r="45" spans="1:37" s="390" customFormat="1" ht="15">
      <c r="A45" s="543" t="s">
        <v>1597</v>
      </c>
      <c r="B45" s="544"/>
      <c r="C45" s="545"/>
      <c r="D45" s="545"/>
      <c r="E45" s="545"/>
      <c r="F45" s="546"/>
      <c r="G45" s="545"/>
      <c r="H45" s="546"/>
      <c r="I45" s="545"/>
      <c r="J45" s="545"/>
      <c r="K45" s="545"/>
      <c r="L45" s="545"/>
      <c r="M45" s="545"/>
      <c r="N45" s="399"/>
      <c r="O45" s="394"/>
      <c r="P45" s="394"/>
      <c r="Q45" s="394"/>
      <c r="R45" s="394"/>
      <c r="S45" s="394"/>
      <c r="T45" s="394"/>
      <c r="U45" s="394"/>
      <c r="V45" s="394"/>
      <c r="W45" s="394"/>
      <c r="X45" s="394"/>
      <c r="Y45" s="394"/>
      <c r="Z45" s="539"/>
      <c r="AA45" s="539"/>
      <c r="AB45" s="539"/>
      <c r="AC45" s="539"/>
      <c r="AD45" s="539"/>
      <c r="AE45" s="539"/>
      <c r="AF45" s="539"/>
      <c r="AG45" s="395"/>
      <c r="AH45" s="395"/>
      <c r="AI45" s="395"/>
      <c r="AJ45" s="395"/>
    </row>
    <row r="46" spans="1:37" s="390" customFormat="1" ht="15">
      <c r="A46" s="547" t="s">
        <v>1598</v>
      </c>
      <c r="B46" s="548">
        <f>1+E48</f>
        <v>1</v>
      </c>
      <c r="C46" s="549"/>
      <c r="D46" s="329"/>
      <c r="E46" s="330"/>
      <c r="F46" s="550"/>
      <c r="G46" s="546"/>
      <c r="H46" s="545"/>
      <c r="I46" s="545"/>
      <c r="J46" s="545"/>
      <c r="K46" s="545"/>
      <c r="L46" s="545"/>
      <c r="M46" s="399"/>
      <c r="N46" s="642"/>
      <c r="O46" s="394"/>
      <c r="P46" s="394"/>
      <c r="Q46" s="394"/>
      <c r="R46" s="394"/>
      <c r="S46" s="394"/>
      <c r="T46" s="394"/>
      <c r="U46" s="394"/>
      <c r="V46" s="394"/>
      <c r="W46" s="394"/>
      <c r="X46" s="394"/>
      <c r="Y46" s="539"/>
      <c r="Z46" s="539"/>
      <c r="AA46" s="539"/>
      <c r="AB46" s="539"/>
      <c r="AC46" s="539"/>
      <c r="AD46" s="539"/>
      <c r="AE46" s="539"/>
      <c r="AF46" s="395"/>
      <c r="AG46" s="395"/>
      <c r="AH46" s="395"/>
      <c r="AI46" s="395"/>
    </row>
    <row r="47" spans="1:37" s="390" customFormat="1" ht="24.75">
      <c r="A47" s="551" t="s">
        <v>1599</v>
      </c>
      <c r="B47" s="333" t="s">
        <v>1600</v>
      </c>
      <c r="C47" s="333" t="s">
        <v>1601</v>
      </c>
      <c r="D47" s="333" t="s">
        <v>1602</v>
      </c>
      <c r="E47" s="334" t="s">
        <v>1603</v>
      </c>
      <c r="F47" s="552" t="s">
        <v>1604</v>
      </c>
      <c r="G47" s="333" t="s">
        <v>1334</v>
      </c>
      <c r="H47" s="553" t="s">
        <v>1605</v>
      </c>
      <c r="I47" s="333" t="s">
        <v>1606</v>
      </c>
      <c r="J47" s="365" t="s">
        <v>228</v>
      </c>
      <c r="K47" s="365" t="s">
        <v>240</v>
      </c>
      <c r="L47" s="365" t="s">
        <v>251</v>
      </c>
      <c r="M47" s="365" t="s">
        <v>261</v>
      </c>
      <c r="N47" s="365" t="s">
        <v>268</v>
      </c>
      <c r="O47" s="394"/>
      <c r="P47" s="394"/>
      <c r="Q47" s="394"/>
      <c r="R47" s="394"/>
      <c r="S47" s="394"/>
      <c r="T47" s="394"/>
      <c r="U47" s="394"/>
      <c r="V47" s="394"/>
      <c r="W47" s="394"/>
      <c r="X47" s="394"/>
      <c r="Y47" s="394"/>
      <c r="Z47" s="394"/>
      <c r="AA47" s="539"/>
      <c r="AB47" s="539"/>
      <c r="AC47" s="539"/>
      <c r="AD47" s="539"/>
      <c r="AE47" s="539"/>
      <c r="AF47" s="539"/>
      <c r="AG47" s="539"/>
      <c r="AH47" s="395"/>
      <c r="AI47" s="395"/>
      <c r="AJ47" s="395"/>
      <c r="AK47" s="395"/>
    </row>
    <row r="48" spans="1:37" s="390" customFormat="1" ht="38.25">
      <c r="A48" s="551" t="s">
        <v>1607</v>
      </c>
      <c r="B48" s="554" t="str">
        <f>估价对象房地状况!C16</f>
        <v>估价对象位于XX商圈，周边商业氛围成熟，人流量大，商业繁华度好</v>
      </c>
      <c r="C48" s="453"/>
      <c r="D48" s="555">
        <f t="shared" ref="D48:D56" si="10">SUMIF($J$47:$N$47,C48,J48:N48)</f>
        <v>0</v>
      </c>
      <c r="E48" s="340">
        <f>ROUND(SUM(D48:D56),4)</f>
        <v>0</v>
      </c>
      <c r="F48" s="556" t="str">
        <f>IF(E2="商业",SUMIF(L1:L12,G2,N1:N12),"——")</f>
        <v>——</v>
      </c>
      <c r="G48" s="557"/>
      <c r="H48" s="558" t="str">
        <f t="shared" ref="H48:H56" si="11">IFERROR(ROUNDDOWN($F$48*I48/2,4),"——")</f>
        <v>——</v>
      </c>
      <c r="I48" s="339">
        <v>0.33</v>
      </c>
      <c r="J48" s="643">
        <f t="shared" ref="J48:J56" si="12">K48+$G48</f>
        <v>0</v>
      </c>
      <c r="K48" s="643">
        <f t="shared" ref="K48:K56" si="13">$L48+$G48</f>
        <v>0</v>
      </c>
      <c r="L48" s="643">
        <v>0</v>
      </c>
      <c r="M48" s="643">
        <f t="shared" ref="M48:N56" si="14">L48-$G48</f>
        <v>0</v>
      </c>
      <c r="N48" s="643">
        <f t="shared" si="14"/>
        <v>0</v>
      </c>
      <c r="O48" s="394"/>
      <c r="P48" s="394"/>
      <c r="Q48" s="394"/>
      <c r="R48" s="394"/>
      <c r="S48" s="394"/>
      <c r="T48" s="394"/>
      <c r="U48" s="394"/>
      <c r="V48" s="394"/>
      <c r="W48" s="394"/>
      <c r="X48" s="394"/>
      <c r="Y48" s="394"/>
      <c r="Z48" s="394"/>
      <c r="AA48" s="539"/>
      <c r="AB48" s="539"/>
      <c r="AC48" s="539"/>
      <c r="AD48" s="539"/>
      <c r="AE48" s="539"/>
      <c r="AF48" s="539"/>
      <c r="AG48" s="539"/>
      <c r="AH48" s="395"/>
      <c r="AI48" s="395"/>
      <c r="AJ48" s="395"/>
      <c r="AK48" s="395"/>
    </row>
    <row r="49" spans="1:37" s="390" customFormat="1" ht="51">
      <c r="A49" s="551" t="s">
        <v>1608</v>
      </c>
      <c r="B49" s="559" t="str">
        <f>估价对象房地状况!C18</f>
        <v>估价对象周边道路状况、公共交通通达情况、停车便捷程度，综合评价交通便捷度较好</v>
      </c>
      <c r="C49" s="453"/>
      <c r="D49" s="555">
        <f t="shared" si="10"/>
        <v>0</v>
      </c>
      <c r="E49" s="344"/>
      <c r="F49" s="556"/>
      <c r="G49" s="557"/>
      <c r="H49" s="558" t="str">
        <f t="shared" si="11"/>
        <v>——</v>
      </c>
      <c r="I49" s="339">
        <v>0.25</v>
      </c>
      <c r="J49" s="643">
        <f t="shared" si="12"/>
        <v>0</v>
      </c>
      <c r="K49" s="643">
        <f t="shared" si="13"/>
        <v>0</v>
      </c>
      <c r="L49" s="643">
        <v>0</v>
      </c>
      <c r="M49" s="643">
        <f t="shared" si="14"/>
        <v>0</v>
      </c>
      <c r="N49" s="643">
        <f t="shared" si="14"/>
        <v>0</v>
      </c>
      <c r="O49" s="394"/>
      <c r="P49" s="394"/>
      <c r="Q49" s="394"/>
      <c r="R49" s="394"/>
      <c r="S49" s="394"/>
      <c r="T49" s="394"/>
      <c r="U49" s="394"/>
      <c r="V49" s="394"/>
      <c r="W49" s="394"/>
      <c r="X49" s="394"/>
      <c r="Y49" s="394"/>
      <c r="Z49" s="394"/>
      <c r="AA49" s="539"/>
      <c r="AB49" s="539"/>
      <c r="AC49" s="539"/>
      <c r="AD49" s="539"/>
      <c r="AE49" s="539"/>
      <c r="AF49" s="539"/>
      <c r="AG49" s="539"/>
      <c r="AH49" s="395"/>
      <c r="AI49" s="395"/>
      <c r="AJ49" s="395"/>
      <c r="AK49" s="395"/>
    </row>
    <row r="50" spans="1:37" s="390" customFormat="1" ht="24">
      <c r="A50" s="551" t="s">
        <v>1609</v>
      </c>
      <c r="B50" s="559">
        <f>估价对象房地状况!C19</f>
        <v>0</v>
      </c>
      <c r="C50" s="453"/>
      <c r="D50" s="555">
        <f t="shared" si="10"/>
        <v>0</v>
      </c>
      <c r="E50" s="344"/>
      <c r="F50" s="556"/>
      <c r="G50" s="557"/>
      <c r="H50" s="558" t="str">
        <f t="shared" si="11"/>
        <v>——</v>
      </c>
      <c r="I50" s="339">
        <v>0.05</v>
      </c>
      <c r="J50" s="643">
        <f t="shared" si="12"/>
        <v>0</v>
      </c>
      <c r="K50" s="643">
        <f t="shared" si="13"/>
        <v>0</v>
      </c>
      <c r="L50" s="643">
        <v>0</v>
      </c>
      <c r="M50" s="643">
        <f t="shared" si="14"/>
        <v>0</v>
      </c>
      <c r="N50" s="643">
        <f t="shared" si="14"/>
        <v>0</v>
      </c>
      <c r="O50" s="394"/>
      <c r="P50" s="394"/>
      <c r="Q50" s="394"/>
      <c r="R50" s="394"/>
      <c r="S50" s="394"/>
      <c r="T50" s="394"/>
      <c r="U50" s="394"/>
      <c r="V50" s="394"/>
      <c r="W50" s="394"/>
      <c r="X50" s="394"/>
      <c r="Y50" s="394"/>
      <c r="Z50" s="394"/>
      <c r="AA50" s="539"/>
      <c r="AB50" s="539"/>
      <c r="AC50" s="539"/>
      <c r="AD50" s="539"/>
      <c r="AE50" s="539"/>
      <c r="AF50" s="539"/>
      <c r="AG50" s="539"/>
      <c r="AH50" s="395"/>
      <c r="AI50" s="395"/>
      <c r="AJ50" s="395"/>
      <c r="AK50" s="395"/>
    </row>
    <row r="51" spans="1:37" s="390" customFormat="1" ht="36.75">
      <c r="A51" s="551" t="s">
        <v>1610</v>
      </c>
      <c r="B51" s="560" t="s">
        <v>1611</v>
      </c>
      <c r="C51" s="453"/>
      <c r="D51" s="555">
        <f t="shared" si="10"/>
        <v>0</v>
      </c>
      <c r="E51" s="344"/>
      <c r="F51" s="556"/>
      <c r="G51" s="557"/>
      <c r="H51" s="558" t="str">
        <f t="shared" si="11"/>
        <v>——</v>
      </c>
      <c r="I51" s="339">
        <v>0.05</v>
      </c>
      <c r="J51" s="643">
        <f t="shared" si="12"/>
        <v>0</v>
      </c>
      <c r="K51" s="643">
        <f t="shared" si="13"/>
        <v>0</v>
      </c>
      <c r="L51" s="643">
        <v>0</v>
      </c>
      <c r="M51" s="643">
        <f t="shared" si="14"/>
        <v>0</v>
      </c>
      <c r="N51" s="643">
        <f t="shared" si="14"/>
        <v>0</v>
      </c>
      <c r="O51" s="394"/>
      <c r="P51" s="394"/>
      <c r="Q51" s="394"/>
      <c r="R51" s="394"/>
      <c r="S51" s="394"/>
      <c r="T51" s="394"/>
      <c r="U51" s="394"/>
      <c r="V51" s="394"/>
      <c r="W51" s="394"/>
      <c r="X51" s="394"/>
      <c r="Y51" s="394"/>
      <c r="Z51" s="394"/>
      <c r="AA51" s="539"/>
      <c r="AB51" s="539"/>
      <c r="AC51" s="539"/>
      <c r="AD51" s="539"/>
      <c r="AE51" s="539"/>
      <c r="AF51" s="539"/>
      <c r="AG51" s="539"/>
      <c r="AH51" s="395"/>
      <c r="AI51" s="395"/>
      <c r="AJ51" s="395"/>
      <c r="AK51" s="395"/>
    </row>
    <row r="52" spans="1:37" s="390" customFormat="1" ht="24">
      <c r="A52" s="551" t="s">
        <v>1612</v>
      </c>
      <c r="B52" s="559">
        <f>估价对象房地状况!C24</f>
        <v>0</v>
      </c>
      <c r="C52" s="453"/>
      <c r="D52" s="555">
        <f t="shared" si="10"/>
        <v>0</v>
      </c>
      <c r="E52" s="344"/>
      <c r="F52" s="556"/>
      <c r="G52" s="557"/>
      <c r="H52" s="558" t="str">
        <f t="shared" si="11"/>
        <v>——</v>
      </c>
      <c r="I52" s="339">
        <v>0.08</v>
      </c>
      <c r="J52" s="643">
        <f t="shared" si="12"/>
        <v>0</v>
      </c>
      <c r="K52" s="643">
        <f t="shared" si="13"/>
        <v>0</v>
      </c>
      <c r="L52" s="643">
        <v>0</v>
      </c>
      <c r="M52" s="643">
        <f t="shared" si="14"/>
        <v>0</v>
      </c>
      <c r="N52" s="643">
        <f t="shared" si="14"/>
        <v>0</v>
      </c>
      <c r="O52" s="394"/>
      <c r="P52" s="394"/>
      <c r="Q52" s="394"/>
      <c r="R52" s="394"/>
      <c r="S52" s="394"/>
      <c r="T52" s="394"/>
      <c r="U52" s="394"/>
      <c r="V52" s="394"/>
      <c r="W52" s="394"/>
      <c r="X52" s="394"/>
      <c r="Y52" s="394"/>
      <c r="Z52" s="394"/>
      <c r="AA52" s="539"/>
      <c r="AB52" s="539"/>
      <c r="AC52" s="539"/>
      <c r="AD52" s="539"/>
      <c r="AE52" s="539"/>
      <c r="AF52" s="539"/>
      <c r="AG52" s="539"/>
      <c r="AH52" s="395"/>
      <c r="AI52" s="395"/>
      <c r="AJ52" s="395"/>
      <c r="AK52" s="395"/>
    </row>
    <row r="53" spans="1:37" s="390" customFormat="1" ht="24">
      <c r="A53" s="551" t="s">
        <v>1613</v>
      </c>
      <c r="B53" s="561" t="s">
        <v>1614</v>
      </c>
      <c r="C53" s="453"/>
      <c r="D53" s="555">
        <f t="shared" si="10"/>
        <v>0</v>
      </c>
      <c r="E53" s="344"/>
      <c r="F53" s="556"/>
      <c r="G53" s="557"/>
      <c r="H53" s="558" t="str">
        <f t="shared" si="11"/>
        <v>——</v>
      </c>
      <c r="I53" s="339">
        <v>0.03</v>
      </c>
      <c r="J53" s="643">
        <f t="shared" si="12"/>
        <v>0</v>
      </c>
      <c r="K53" s="643">
        <f t="shared" si="13"/>
        <v>0</v>
      </c>
      <c r="L53" s="643">
        <v>0</v>
      </c>
      <c r="M53" s="643">
        <f t="shared" si="14"/>
        <v>0</v>
      </c>
      <c r="N53" s="643">
        <f t="shared" si="14"/>
        <v>0</v>
      </c>
      <c r="O53" s="394"/>
      <c r="P53" s="394"/>
      <c r="Q53" s="394"/>
      <c r="R53" s="394"/>
      <c r="S53" s="394"/>
      <c r="T53" s="394"/>
      <c r="U53" s="394"/>
      <c r="V53" s="394"/>
      <c r="W53" s="394"/>
      <c r="X53" s="394"/>
      <c r="Y53" s="394"/>
      <c r="Z53" s="394"/>
      <c r="AA53" s="539"/>
      <c r="AB53" s="539"/>
      <c r="AC53" s="539"/>
      <c r="AD53" s="539"/>
      <c r="AE53" s="539"/>
      <c r="AF53" s="539"/>
      <c r="AG53" s="539"/>
      <c r="AH53" s="395"/>
      <c r="AI53" s="395"/>
      <c r="AJ53" s="395"/>
      <c r="AK53" s="395"/>
    </row>
    <row r="54" spans="1:37" s="390" customFormat="1" ht="25.5">
      <c r="A54" s="562" t="s">
        <v>1615</v>
      </c>
      <c r="B54" s="563" t="str">
        <f>估价对象房地状况!C21</f>
        <v>估价对象所在区域公共配套设施齐备情况</v>
      </c>
      <c r="C54" s="453"/>
      <c r="D54" s="555">
        <f t="shared" si="10"/>
        <v>0</v>
      </c>
      <c r="E54" s="344"/>
      <c r="F54" s="556"/>
      <c r="G54" s="557"/>
      <c r="H54" s="558" t="str">
        <f t="shared" si="11"/>
        <v>——</v>
      </c>
      <c r="I54" s="339">
        <v>0.05</v>
      </c>
      <c r="J54" s="643">
        <f t="shared" si="12"/>
        <v>0</v>
      </c>
      <c r="K54" s="643">
        <f t="shared" si="13"/>
        <v>0</v>
      </c>
      <c r="L54" s="643">
        <v>0</v>
      </c>
      <c r="M54" s="643">
        <f t="shared" si="14"/>
        <v>0</v>
      </c>
      <c r="N54" s="643">
        <f t="shared" si="14"/>
        <v>0</v>
      </c>
      <c r="O54" s="394"/>
      <c r="P54" s="394"/>
      <c r="Q54" s="394"/>
      <c r="R54" s="394"/>
      <c r="S54" s="394"/>
      <c r="T54" s="394"/>
      <c r="U54" s="394"/>
      <c r="V54" s="394"/>
      <c r="W54" s="394"/>
      <c r="X54" s="394"/>
      <c r="Y54" s="394"/>
      <c r="Z54" s="394"/>
      <c r="AA54" s="539"/>
      <c r="AB54" s="539"/>
      <c r="AC54" s="539"/>
      <c r="AD54" s="539"/>
      <c r="AE54" s="539"/>
      <c r="AF54" s="539"/>
      <c r="AG54" s="539"/>
      <c r="AH54" s="395"/>
      <c r="AI54" s="395"/>
      <c r="AJ54" s="395"/>
      <c r="AK54" s="395"/>
    </row>
    <row r="55" spans="1:37" s="390" customFormat="1" ht="25.5">
      <c r="A55" s="562" t="s">
        <v>1616</v>
      </c>
      <c r="B55" s="559" t="str">
        <f>估价对象房地状况!C22</f>
        <v>估价对象所在区域基础设施水平</v>
      </c>
      <c r="C55" s="453"/>
      <c r="D55" s="555">
        <f t="shared" si="10"/>
        <v>0</v>
      </c>
      <c r="E55" s="344"/>
      <c r="F55" s="556"/>
      <c r="G55" s="557"/>
      <c r="H55" s="558" t="str">
        <f t="shared" si="11"/>
        <v>——</v>
      </c>
      <c r="I55" s="339">
        <v>0.1</v>
      </c>
      <c r="J55" s="643">
        <f t="shared" si="12"/>
        <v>0</v>
      </c>
      <c r="K55" s="643">
        <f t="shared" si="13"/>
        <v>0</v>
      </c>
      <c r="L55" s="643">
        <v>0</v>
      </c>
      <c r="M55" s="643">
        <f t="shared" si="14"/>
        <v>0</v>
      </c>
      <c r="N55" s="643">
        <f t="shared" si="14"/>
        <v>0</v>
      </c>
      <c r="O55" s="394"/>
      <c r="P55" s="394"/>
      <c r="Q55" s="394"/>
      <c r="R55" s="394"/>
      <c r="S55" s="394"/>
      <c r="T55" s="394"/>
      <c r="U55" s="394"/>
      <c r="V55" s="394"/>
      <c r="W55" s="394"/>
      <c r="X55" s="394"/>
      <c r="Y55" s="394"/>
      <c r="Z55" s="394"/>
      <c r="AA55" s="539"/>
      <c r="AB55" s="539"/>
      <c r="AC55" s="539"/>
      <c r="AD55" s="539"/>
      <c r="AE55" s="539"/>
      <c r="AF55" s="539"/>
      <c r="AG55" s="539"/>
      <c r="AH55" s="395"/>
      <c r="AI55" s="395"/>
      <c r="AJ55" s="395"/>
      <c r="AK55" s="395"/>
    </row>
    <row r="56" spans="1:37" s="390" customFormat="1" ht="38.25">
      <c r="A56" s="564" t="s">
        <v>1617</v>
      </c>
      <c r="B56" s="565" t="str">
        <f>估价对象房地状况!C20</f>
        <v>区域自然环境：；人文环境；综合评价环境状况一般</v>
      </c>
      <c r="C56" s="453"/>
      <c r="D56" s="555">
        <f t="shared" si="10"/>
        <v>0</v>
      </c>
      <c r="E56" s="353"/>
      <c r="F56" s="556"/>
      <c r="G56" s="557"/>
      <c r="H56" s="558" t="str">
        <f t="shared" si="11"/>
        <v>——</v>
      </c>
      <c r="I56" s="352">
        <v>0.06</v>
      </c>
      <c r="J56" s="643">
        <f t="shared" si="12"/>
        <v>0</v>
      </c>
      <c r="K56" s="643">
        <f t="shared" si="13"/>
        <v>0</v>
      </c>
      <c r="L56" s="643">
        <v>0</v>
      </c>
      <c r="M56" s="643">
        <f t="shared" si="14"/>
        <v>0</v>
      </c>
      <c r="N56" s="643">
        <f t="shared" si="14"/>
        <v>0</v>
      </c>
      <c r="O56" s="394"/>
      <c r="P56" s="394"/>
      <c r="Q56" s="394"/>
      <c r="R56" s="394"/>
      <c r="S56" s="394"/>
      <c r="T56" s="394"/>
      <c r="U56" s="394"/>
      <c r="V56" s="394"/>
      <c r="W56" s="394"/>
      <c r="X56" s="394"/>
      <c r="Y56" s="394"/>
      <c r="Z56" s="394"/>
      <c r="AA56" s="539"/>
      <c r="AB56" s="539"/>
      <c r="AC56" s="539"/>
      <c r="AD56" s="539"/>
      <c r="AE56" s="539"/>
      <c r="AF56" s="539"/>
      <c r="AG56" s="539"/>
      <c r="AH56" s="395"/>
      <c r="AI56" s="395"/>
      <c r="AJ56" s="395"/>
      <c r="AK56" s="395"/>
    </row>
    <row r="57" spans="1:37" s="390" customFormat="1" ht="15">
      <c r="A57" s="547" t="s">
        <v>1618</v>
      </c>
      <c r="B57" s="566">
        <f>1+E59</f>
        <v>1</v>
      </c>
      <c r="C57" s="329"/>
      <c r="D57" s="329"/>
      <c r="E57" s="330"/>
      <c r="F57" s="550"/>
      <c r="G57" s="546"/>
      <c r="H57" s="546"/>
      <c r="I57" s="546"/>
      <c r="J57" s="545"/>
      <c r="K57" s="545"/>
      <c r="L57" s="545"/>
      <c r="M57" s="545"/>
      <c r="N57" s="545"/>
      <c r="O57" s="394"/>
      <c r="P57" s="394"/>
      <c r="Q57" s="394"/>
      <c r="R57" s="394"/>
      <c r="S57" s="394"/>
      <c r="T57" s="394"/>
      <c r="U57" s="394"/>
      <c r="V57" s="394"/>
      <c r="W57" s="394"/>
      <c r="X57" s="394"/>
      <c r="Y57" s="394"/>
      <c r="Z57" s="394"/>
      <c r="AA57" s="539"/>
      <c r="AB57" s="539"/>
      <c r="AC57" s="539"/>
      <c r="AD57" s="539"/>
      <c r="AE57" s="539"/>
      <c r="AF57" s="539"/>
      <c r="AG57" s="539"/>
      <c r="AH57" s="395"/>
      <c r="AI57" s="395"/>
      <c r="AJ57" s="395"/>
      <c r="AK57" s="395"/>
    </row>
    <row r="58" spans="1:37" s="390" customFormat="1" ht="24.75">
      <c r="A58" s="551" t="s">
        <v>1599</v>
      </c>
      <c r="B58" s="559"/>
      <c r="C58" s="333" t="s">
        <v>1601</v>
      </c>
      <c r="D58" s="333" t="s">
        <v>1602</v>
      </c>
      <c r="E58" s="334" t="s">
        <v>1603</v>
      </c>
      <c r="F58" s="552" t="s">
        <v>1604</v>
      </c>
      <c r="G58" s="333" t="s">
        <v>1334</v>
      </c>
      <c r="H58" s="553" t="s">
        <v>1605</v>
      </c>
      <c r="I58" s="333" t="s">
        <v>1606</v>
      </c>
      <c r="J58" s="365" t="s">
        <v>228</v>
      </c>
      <c r="K58" s="365" t="s">
        <v>240</v>
      </c>
      <c r="L58" s="365" t="s">
        <v>251</v>
      </c>
      <c r="M58" s="365" t="s">
        <v>261</v>
      </c>
      <c r="N58" s="365" t="s">
        <v>268</v>
      </c>
      <c r="O58" s="394"/>
      <c r="P58" s="394"/>
      <c r="Q58" s="394"/>
      <c r="R58" s="394"/>
      <c r="S58" s="394"/>
      <c r="T58" s="394"/>
      <c r="U58" s="394"/>
      <c r="V58" s="394"/>
      <c r="W58" s="394"/>
      <c r="X58" s="394"/>
      <c r="Y58" s="394"/>
      <c r="Z58" s="394"/>
      <c r="AA58" s="539"/>
      <c r="AB58" s="539"/>
      <c r="AC58" s="539"/>
      <c r="AD58" s="539"/>
      <c r="AE58" s="539"/>
      <c r="AF58" s="539"/>
      <c r="AG58" s="539"/>
      <c r="AH58" s="395"/>
      <c r="AI58" s="395"/>
      <c r="AJ58" s="395"/>
      <c r="AK58" s="395"/>
    </row>
    <row r="59" spans="1:37" s="390" customFormat="1" ht="38.25">
      <c r="A59" s="551" t="s">
        <v>1619</v>
      </c>
      <c r="B59" s="554" t="str">
        <f>估价对象房地状况!C17</f>
        <v>估价对象位于XX商圈，周边办公楼项目较多，入驻率高，办公集聚程度较好</v>
      </c>
      <c r="C59" s="453"/>
      <c r="D59" s="555">
        <f t="shared" ref="D59:D67" si="15">SUMIF($J$58:$N$58,C59,J59:N59)</f>
        <v>0</v>
      </c>
      <c r="E59" s="340">
        <f>ROUND(SUM(D59:D67),4)</f>
        <v>0</v>
      </c>
      <c r="F59" s="556" t="str">
        <f>IF(E2="办公",SUMIF(L1:L12,G2,N1:N12),"——")</f>
        <v>——</v>
      </c>
      <c r="G59" s="557"/>
      <c r="H59" s="558" t="str">
        <f t="shared" ref="H59:H67" si="16">IFERROR(ROUNDDOWN($F$59*I59/2,4),"——")</f>
        <v>——</v>
      </c>
      <c r="I59" s="339">
        <v>0.24</v>
      </c>
      <c r="J59" s="643">
        <f t="shared" ref="J59:J67" si="17">K59+$G59</f>
        <v>0</v>
      </c>
      <c r="K59" s="643">
        <f t="shared" ref="K59:K67" si="18">$L59+$G59</f>
        <v>0</v>
      </c>
      <c r="L59" s="643">
        <v>0</v>
      </c>
      <c r="M59" s="643">
        <f t="shared" ref="M59:N67" si="19">L59-$G59</f>
        <v>0</v>
      </c>
      <c r="N59" s="643">
        <f t="shared" si="19"/>
        <v>0</v>
      </c>
      <c r="O59" s="394"/>
      <c r="P59" s="394"/>
      <c r="Q59" s="394"/>
      <c r="R59" s="394"/>
      <c r="S59" s="394"/>
      <c r="T59" s="394"/>
      <c r="U59" s="394"/>
      <c r="V59" s="394"/>
      <c r="W59" s="394"/>
      <c r="X59" s="394"/>
      <c r="Y59" s="394"/>
      <c r="Z59" s="394"/>
      <c r="AA59" s="539"/>
      <c r="AB59" s="539"/>
      <c r="AC59" s="539"/>
      <c r="AD59" s="539"/>
      <c r="AE59" s="539"/>
      <c r="AF59" s="539"/>
      <c r="AG59" s="539"/>
      <c r="AH59" s="395"/>
      <c r="AI59" s="395"/>
      <c r="AJ59" s="395"/>
      <c r="AK59" s="395"/>
    </row>
    <row r="60" spans="1:37" s="390" customFormat="1" ht="51">
      <c r="A60" s="551" t="s">
        <v>1608</v>
      </c>
      <c r="B60" s="559" t="str">
        <f>估价对象房地状况!C18</f>
        <v>估价对象周边道路状况、公共交通通达情况、停车便捷程度，综合评价交通便捷度较好</v>
      </c>
      <c r="C60" s="453"/>
      <c r="D60" s="555">
        <f t="shared" si="15"/>
        <v>0</v>
      </c>
      <c r="E60" s="344"/>
      <c r="F60" s="556"/>
      <c r="G60" s="557"/>
      <c r="H60" s="558" t="str">
        <f t="shared" si="16"/>
        <v>——</v>
      </c>
      <c r="I60" s="339">
        <v>0.3</v>
      </c>
      <c r="J60" s="643">
        <f t="shared" si="17"/>
        <v>0</v>
      </c>
      <c r="K60" s="643">
        <f t="shared" si="18"/>
        <v>0</v>
      </c>
      <c r="L60" s="643">
        <v>0</v>
      </c>
      <c r="M60" s="643">
        <f t="shared" si="19"/>
        <v>0</v>
      </c>
      <c r="N60" s="643">
        <f t="shared" si="19"/>
        <v>0</v>
      </c>
      <c r="O60" s="394"/>
      <c r="P60" s="394"/>
      <c r="Q60" s="394"/>
      <c r="R60" s="394"/>
      <c r="S60" s="394"/>
      <c r="T60" s="394"/>
      <c r="U60" s="394"/>
      <c r="V60" s="394"/>
      <c r="W60" s="394"/>
      <c r="X60" s="394"/>
      <c r="Y60" s="394"/>
      <c r="Z60" s="394"/>
      <c r="AA60" s="539"/>
      <c r="AB60" s="539"/>
      <c r="AC60" s="539"/>
      <c r="AD60" s="539"/>
      <c r="AE60" s="539"/>
      <c r="AF60" s="539"/>
      <c r="AG60" s="539"/>
      <c r="AH60" s="395"/>
      <c r="AI60" s="395"/>
      <c r="AJ60" s="395"/>
      <c r="AK60" s="395"/>
    </row>
    <row r="61" spans="1:37" s="390" customFormat="1" ht="24">
      <c r="A61" s="551" t="s">
        <v>1609</v>
      </c>
      <c r="B61" s="559">
        <f>估价对象房地状况!C19</f>
        <v>0</v>
      </c>
      <c r="C61" s="453"/>
      <c r="D61" s="555">
        <f t="shared" si="15"/>
        <v>0</v>
      </c>
      <c r="E61" s="344"/>
      <c r="F61" s="556"/>
      <c r="G61" s="557"/>
      <c r="H61" s="558" t="str">
        <f t="shared" si="16"/>
        <v>——</v>
      </c>
      <c r="I61" s="339">
        <v>0.08</v>
      </c>
      <c r="J61" s="643">
        <f t="shared" si="17"/>
        <v>0</v>
      </c>
      <c r="K61" s="643">
        <f t="shared" si="18"/>
        <v>0</v>
      </c>
      <c r="L61" s="643">
        <v>0</v>
      </c>
      <c r="M61" s="643">
        <f t="shared" si="19"/>
        <v>0</v>
      </c>
      <c r="N61" s="643">
        <f t="shared" si="19"/>
        <v>0</v>
      </c>
      <c r="O61" s="394"/>
      <c r="P61" s="394"/>
      <c r="Q61" s="394"/>
      <c r="R61" s="394"/>
      <c r="S61" s="394"/>
      <c r="T61" s="394"/>
      <c r="U61" s="394"/>
      <c r="V61" s="394"/>
      <c r="W61" s="394"/>
      <c r="X61" s="394"/>
      <c r="Y61" s="394"/>
      <c r="Z61" s="394"/>
      <c r="AA61" s="539"/>
      <c r="AB61" s="539"/>
      <c r="AC61" s="539"/>
      <c r="AD61" s="539"/>
      <c r="AE61" s="539"/>
      <c r="AF61" s="539"/>
      <c r="AG61" s="539"/>
      <c r="AH61" s="395"/>
      <c r="AI61" s="395"/>
      <c r="AJ61" s="395"/>
      <c r="AK61" s="395"/>
    </row>
    <row r="62" spans="1:37" s="390" customFormat="1" ht="36.75">
      <c r="A62" s="551" t="s">
        <v>1610</v>
      </c>
      <c r="B62" s="560" t="s">
        <v>1611</v>
      </c>
      <c r="C62" s="453"/>
      <c r="D62" s="555">
        <f t="shared" si="15"/>
        <v>0</v>
      </c>
      <c r="E62" s="344"/>
      <c r="F62" s="556"/>
      <c r="G62" s="557"/>
      <c r="H62" s="558" t="str">
        <f t="shared" si="16"/>
        <v>——</v>
      </c>
      <c r="I62" s="339">
        <v>0.04</v>
      </c>
      <c r="J62" s="643">
        <f t="shared" si="17"/>
        <v>0</v>
      </c>
      <c r="K62" s="643">
        <f t="shared" si="18"/>
        <v>0</v>
      </c>
      <c r="L62" s="643">
        <v>0</v>
      </c>
      <c r="M62" s="643">
        <f t="shared" si="19"/>
        <v>0</v>
      </c>
      <c r="N62" s="643">
        <f t="shared" si="19"/>
        <v>0</v>
      </c>
      <c r="O62" s="394"/>
      <c r="P62" s="394"/>
      <c r="Q62" s="394"/>
      <c r="R62" s="394"/>
      <c r="S62" s="394"/>
      <c r="T62" s="394"/>
      <c r="U62" s="394"/>
      <c r="V62" s="394"/>
      <c r="W62" s="394"/>
      <c r="X62" s="394"/>
      <c r="Y62" s="394"/>
      <c r="Z62" s="394"/>
      <c r="AA62" s="539"/>
      <c r="AB62" s="539"/>
      <c r="AC62" s="539"/>
      <c r="AD62" s="539"/>
      <c r="AE62" s="539"/>
      <c r="AF62" s="539"/>
      <c r="AG62" s="539"/>
      <c r="AH62" s="395"/>
      <c r="AI62" s="395"/>
      <c r="AJ62" s="395"/>
      <c r="AK62" s="395"/>
    </row>
    <row r="63" spans="1:37" s="390" customFormat="1" ht="24">
      <c r="A63" s="551" t="s">
        <v>1612</v>
      </c>
      <c r="B63" s="559">
        <f>估价对象房地状况!C24</f>
        <v>0</v>
      </c>
      <c r="C63" s="453"/>
      <c r="D63" s="555">
        <f t="shared" si="15"/>
        <v>0</v>
      </c>
      <c r="E63" s="344"/>
      <c r="F63" s="556"/>
      <c r="G63" s="557"/>
      <c r="H63" s="558" t="str">
        <f t="shared" si="16"/>
        <v>——</v>
      </c>
      <c r="I63" s="339">
        <v>0.05</v>
      </c>
      <c r="J63" s="643">
        <f t="shared" si="17"/>
        <v>0</v>
      </c>
      <c r="K63" s="643">
        <f t="shared" si="18"/>
        <v>0</v>
      </c>
      <c r="L63" s="643">
        <v>0</v>
      </c>
      <c r="M63" s="643">
        <f t="shared" si="19"/>
        <v>0</v>
      </c>
      <c r="N63" s="643">
        <f t="shared" si="19"/>
        <v>0</v>
      </c>
      <c r="O63" s="394"/>
      <c r="P63" s="394"/>
      <c r="Q63" s="394"/>
      <c r="R63" s="394"/>
      <c r="S63" s="394"/>
      <c r="T63" s="394"/>
      <c r="U63" s="394"/>
      <c r="V63" s="394"/>
      <c r="W63" s="394"/>
      <c r="X63" s="394"/>
      <c r="Y63" s="394"/>
      <c r="Z63" s="394"/>
      <c r="AA63" s="539"/>
      <c r="AB63" s="539"/>
      <c r="AC63" s="539"/>
      <c r="AD63" s="539"/>
      <c r="AE63" s="539"/>
      <c r="AF63" s="539"/>
      <c r="AG63" s="539"/>
      <c r="AH63" s="395"/>
      <c r="AI63" s="395"/>
      <c r="AJ63" s="395"/>
      <c r="AK63" s="395"/>
    </row>
    <row r="64" spans="1:37" s="390" customFormat="1" ht="24">
      <c r="A64" s="551" t="s">
        <v>1613</v>
      </c>
      <c r="B64" s="561" t="s">
        <v>1614</v>
      </c>
      <c r="C64" s="453"/>
      <c r="D64" s="555">
        <f t="shared" si="15"/>
        <v>0</v>
      </c>
      <c r="E64" s="344"/>
      <c r="F64" s="556"/>
      <c r="G64" s="557"/>
      <c r="H64" s="558" t="str">
        <f t="shared" si="16"/>
        <v>——</v>
      </c>
      <c r="I64" s="339">
        <v>0.05</v>
      </c>
      <c r="J64" s="643">
        <f t="shared" si="17"/>
        <v>0</v>
      </c>
      <c r="K64" s="643">
        <f t="shared" si="18"/>
        <v>0</v>
      </c>
      <c r="L64" s="643">
        <v>0</v>
      </c>
      <c r="M64" s="643">
        <f t="shared" si="19"/>
        <v>0</v>
      </c>
      <c r="N64" s="643">
        <f t="shared" si="19"/>
        <v>0</v>
      </c>
      <c r="O64" s="394"/>
      <c r="P64" s="394"/>
      <c r="Q64" s="394"/>
      <c r="R64" s="394"/>
      <c r="S64" s="394"/>
      <c r="T64" s="394"/>
      <c r="U64" s="394"/>
      <c r="V64" s="394"/>
      <c r="W64" s="394"/>
      <c r="X64" s="394"/>
      <c r="Y64" s="394"/>
      <c r="Z64" s="394"/>
      <c r="AA64" s="539"/>
      <c r="AB64" s="539"/>
      <c r="AC64" s="539"/>
      <c r="AD64" s="539"/>
      <c r="AE64" s="539"/>
      <c r="AF64" s="539"/>
      <c r="AG64" s="539"/>
      <c r="AH64" s="395"/>
      <c r="AI64" s="395"/>
      <c r="AJ64" s="395"/>
      <c r="AK64" s="395"/>
    </row>
    <row r="65" spans="1:37" s="390" customFormat="1" ht="25.5">
      <c r="A65" s="551" t="s">
        <v>1615</v>
      </c>
      <c r="B65" s="563" t="str">
        <f>估价对象房地状况!C21</f>
        <v>估价对象所在区域公共配套设施齐备情况</v>
      </c>
      <c r="C65" s="453"/>
      <c r="D65" s="555">
        <f t="shared" si="15"/>
        <v>0</v>
      </c>
      <c r="E65" s="344"/>
      <c r="F65" s="556"/>
      <c r="G65" s="557"/>
      <c r="H65" s="558" t="str">
        <f t="shared" si="16"/>
        <v>——</v>
      </c>
      <c r="I65" s="339">
        <v>0.06</v>
      </c>
      <c r="J65" s="643">
        <f t="shared" si="17"/>
        <v>0</v>
      </c>
      <c r="K65" s="643">
        <f t="shared" si="18"/>
        <v>0</v>
      </c>
      <c r="L65" s="643">
        <v>0</v>
      </c>
      <c r="M65" s="643">
        <f t="shared" si="19"/>
        <v>0</v>
      </c>
      <c r="N65" s="643">
        <f t="shared" si="19"/>
        <v>0</v>
      </c>
      <c r="O65" s="394"/>
      <c r="P65" s="394"/>
      <c r="Q65" s="394"/>
      <c r="R65" s="394"/>
      <c r="S65" s="394"/>
      <c r="T65" s="394"/>
      <c r="U65" s="394"/>
      <c r="V65" s="394"/>
      <c r="W65" s="394"/>
      <c r="X65" s="394"/>
      <c r="Y65" s="394"/>
      <c r="Z65" s="394"/>
      <c r="AA65" s="539"/>
      <c r="AB65" s="539"/>
      <c r="AC65" s="539"/>
      <c r="AD65" s="539"/>
      <c r="AE65" s="539"/>
      <c r="AF65" s="539"/>
      <c r="AG65" s="539"/>
      <c r="AH65" s="395"/>
      <c r="AI65" s="395"/>
      <c r="AJ65" s="395"/>
      <c r="AK65" s="395"/>
    </row>
    <row r="66" spans="1:37" s="390" customFormat="1" ht="25.5">
      <c r="A66" s="551" t="s">
        <v>1616</v>
      </c>
      <c r="B66" s="563" t="str">
        <f>估价对象房地状况!C22</f>
        <v>估价对象所在区域基础设施水平</v>
      </c>
      <c r="C66" s="453"/>
      <c r="D66" s="555">
        <f t="shared" si="15"/>
        <v>0</v>
      </c>
      <c r="E66" s="344"/>
      <c r="F66" s="556"/>
      <c r="G66" s="557"/>
      <c r="H66" s="558" t="str">
        <f t="shared" si="16"/>
        <v>——</v>
      </c>
      <c r="I66" s="339">
        <v>0.12</v>
      </c>
      <c r="J66" s="643">
        <f t="shared" si="17"/>
        <v>0</v>
      </c>
      <c r="K66" s="643">
        <f t="shared" si="18"/>
        <v>0</v>
      </c>
      <c r="L66" s="643">
        <v>0</v>
      </c>
      <c r="M66" s="643">
        <f t="shared" si="19"/>
        <v>0</v>
      </c>
      <c r="N66" s="643">
        <f t="shared" si="19"/>
        <v>0</v>
      </c>
      <c r="O66" s="394"/>
      <c r="P66" s="394"/>
      <c r="Q66" s="394"/>
      <c r="R66" s="394"/>
      <c r="S66" s="394"/>
      <c r="T66" s="394"/>
      <c r="U66" s="394"/>
      <c r="V66" s="394"/>
      <c r="W66" s="394"/>
      <c r="X66" s="394"/>
      <c r="Y66" s="394"/>
      <c r="Z66" s="394"/>
      <c r="AA66" s="539"/>
      <c r="AB66" s="539"/>
      <c r="AC66" s="539"/>
      <c r="AD66" s="539"/>
      <c r="AE66" s="539"/>
      <c r="AF66" s="539"/>
      <c r="AG66" s="539"/>
      <c r="AH66" s="395"/>
      <c r="AI66" s="395"/>
      <c r="AJ66" s="395"/>
      <c r="AK66" s="395"/>
    </row>
    <row r="67" spans="1:37" s="390" customFormat="1" ht="38.25">
      <c r="A67" s="564" t="s">
        <v>1617</v>
      </c>
      <c r="B67" s="667" t="str">
        <f>估价对象房地状况!C20</f>
        <v>区域自然环境：；人文环境；综合评价环境状况一般</v>
      </c>
      <c r="C67" s="453"/>
      <c r="D67" s="555">
        <f t="shared" si="15"/>
        <v>0</v>
      </c>
      <c r="E67" s="353"/>
      <c r="F67" s="556"/>
      <c r="G67" s="557"/>
      <c r="H67" s="558" t="str">
        <f t="shared" si="16"/>
        <v>——</v>
      </c>
      <c r="I67" s="352">
        <v>0.06</v>
      </c>
      <c r="J67" s="643">
        <f t="shared" si="17"/>
        <v>0</v>
      </c>
      <c r="K67" s="643">
        <f t="shared" si="18"/>
        <v>0</v>
      </c>
      <c r="L67" s="643">
        <v>0</v>
      </c>
      <c r="M67" s="643">
        <f t="shared" si="19"/>
        <v>0</v>
      </c>
      <c r="N67" s="643">
        <f t="shared" si="19"/>
        <v>0</v>
      </c>
      <c r="O67" s="394"/>
      <c r="P67" s="394"/>
      <c r="Q67" s="394"/>
      <c r="R67" s="394"/>
      <c r="S67" s="394"/>
      <c r="T67" s="394"/>
      <c r="U67" s="394"/>
      <c r="V67" s="394"/>
      <c r="W67" s="394"/>
      <c r="X67" s="394"/>
      <c r="Y67" s="394"/>
      <c r="Z67" s="394"/>
      <c r="AA67" s="539"/>
      <c r="AB67" s="539"/>
      <c r="AC67" s="539"/>
      <c r="AD67" s="539"/>
      <c r="AE67" s="539"/>
      <c r="AF67" s="539"/>
      <c r="AG67" s="539"/>
      <c r="AH67" s="395"/>
      <c r="AI67" s="395"/>
      <c r="AJ67" s="395"/>
      <c r="AK67" s="395"/>
    </row>
    <row r="68" spans="1:37" s="390" customFormat="1" ht="15">
      <c r="A68" s="547" t="s">
        <v>1620</v>
      </c>
      <c r="B68" s="566">
        <f>1+E70</f>
        <v>1</v>
      </c>
      <c r="C68" s="329"/>
      <c r="D68" s="329"/>
      <c r="E68" s="330"/>
      <c r="F68" s="550"/>
      <c r="G68" s="546"/>
      <c r="H68" s="546"/>
      <c r="I68" s="546"/>
      <c r="J68" s="545"/>
      <c r="K68" s="545"/>
      <c r="L68" s="545"/>
      <c r="M68" s="545"/>
      <c r="N68" s="545"/>
      <c r="O68" s="394"/>
      <c r="P68" s="394"/>
      <c r="Q68" s="394"/>
      <c r="R68" s="394"/>
      <c r="S68" s="394"/>
      <c r="T68" s="394"/>
      <c r="U68" s="394"/>
      <c r="V68" s="394"/>
      <c r="W68" s="394"/>
      <c r="X68" s="394"/>
      <c r="Y68" s="394"/>
      <c r="Z68" s="394"/>
      <c r="AA68" s="539"/>
      <c r="AB68" s="539"/>
      <c r="AC68" s="539"/>
      <c r="AD68" s="539"/>
      <c r="AE68" s="539"/>
      <c r="AF68" s="539"/>
      <c r="AG68" s="539"/>
      <c r="AH68" s="395"/>
      <c r="AI68" s="395"/>
      <c r="AJ68" s="395"/>
      <c r="AK68" s="395"/>
    </row>
    <row r="69" spans="1:37" s="390" customFormat="1" ht="24.75">
      <c r="A69" s="551" t="s">
        <v>1599</v>
      </c>
      <c r="B69" s="559"/>
      <c r="C69" s="333" t="s">
        <v>1601</v>
      </c>
      <c r="D69" s="333" t="s">
        <v>1602</v>
      </c>
      <c r="E69" s="334" t="s">
        <v>1603</v>
      </c>
      <c r="F69" s="552" t="s">
        <v>1604</v>
      </c>
      <c r="G69" s="333" t="s">
        <v>1334</v>
      </c>
      <c r="H69" s="553" t="s">
        <v>1605</v>
      </c>
      <c r="I69" s="333" t="s">
        <v>1606</v>
      </c>
      <c r="J69" s="365" t="s">
        <v>228</v>
      </c>
      <c r="K69" s="365" t="s">
        <v>240</v>
      </c>
      <c r="L69" s="365" t="s">
        <v>251</v>
      </c>
      <c r="M69" s="365" t="s">
        <v>261</v>
      </c>
      <c r="N69" s="365" t="s">
        <v>268</v>
      </c>
      <c r="O69" s="394"/>
      <c r="P69" s="394"/>
      <c r="Q69" s="394"/>
      <c r="R69" s="394"/>
      <c r="S69" s="394"/>
      <c r="T69" s="394"/>
      <c r="U69" s="394"/>
      <c r="V69" s="394"/>
      <c r="W69" s="394"/>
      <c r="X69" s="394"/>
      <c r="Y69" s="394"/>
      <c r="Z69" s="394"/>
      <c r="AA69" s="539"/>
      <c r="AB69" s="539"/>
      <c r="AC69" s="539"/>
      <c r="AD69" s="539"/>
      <c r="AE69" s="539"/>
      <c r="AF69" s="539"/>
      <c r="AG69" s="539"/>
      <c r="AH69" s="395"/>
      <c r="AI69" s="395"/>
      <c r="AJ69" s="395"/>
      <c r="AK69" s="395"/>
    </row>
    <row r="70" spans="1:37" s="390" customFormat="1" ht="51">
      <c r="A70" s="551" t="s">
        <v>1621</v>
      </c>
      <c r="B70" s="554" t="str">
        <f>估价对象房地状况!C15</f>
        <v>估价对象周边居住用地比例、居住小区规模和社区发展完善程度，综合评价居住社区成熟度一般</v>
      </c>
      <c r="C70" s="453"/>
      <c r="D70" s="555">
        <f t="shared" ref="D70:D78" si="20">SUMIF($J$69:$N$69,C70,J70:N70)</f>
        <v>0</v>
      </c>
      <c r="E70" s="340">
        <f>ROUND(SUM(D70:D78),4)</f>
        <v>0</v>
      </c>
      <c r="F70" s="556" t="str">
        <f>IF(E2="住宅",SUMIF(L1:L12,G2,N1:N12),"——")</f>
        <v>——</v>
      </c>
      <c r="G70" s="557"/>
      <c r="H70" s="558" t="str">
        <f t="shared" ref="H70:H78" si="21">IFERROR(ROUNDDOWN($F$70*I70/2,4),"——")</f>
        <v>——</v>
      </c>
      <c r="I70" s="339">
        <v>0.14000000000000001</v>
      </c>
      <c r="J70" s="643">
        <f t="shared" ref="J70:J78" si="22">K70+$G70</f>
        <v>0</v>
      </c>
      <c r="K70" s="643">
        <f t="shared" ref="K70:K78" si="23">$L70+$G70</f>
        <v>0</v>
      </c>
      <c r="L70" s="643">
        <v>0</v>
      </c>
      <c r="M70" s="643">
        <f t="shared" ref="M70:N78" si="24">L70-$G70</f>
        <v>0</v>
      </c>
      <c r="N70" s="643">
        <f t="shared" si="24"/>
        <v>0</v>
      </c>
      <c r="O70" s="394"/>
      <c r="P70" s="394"/>
      <c r="Q70" s="394"/>
      <c r="R70" s="394"/>
      <c r="S70" s="394"/>
      <c r="T70" s="394"/>
      <c r="U70" s="394"/>
      <c r="V70" s="394"/>
      <c r="W70" s="394"/>
      <c r="X70" s="394"/>
      <c r="Y70" s="394"/>
      <c r="Z70" s="394"/>
      <c r="AA70" s="539"/>
      <c r="AB70" s="539"/>
      <c r="AC70" s="539"/>
      <c r="AD70" s="539"/>
      <c r="AE70" s="539"/>
      <c r="AF70" s="539"/>
      <c r="AG70" s="539"/>
      <c r="AH70" s="395"/>
      <c r="AI70" s="395"/>
      <c r="AJ70" s="395"/>
      <c r="AK70" s="395"/>
    </row>
    <row r="71" spans="1:37" s="390" customFormat="1" ht="51">
      <c r="A71" s="551" t="s">
        <v>1608</v>
      </c>
      <c r="B71" s="559" t="str">
        <f>估价对象房地状况!C18</f>
        <v>估价对象周边道路状况、公共交通通达情况、停车便捷程度，综合评价交通便捷度较好</v>
      </c>
      <c r="C71" s="453"/>
      <c r="D71" s="555">
        <f t="shared" si="20"/>
        <v>0</v>
      </c>
      <c r="E71" s="356"/>
      <c r="F71" s="668"/>
      <c r="G71" s="557"/>
      <c r="H71" s="558" t="str">
        <f t="shared" si="21"/>
        <v>——</v>
      </c>
      <c r="I71" s="339">
        <v>0.3</v>
      </c>
      <c r="J71" s="643">
        <f t="shared" si="22"/>
        <v>0</v>
      </c>
      <c r="K71" s="643">
        <f t="shared" si="23"/>
        <v>0</v>
      </c>
      <c r="L71" s="643">
        <v>0</v>
      </c>
      <c r="M71" s="643">
        <f t="shared" si="24"/>
        <v>0</v>
      </c>
      <c r="N71" s="643">
        <f t="shared" si="24"/>
        <v>0</v>
      </c>
      <c r="O71" s="394"/>
      <c r="P71" s="394"/>
      <c r="Q71" s="394"/>
      <c r="R71" s="394"/>
      <c r="S71" s="394"/>
      <c r="T71" s="394"/>
      <c r="U71" s="394"/>
      <c r="V71" s="394"/>
      <c r="W71" s="394"/>
      <c r="X71" s="394"/>
      <c r="Y71" s="394"/>
      <c r="Z71" s="394"/>
      <c r="AA71" s="539"/>
      <c r="AB71" s="539"/>
      <c r="AC71" s="539"/>
      <c r="AD71" s="539"/>
      <c r="AE71" s="539"/>
      <c r="AF71" s="539"/>
      <c r="AG71" s="539"/>
      <c r="AH71" s="395"/>
      <c r="AI71" s="395"/>
      <c r="AJ71" s="395"/>
      <c r="AK71" s="395"/>
    </row>
    <row r="72" spans="1:37" s="390" customFormat="1" ht="24">
      <c r="A72" s="551" t="s">
        <v>1609</v>
      </c>
      <c r="B72" s="559">
        <f>估价对象房地状况!C19</f>
        <v>0</v>
      </c>
      <c r="C72" s="453"/>
      <c r="D72" s="555">
        <f t="shared" si="20"/>
        <v>0</v>
      </c>
      <c r="E72" s="356"/>
      <c r="F72" s="668"/>
      <c r="G72" s="557"/>
      <c r="H72" s="558" t="str">
        <f t="shared" si="21"/>
        <v>——</v>
      </c>
      <c r="I72" s="339">
        <v>0.08</v>
      </c>
      <c r="J72" s="643">
        <f t="shared" si="22"/>
        <v>0</v>
      </c>
      <c r="K72" s="643">
        <f t="shared" si="23"/>
        <v>0</v>
      </c>
      <c r="L72" s="643">
        <v>0</v>
      </c>
      <c r="M72" s="643">
        <f t="shared" si="24"/>
        <v>0</v>
      </c>
      <c r="N72" s="643">
        <f t="shared" si="24"/>
        <v>0</v>
      </c>
      <c r="O72" s="394"/>
      <c r="P72" s="394"/>
      <c r="Q72" s="394"/>
      <c r="R72" s="394"/>
      <c r="S72" s="394"/>
      <c r="T72" s="394"/>
      <c r="U72" s="394"/>
      <c r="V72" s="394"/>
      <c r="W72" s="394"/>
      <c r="X72" s="394"/>
      <c r="Y72" s="394"/>
      <c r="Z72" s="394"/>
      <c r="AA72" s="539"/>
      <c r="AB72" s="539"/>
      <c r="AC72" s="539"/>
      <c r="AD72" s="539"/>
      <c r="AE72" s="539"/>
      <c r="AF72" s="539"/>
      <c r="AG72" s="539"/>
      <c r="AH72" s="395"/>
      <c r="AI72" s="395"/>
      <c r="AJ72" s="395"/>
      <c r="AK72" s="395"/>
    </row>
    <row r="73" spans="1:37" s="390" customFormat="1" ht="14.25">
      <c r="A73" s="551" t="s">
        <v>1622</v>
      </c>
      <c r="B73" s="559">
        <f>估价对象房地状况!C24</f>
        <v>0</v>
      </c>
      <c r="C73" s="453"/>
      <c r="D73" s="555">
        <f t="shared" si="20"/>
        <v>0</v>
      </c>
      <c r="E73" s="356"/>
      <c r="F73" s="668"/>
      <c r="G73" s="557"/>
      <c r="H73" s="558" t="str">
        <f t="shared" si="21"/>
        <v>——</v>
      </c>
      <c r="I73" s="339">
        <v>0.04</v>
      </c>
      <c r="J73" s="643">
        <f t="shared" si="22"/>
        <v>0</v>
      </c>
      <c r="K73" s="643">
        <f t="shared" si="23"/>
        <v>0</v>
      </c>
      <c r="L73" s="643">
        <v>0</v>
      </c>
      <c r="M73" s="643">
        <f t="shared" si="24"/>
        <v>0</v>
      </c>
      <c r="N73" s="643">
        <f t="shared" si="24"/>
        <v>0</v>
      </c>
      <c r="O73" s="394"/>
      <c r="P73" s="394"/>
      <c r="Q73" s="394"/>
      <c r="R73" s="394"/>
      <c r="S73" s="394"/>
      <c r="T73" s="394"/>
      <c r="U73" s="394"/>
      <c r="V73" s="394"/>
      <c r="W73" s="394"/>
      <c r="X73" s="394"/>
      <c r="Y73" s="394"/>
      <c r="Z73" s="394"/>
      <c r="AA73" s="539"/>
      <c r="AB73" s="539"/>
      <c r="AC73" s="539"/>
      <c r="AD73" s="539"/>
      <c r="AE73" s="539"/>
      <c r="AF73" s="539"/>
      <c r="AG73" s="539"/>
      <c r="AH73" s="395"/>
      <c r="AI73" s="395"/>
      <c r="AJ73" s="395"/>
      <c r="AK73" s="395"/>
    </row>
    <row r="74" spans="1:37" s="390" customFormat="1" ht="25.5">
      <c r="A74" s="551" t="s">
        <v>1615</v>
      </c>
      <c r="B74" s="563" t="str">
        <f>估价对象房地状况!C21</f>
        <v>估价对象所在区域公共配套设施齐备情况</v>
      </c>
      <c r="C74" s="453"/>
      <c r="D74" s="555">
        <f t="shared" si="20"/>
        <v>0</v>
      </c>
      <c r="E74" s="356"/>
      <c r="F74" s="668"/>
      <c r="G74" s="557"/>
      <c r="H74" s="558" t="str">
        <f t="shared" si="21"/>
        <v>——</v>
      </c>
      <c r="I74" s="339">
        <v>0.08</v>
      </c>
      <c r="J74" s="643">
        <f t="shared" si="22"/>
        <v>0</v>
      </c>
      <c r="K74" s="643">
        <f t="shared" si="23"/>
        <v>0</v>
      </c>
      <c r="L74" s="643">
        <v>0</v>
      </c>
      <c r="M74" s="643">
        <f t="shared" si="24"/>
        <v>0</v>
      </c>
      <c r="N74" s="643">
        <f t="shared" si="24"/>
        <v>0</v>
      </c>
      <c r="O74" s="394"/>
      <c r="P74" s="394"/>
      <c r="Q74" s="394"/>
      <c r="R74" s="394"/>
      <c r="S74" s="394"/>
      <c r="T74" s="394"/>
      <c r="U74" s="394"/>
      <c r="V74" s="394"/>
      <c r="W74" s="394"/>
      <c r="X74" s="394"/>
      <c r="Y74" s="394"/>
      <c r="Z74" s="394"/>
      <c r="AA74" s="539"/>
      <c r="AB74" s="539"/>
      <c r="AC74" s="539"/>
      <c r="AD74" s="539"/>
      <c r="AE74" s="539"/>
      <c r="AF74" s="539"/>
      <c r="AG74" s="539"/>
      <c r="AH74" s="395"/>
      <c r="AI74" s="395"/>
      <c r="AJ74" s="395"/>
      <c r="AK74" s="395"/>
    </row>
    <row r="75" spans="1:37" s="390" customFormat="1" ht="25.5">
      <c r="A75" s="551" t="s">
        <v>1616</v>
      </c>
      <c r="B75" s="563" t="str">
        <f>估价对象房地状况!C22</f>
        <v>估价对象所在区域基础设施水平</v>
      </c>
      <c r="C75" s="453"/>
      <c r="D75" s="555">
        <f t="shared" si="20"/>
        <v>0</v>
      </c>
      <c r="E75" s="356"/>
      <c r="F75" s="668"/>
      <c r="G75" s="557"/>
      <c r="H75" s="558" t="str">
        <f t="shared" si="21"/>
        <v>——</v>
      </c>
      <c r="I75" s="339">
        <v>0.12</v>
      </c>
      <c r="J75" s="643">
        <f t="shared" si="22"/>
        <v>0</v>
      </c>
      <c r="K75" s="643">
        <f t="shared" si="23"/>
        <v>0</v>
      </c>
      <c r="L75" s="643">
        <v>0</v>
      </c>
      <c r="M75" s="643">
        <f t="shared" si="24"/>
        <v>0</v>
      </c>
      <c r="N75" s="643">
        <f t="shared" si="24"/>
        <v>0</v>
      </c>
      <c r="O75" s="394"/>
      <c r="P75" s="394"/>
      <c r="Q75" s="394"/>
      <c r="R75" s="394"/>
      <c r="S75" s="394"/>
      <c r="T75" s="394"/>
      <c r="U75" s="394"/>
      <c r="V75" s="394"/>
      <c r="W75" s="394"/>
      <c r="X75" s="394"/>
      <c r="Y75" s="394"/>
      <c r="Z75" s="394"/>
      <c r="AA75" s="539"/>
      <c r="AB75" s="539"/>
      <c r="AC75" s="539"/>
      <c r="AD75" s="539"/>
      <c r="AE75" s="539"/>
      <c r="AF75" s="539"/>
      <c r="AG75" s="539"/>
      <c r="AH75" s="395"/>
      <c r="AI75" s="395"/>
      <c r="AJ75" s="395"/>
      <c r="AK75" s="395"/>
    </row>
    <row r="76" spans="1:37" ht="24">
      <c r="A76" s="551" t="s">
        <v>1613</v>
      </c>
      <c r="B76" s="561" t="s">
        <v>1614</v>
      </c>
      <c r="C76" s="453"/>
      <c r="D76" s="555">
        <f t="shared" si="20"/>
        <v>0</v>
      </c>
      <c r="E76" s="356"/>
      <c r="F76" s="668"/>
      <c r="G76" s="557"/>
      <c r="H76" s="558" t="str">
        <f t="shared" si="21"/>
        <v>——</v>
      </c>
      <c r="I76" s="339">
        <v>0.05</v>
      </c>
      <c r="J76" s="643">
        <f t="shared" si="22"/>
        <v>0</v>
      </c>
      <c r="K76" s="643">
        <f t="shared" si="23"/>
        <v>0</v>
      </c>
      <c r="L76" s="643">
        <v>0</v>
      </c>
      <c r="M76" s="643">
        <f t="shared" si="24"/>
        <v>0</v>
      </c>
      <c r="N76" s="643">
        <f t="shared" si="24"/>
        <v>0</v>
      </c>
      <c r="Z76" s="393"/>
      <c r="AA76" s="391"/>
      <c r="AG76" s="395"/>
      <c r="AK76" s="391"/>
    </row>
    <row r="77" spans="1:37" ht="38.25">
      <c r="A77" s="551" t="s">
        <v>1617</v>
      </c>
      <c r="B77" s="554" t="str">
        <f>估价对象房地状况!C20</f>
        <v>区域自然环境：；人文环境；综合评价环境状况一般</v>
      </c>
      <c r="C77" s="453"/>
      <c r="D77" s="555">
        <f t="shared" si="20"/>
        <v>0</v>
      </c>
      <c r="E77" s="356"/>
      <c r="F77" s="668"/>
      <c r="G77" s="557"/>
      <c r="H77" s="558" t="str">
        <f t="shared" si="21"/>
        <v>——</v>
      </c>
      <c r="I77" s="339">
        <v>0.15</v>
      </c>
      <c r="J77" s="643">
        <f t="shared" si="22"/>
        <v>0</v>
      </c>
      <c r="K77" s="643">
        <f t="shared" si="23"/>
        <v>0</v>
      </c>
      <c r="L77" s="643">
        <v>0</v>
      </c>
      <c r="M77" s="643">
        <f t="shared" si="24"/>
        <v>0</v>
      </c>
      <c r="N77" s="643">
        <f t="shared" si="24"/>
        <v>0</v>
      </c>
      <c r="Z77" s="393"/>
      <c r="AA77" s="391"/>
      <c r="AG77" s="395"/>
      <c r="AK77" s="391"/>
    </row>
    <row r="78" spans="1:37" ht="24">
      <c r="A78" s="564" t="s">
        <v>1623</v>
      </c>
      <c r="B78" s="669"/>
      <c r="C78" s="453"/>
      <c r="D78" s="555">
        <f t="shared" si="20"/>
        <v>0</v>
      </c>
      <c r="E78" s="359"/>
      <c r="F78" s="668"/>
      <c r="G78" s="557"/>
      <c r="H78" s="558" t="str">
        <f t="shared" si="21"/>
        <v>——</v>
      </c>
      <c r="I78" s="352">
        <v>0.04</v>
      </c>
      <c r="J78" s="643">
        <f t="shared" si="22"/>
        <v>0</v>
      </c>
      <c r="K78" s="643">
        <f t="shared" si="23"/>
        <v>0</v>
      </c>
      <c r="L78" s="643">
        <v>0</v>
      </c>
      <c r="M78" s="643">
        <f t="shared" si="24"/>
        <v>0</v>
      </c>
      <c r="N78" s="643">
        <f t="shared" si="24"/>
        <v>0</v>
      </c>
      <c r="Z78" s="393"/>
      <c r="AA78" s="391"/>
      <c r="AG78" s="395"/>
      <c r="AK78" s="391"/>
    </row>
    <row r="79" spans="1:37" ht="15">
      <c r="A79" s="547" t="s">
        <v>1624</v>
      </c>
      <c r="B79" s="566">
        <f>1+E81</f>
        <v>1</v>
      </c>
      <c r="C79" s="329"/>
      <c r="D79" s="329"/>
      <c r="E79" s="330"/>
      <c r="F79" s="550"/>
      <c r="G79" s="546"/>
      <c r="H79" s="546"/>
      <c r="I79" s="546"/>
      <c r="J79" s="545"/>
      <c r="K79" s="545"/>
      <c r="L79" s="545"/>
      <c r="M79" s="545"/>
      <c r="N79" s="545"/>
      <c r="Z79" s="393"/>
      <c r="AA79" s="391"/>
      <c r="AG79" s="395"/>
      <c r="AK79" s="391"/>
    </row>
    <row r="80" spans="1:37" ht="24.75">
      <c r="A80" s="551" t="s">
        <v>1599</v>
      </c>
      <c r="B80" s="559"/>
      <c r="C80" s="333" t="s">
        <v>1601</v>
      </c>
      <c r="D80" s="333" t="s">
        <v>1602</v>
      </c>
      <c r="E80" s="334" t="s">
        <v>1603</v>
      </c>
      <c r="F80" s="552" t="s">
        <v>1604</v>
      </c>
      <c r="G80" s="333" t="s">
        <v>1334</v>
      </c>
      <c r="H80" s="553" t="s">
        <v>1605</v>
      </c>
      <c r="I80" s="333" t="s">
        <v>1606</v>
      </c>
      <c r="J80" s="365" t="s">
        <v>228</v>
      </c>
      <c r="K80" s="365" t="s">
        <v>240</v>
      </c>
      <c r="L80" s="365" t="s">
        <v>251</v>
      </c>
      <c r="M80" s="365" t="s">
        <v>261</v>
      </c>
      <c r="N80" s="365" t="s">
        <v>268</v>
      </c>
      <c r="Z80" s="393"/>
      <c r="AA80" s="391"/>
      <c r="AG80" s="395"/>
      <c r="AK80" s="391"/>
    </row>
    <row r="81" spans="1:37" ht="38.25">
      <c r="A81" s="551" t="s">
        <v>1625</v>
      </c>
      <c r="B81" s="559" t="str">
        <f>估价对象房地状况!G15</f>
        <v>估价对象位于XX开发区，园区建设成熟度XX，产业集聚程度XX</v>
      </c>
      <c r="C81" s="453"/>
      <c r="D81" s="555">
        <f t="shared" ref="D81:D88" si="25">SUMIF($J$80:$N$80,C81,J81:N81)</f>
        <v>0</v>
      </c>
      <c r="E81" s="340">
        <f>ROUND(SUM(D81:D88),4)</f>
        <v>0</v>
      </c>
      <c r="F81" s="556" t="str">
        <f>IF(E2="工业",SUMIF(L1:L12,G2,N1:N12),"——")</f>
        <v>——</v>
      </c>
      <c r="G81" s="557"/>
      <c r="H81" s="558" t="str">
        <f t="shared" ref="H81:H88" si="26">IFERROR(ROUNDDOWN($F$81*I81/2,4),"——")</f>
        <v>——</v>
      </c>
      <c r="I81" s="339">
        <v>0.26</v>
      </c>
      <c r="J81" s="643">
        <f t="shared" ref="J81:J88" si="27">K81+$G81</f>
        <v>0</v>
      </c>
      <c r="K81" s="643">
        <f t="shared" ref="K81:K88" si="28">$L81+$G81</f>
        <v>0</v>
      </c>
      <c r="L81" s="643">
        <v>0</v>
      </c>
      <c r="M81" s="643">
        <f t="shared" ref="M81:N88" si="29">L81-$G81</f>
        <v>0</v>
      </c>
      <c r="N81" s="643">
        <f t="shared" si="29"/>
        <v>0</v>
      </c>
      <c r="Z81" s="393"/>
      <c r="AA81" s="391"/>
      <c r="AG81" s="395"/>
      <c r="AK81" s="391"/>
    </row>
    <row r="82" spans="1:37" ht="51">
      <c r="A82" s="551" t="s">
        <v>1608</v>
      </c>
      <c r="B82" s="559" t="str">
        <f>估价对象房地状况!G16</f>
        <v>估价对象周边道路状况、公共交通通达情况、停车便捷程度，综合评价交通便捷度较好</v>
      </c>
      <c r="C82" s="453"/>
      <c r="D82" s="555">
        <f t="shared" si="25"/>
        <v>0</v>
      </c>
      <c r="E82" s="356"/>
      <c r="F82" s="668"/>
      <c r="G82" s="557"/>
      <c r="H82" s="558" t="str">
        <f t="shared" si="26"/>
        <v>——</v>
      </c>
      <c r="I82" s="339">
        <v>0.33</v>
      </c>
      <c r="J82" s="643">
        <f t="shared" si="27"/>
        <v>0</v>
      </c>
      <c r="K82" s="643">
        <f t="shared" si="28"/>
        <v>0</v>
      </c>
      <c r="L82" s="643">
        <v>0</v>
      </c>
      <c r="M82" s="643">
        <f t="shared" si="29"/>
        <v>0</v>
      </c>
      <c r="N82" s="643">
        <f t="shared" si="29"/>
        <v>0</v>
      </c>
      <c r="Z82" s="393"/>
      <c r="AA82" s="391"/>
      <c r="AG82" s="395"/>
      <c r="AK82" s="391"/>
    </row>
    <row r="83" spans="1:37" ht="24">
      <c r="A83" s="551" t="s">
        <v>1609</v>
      </c>
      <c r="B83" s="559">
        <f>估价对象房地状况!G17</f>
        <v>0</v>
      </c>
      <c r="C83" s="453"/>
      <c r="D83" s="555">
        <f t="shared" si="25"/>
        <v>0</v>
      </c>
      <c r="E83" s="356"/>
      <c r="F83" s="668"/>
      <c r="G83" s="557"/>
      <c r="H83" s="558" t="str">
        <f t="shared" si="26"/>
        <v>——</v>
      </c>
      <c r="I83" s="339">
        <v>0.05</v>
      </c>
      <c r="J83" s="643">
        <f t="shared" si="27"/>
        <v>0</v>
      </c>
      <c r="K83" s="643">
        <f t="shared" si="28"/>
        <v>0</v>
      </c>
      <c r="L83" s="643">
        <v>0</v>
      </c>
      <c r="M83" s="643">
        <f t="shared" si="29"/>
        <v>0</v>
      </c>
      <c r="N83" s="643">
        <f t="shared" si="29"/>
        <v>0</v>
      </c>
      <c r="Z83" s="393"/>
      <c r="AA83" s="391"/>
      <c r="AG83" s="395"/>
      <c r="AK83" s="391"/>
    </row>
    <row r="84" spans="1:37" ht="14.25">
      <c r="A84" s="551" t="s">
        <v>1622</v>
      </c>
      <c r="B84" s="559">
        <f>估价对象房地状况!G22</f>
        <v>0</v>
      </c>
      <c r="C84" s="453"/>
      <c r="D84" s="555">
        <f t="shared" si="25"/>
        <v>0</v>
      </c>
      <c r="E84" s="356"/>
      <c r="F84" s="668"/>
      <c r="G84" s="557"/>
      <c r="H84" s="558" t="str">
        <f t="shared" si="26"/>
        <v>——</v>
      </c>
      <c r="I84" s="339">
        <v>0.04</v>
      </c>
      <c r="J84" s="643">
        <f t="shared" si="27"/>
        <v>0</v>
      </c>
      <c r="K84" s="643">
        <f t="shared" si="28"/>
        <v>0</v>
      </c>
      <c r="L84" s="643">
        <v>0</v>
      </c>
      <c r="M84" s="643">
        <f t="shared" si="29"/>
        <v>0</v>
      </c>
      <c r="N84" s="643">
        <f t="shared" si="29"/>
        <v>0</v>
      </c>
      <c r="Z84" s="393"/>
      <c r="AA84" s="391"/>
      <c r="AG84" s="395"/>
      <c r="AK84" s="391"/>
    </row>
    <row r="85" spans="1:37" ht="25.5">
      <c r="A85" s="551" t="s">
        <v>1615</v>
      </c>
      <c r="B85" s="563" t="str">
        <f>估价对象房地状况!G19</f>
        <v>估价对象所在区域公共配套设施齐备情况</v>
      </c>
      <c r="C85" s="453"/>
      <c r="D85" s="555">
        <f t="shared" si="25"/>
        <v>0</v>
      </c>
      <c r="E85" s="356"/>
      <c r="F85" s="668"/>
      <c r="G85" s="557"/>
      <c r="H85" s="558" t="str">
        <f t="shared" si="26"/>
        <v>——</v>
      </c>
      <c r="I85" s="339">
        <v>0.06</v>
      </c>
      <c r="J85" s="643">
        <f t="shared" si="27"/>
        <v>0</v>
      </c>
      <c r="K85" s="643">
        <f t="shared" si="28"/>
        <v>0</v>
      </c>
      <c r="L85" s="643">
        <v>0</v>
      </c>
      <c r="M85" s="643">
        <f t="shared" si="29"/>
        <v>0</v>
      </c>
      <c r="N85" s="643">
        <f t="shared" si="29"/>
        <v>0</v>
      </c>
      <c r="Z85" s="393"/>
      <c r="AA85" s="391"/>
      <c r="AG85" s="395"/>
      <c r="AK85" s="391"/>
    </row>
    <row r="86" spans="1:37" ht="25.5">
      <c r="A86" s="551" t="s">
        <v>1616</v>
      </c>
      <c r="B86" s="563" t="str">
        <f>估价对象房地状况!G20</f>
        <v>估价对象所在区域基础设施水平</v>
      </c>
      <c r="C86" s="453"/>
      <c r="D86" s="555">
        <f t="shared" si="25"/>
        <v>0</v>
      </c>
      <c r="E86" s="356"/>
      <c r="F86" s="668"/>
      <c r="G86" s="557"/>
      <c r="H86" s="558" t="str">
        <f t="shared" si="26"/>
        <v>——</v>
      </c>
      <c r="I86" s="339">
        <v>0.15</v>
      </c>
      <c r="J86" s="643">
        <f t="shared" si="27"/>
        <v>0</v>
      </c>
      <c r="K86" s="643">
        <f t="shared" si="28"/>
        <v>0</v>
      </c>
      <c r="L86" s="643">
        <v>0</v>
      </c>
      <c r="M86" s="643">
        <f t="shared" si="29"/>
        <v>0</v>
      </c>
      <c r="N86" s="643">
        <f t="shared" si="29"/>
        <v>0</v>
      </c>
      <c r="Z86" s="393"/>
      <c r="AA86" s="391"/>
      <c r="AG86" s="395"/>
      <c r="AK86" s="391"/>
    </row>
    <row r="87" spans="1:37" ht="24">
      <c r="A87" s="551" t="s">
        <v>1613</v>
      </c>
      <c r="B87" s="561" t="s">
        <v>1614</v>
      </c>
      <c r="C87" s="453"/>
      <c r="D87" s="555">
        <f t="shared" si="25"/>
        <v>0</v>
      </c>
      <c r="E87" s="356"/>
      <c r="F87" s="668"/>
      <c r="G87" s="557"/>
      <c r="H87" s="558" t="str">
        <f t="shared" si="26"/>
        <v>——</v>
      </c>
      <c r="I87" s="339">
        <v>0.05</v>
      </c>
      <c r="J87" s="643">
        <f t="shared" si="27"/>
        <v>0</v>
      </c>
      <c r="K87" s="643">
        <f t="shared" si="28"/>
        <v>0</v>
      </c>
      <c r="L87" s="643">
        <v>0</v>
      </c>
      <c r="M87" s="643">
        <f t="shared" si="29"/>
        <v>0</v>
      </c>
      <c r="N87" s="643">
        <f t="shared" si="29"/>
        <v>0</v>
      </c>
      <c r="Z87" s="393"/>
      <c r="AA87" s="391"/>
      <c r="AG87" s="395"/>
      <c r="AK87" s="391"/>
    </row>
    <row r="88" spans="1:37" ht="38.25">
      <c r="A88" s="564" t="s">
        <v>1626</v>
      </c>
      <c r="B88" s="670" t="str">
        <f>估价对象房地状况!G18</f>
        <v>该园区内是否有污染型企业，绿化情况，卫生条件，整体环境状况判断</v>
      </c>
      <c r="C88" s="671"/>
      <c r="D88" s="672">
        <f t="shared" si="25"/>
        <v>0</v>
      </c>
      <c r="E88" s="359"/>
      <c r="F88" s="668"/>
      <c r="G88" s="557"/>
      <c r="H88" s="558" t="str">
        <f t="shared" si="26"/>
        <v>——</v>
      </c>
      <c r="I88" s="352">
        <v>0.06</v>
      </c>
      <c r="J88" s="643">
        <f t="shared" si="27"/>
        <v>0</v>
      </c>
      <c r="K88" s="643">
        <f t="shared" si="28"/>
        <v>0</v>
      </c>
      <c r="L88" s="643">
        <v>0</v>
      </c>
      <c r="M88" s="643">
        <f t="shared" si="29"/>
        <v>0</v>
      </c>
      <c r="N88" s="643">
        <f t="shared" si="29"/>
        <v>0</v>
      </c>
      <c r="Z88" s="393"/>
      <c r="AA88" s="391"/>
      <c r="AG88" s="395"/>
      <c r="AK88" s="391"/>
    </row>
    <row r="90" spans="1:37">
      <c r="A90" s="3079" t="s">
        <v>1627</v>
      </c>
      <c r="B90" s="3079"/>
      <c r="C90" s="3079"/>
      <c r="D90" s="3079"/>
      <c r="E90" s="3079"/>
      <c r="F90" s="3079"/>
      <c r="G90" s="3079"/>
      <c r="H90" s="3079"/>
      <c r="I90" s="3079"/>
      <c r="J90" s="3079"/>
      <c r="K90" s="673"/>
      <c r="L90" s="673"/>
      <c r="M90" s="673"/>
      <c r="N90" s="673"/>
    </row>
    <row r="91" spans="1:37">
      <c r="A91" s="3091" t="s">
        <v>1628</v>
      </c>
      <c r="B91" s="3091" t="s">
        <v>1629</v>
      </c>
      <c r="C91" s="521" t="s">
        <v>1630</v>
      </c>
      <c r="D91" s="522"/>
      <c r="E91" s="522"/>
      <c r="F91" s="522"/>
      <c r="G91" s="522"/>
      <c r="H91" s="522"/>
      <c r="I91" s="522"/>
      <c r="J91" s="695"/>
      <c r="K91" s="696"/>
      <c r="L91" s="696"/>
      <c r="M91" s="696"/>
      <c r="N91" s="696"/>
    </row>
    <row r="92" spans="1:37">
      <c r="A92" s="3091"/>
      <c r="B92" s="3091"/>
      <c r="C92" s="520" t="s">
        <v>1493</v>
      </c>
      <c r="D92" s="520" t="s">
        <v>1494</v>
      </c>
      <c r="E92" s="520" t="s">
        <v>1495</v>
      </c>
      <c r="F92" s="520" t="s">
        <v>1496</v>
      </c>
      <c r="G92" s="520" t="s">
        <v>1497</v>
      </c>
      <c r="H92" s="520" t="s">
        <v>1498</v>
      </c>
      <c r="I92" s="520" t="s">
        <v>1499</v>
      </c>
      <c r="J92" s="520" t="s">
        <v>1500</v>
      </c>
      <c r="K92" s="520" t="s">
        <v>1501</v>
      </c>
      <c r="L92" s="520" t="s">
        <v>1502</v>
      </c>
      <c r="M92" s="520" t="s">
        <v>1503</v>
      </c>
      <c r="N92" s="520" t="s">
        <v>1504</v>
      </c>
    </row>
    <row r="93" spans="1:37">
      <c r="A93" s="3092" t="s">
        <v>1631</v>
      </c>
      <c r="B93" s="674">
        <v>1</v>
      </c>
      <c r="C93" s="675">
        <v>1.9361999999999999</v>
      </c>
      <c r="D93" s="675">
        <v>1.9361999999999999</v>
      </c>
      <c r="E93" s="675">
        <v>1.8629</v>
      </c>
      <c r="F93" s="675">
        <v>1.8629</v>
      </c>
      <c r="G93" s="675">
        <v>1.8629</v>
      </c>
      <c r="H93" s="675">
        <v>1.8629</v>
      </c>
      <c r="I93" s="675">
        <v>1.8629</v>
      </c>
      <c r="J93" s="675">
        <v>1.9419999999999999</v>
      </c>
      <c r="K93" s="675">
        <v>1.9419999999999999</v>
      </c>
      <c r="L93" s="675">
        <v>1.9419999999999999</v>
      </c>
      <c r="M93" s="675">
        <v>1.9419999999999999</v>
      </c>
      <c r="N93" s="675">
        <v>1.9419999999999999</v>
      </c>
    </row>
    <row r="94" spans="1:37">
      <c r="A94" s="3093"/>
      <c r="B94" s="674">
        <v>2</v>
      </c>
      <c r="C94" s="675">
        <v>1.4198</v>
      </c>
      <c r="D94" s="675">
        <v>1.4198</v>
      </c>
      <c r="E94" s="675">
        <v>1.3371999999999999</v>
      </c>
      <c r="F94" s="675">
        <v>1.3371999999999999</v>
      </c>
      <c r="G94" s="675">
        <v>1.3371999999999999</v>
      </c>
      <c r="H94" s="675">
        <v>1.3371999999999999</v>
      </c>
      <c r="I94" s="675">
        <v>1.3371999999999999</v>
      </c>
      <c r="J94" s="675">
        <v>1.2799</v>
      </c>
      <c r="K94" s="675">
        <v>1.2799</v>
      </c>
      <c r="L94" s="675">
        <v>1.2799</v>
      </c>
      <c r="M94" s="675">
        <v>1.2799</v>
      </c>
      <c r="N94" s="675">
        <v>1.2799</v>
      </c>
    </row>
    <row r="95" spans="1:37">
      <c r="A95" s="3093"/>
      <c r="B95" s="674">
        <v>3</v>
      </c>
      <c r="C95" s="675">
        <v>1.1594</v>
      </c>
      <c r="D95" s="675">
        <v>1.1594</v>
      </c>
      <c r="E95" s="675">
        <v>1.0788</v>
      </c>
      <c r="F95" s="675">
        <v>1.0788</v>
      </c>
      <c r="G95" s="675">
        <v>1.0788</v>
      </c>
      <c r="H95" s="675">
        <v>1.0788</v>
      </c>
      <c r="I95" s="675">
        <v>1.0788</v>
      </c>
      <c r="J95" s="675">
        <v>1.0072000000000001</v>
      </c>
      <c r="K95" s="675">
        <v>1.0072000000000001</v>
      </c>
      <c r="L95" s="675">
        <v>1.0072000000000001</v>
      </c>
      <c r="M95" s="675">
        <v>1.0072000000000001</v>
      </c>
      <c r="N95" s="675">
        <v>1.0072000000000001</v>
      </c>
    </row>
    <row r="96" spans="1:37">
      <c r="A96" s="3093"/>
      <c r="B96" s="674">
        <v>4</v>
      </c>
      <c r="C96" s="675">
        <v>0.96220000000000006</v>
      </c>
      <c r="D96" s="675">
        <v>0.96220000000000006</v>
      </c>
      <c r="E96" s="675">
        <v>0.86560000000000004</v>
      </c>
      <c r="F96" s="675">
        <v>0.86560000000000004</v>
      </c>
      <c r="G96" s="675">
        <v>0.86560000000000004</v>
      </c>
      <c r="H96" s="675">
        <v>0.86560000000000004</v>
      </c>
      <c r="I96" s="675">
        <v>0.86560000000000004</v>
      </c>
      <c r="J96" s="675">
        <v>0.75249999999999995</v>
      </c>
      <c r="K96" s="675">
        <v>0.75249999999999995</v>
      </c>
      <c r="L96" s="675">
        <v>0.75249999999999995</v>
      </c>
      <c r="M96" s="675">
        <v>0.75249999999999995</v>
      </c>
      <c r="N96" s="675">
        <v>0.75249999999999995</v>
      </c>
    </row>
    <row r="97" spans="1:14">
      <c r="A97" s="3093"/>
      <c r="B97" s="674">
        <v>5</v>
      </c>
      <c r="C97" s="675">
        <v>0.8417</v>
      </c>
      <c r="D97" s="675">
        <v>0.8417</v>
      </c>
      <c r="E97" s="675">
        <v>0.73709999999999998</v>
      </c>
      <c r="F97" s="675">
        <v>0.73709999999999998</v>
      </c>
      <c r="G97" s="675">
        <v>0.73709999999999998</v>
      </c>
      <c r="H97" s="675">
        <v>0.73709999999999998</v>
      </c>
      <c r="I97" s="675">
        <v>0.73709999999999998</v>
      </c>
      <c r="J97" s="675">
        <v>0.56589999999999996</v>
      </c>
      <c r="K97" s="675">
        <v>0.56589999999999996</v>
      </c>
      <c r="L97" s="675">
        <v>0.56589999999999996</v>
      </c>
      <c r="M97" s="675">
        <v>0.56589999999999996</v>
      </c>
      <c r="N97" s="675">
        <v>0.56589999999999996</v>
      </c>
    </row>
    <row r="98" spans="1:14">
      <c r="A98" s="3093"/>
      <c r="B98" s="674">
        <v>6</v>
      </c>
      <c r="C98" s="675">
        <v>0.76080000000000003</v>
      </c>
      <c r="D98" s="675">
        <v>0.76080000000000003</v>
      </c>
      <c r="E98" s="675">
        <v>0.6482</v>
      </c>
      <c r="F98" s="675">
        <v>0.6482</v>
      </c>
      <c r="G98" s="675">
        <v>0.6482</v>
      </c>
      <c r="H98" s="675">
        <v>0.6482</v>
      </c>
      <c r="I98" s="675">
        <v>0.6482</v>
      </c>
      <c r="J98" s="675">
        <v>0.45250000000000001</v>
      </c>
      <c r="K98" s="675">
        <v>0.45250000000000001</v>
      </c>
      <c r="L98" s="675">
        <v>0.45250000000000001</v>
      </c>
      <c r="M98" s="675">
        <v>0.45250000000000001</v>
      </c>
      <c r="N98" s="675">
        <v>0.45250000000000001</v>
      </c>
    </row>
    <row r="99" spans="1:14">
      <c r="A99" s="3093"/>
      <c r="B99" s="674" t="s">
        <v>1509</v>
      </c>
      <c r="C99" s="676">
        <f>$I$3</f>
        <v>0</v>
      </c>
      <c r="D99" s="676">
        <f t="shared" ref="D99:N99" si="30">$I$3</f>
        <v>0</v>
      </c>
      <c r="E99" s="676">
        <f t="shared" si="30"/>
        <v>0</v>
      </c>
      <c r="F99" s="676">
        <f t="shared" si="30"/>
        <v>0</v>
      </c>
      <c r="G99" s="676">
        <f t="shared" si="30"/>
        <v>0</v>
      </c>
      <c r="H99" s="676">
        <f t="shared" si="30"/>
        <v>0</v>
      </c>
      <c r="I99" s="676">
        <f t="shared" si="30"/>
        <v>0</v>
      </c>
      <c r="J99" s="676">
        <f t="shared" si="30"/>
        <v>0</v>
      </c>
      <c r="K99" s="676">
        <f t="shared" si="30"/>
        <v>0</v>
      </c>
      <c r="L99" s="676">
        <f t="shared" si="30"/>
        <v>0</v>
      </c>
      <c r="M99" s="676">
        <f t="shared" si="30"/>
        <v>0</v>
      </c>
      <c r="N99" s="676">
        <f t="shared" si="30"/>
        <v>0</v>
      </c>
    </row>
    <row r="100" spans="1:14">
      <c r="A100" s="3094"/>
      <c r="B100" s="674">
        <v>7</v>
      </c>
      <c r="C100" s="677">
        <f>(-0.163*(C99^2)-0.59*C99+7617)*(10^(-4))</f>
        <v>0.76170000000000004</v>
      </c>
      <c r="D100" s="677">
        <f>(-0.163*(D99^2)-0.59*D99+7617)*(10^(-4))</f>
        <v>0.76170000000000004</v>
      </c>
      <c r="E100" s="677">
        <f>(-0.161*(E99^2)-7.509*E99+6533)*(10^(-4))</f>
        <v>0.65329999999999999</v>
      </c>
      <c r="F100" s="677">
        <f>(-0.161*(F99^2)-7.509*F99+6533)*(10^(-4))</f>
        <v>0.65329999999999999</v>
      </c>
      <c r="G100" s="677">
        <f>(-0.161*(G99^2)-7.509*G99+6533)*(10^(-4))</f>
        <v>0.65329999999999999</v>
      </c>
      <c r="H100" s="677">
        <f>(-0.161*(H99^2)-7.509*H99+6533)*(10^(-4))</f>
        <v>0.65329999999999999</v>
      </c>
      <c r="I100" s="677">
        <f>(-0.161*(I99^2)-7.509*I99+6533)*(10^(-4))</f>
        <v>0.65329999999999999</v>
      </c>
      <c r="J100" s="677">
        <f>(-0.214*(J99^2)-21.991*J99+4665)*(10^(-4))</f>
        <v>0.46650000000000003</v>
      </c>
      <c r="K100" s="677">
        <f>(-0.214*(K99^2)-21.991*K99+4665)*(10^(-4))</f>
        <v>0.46650000000000003</v>
      </c>
      <c r="L100" s="677">
        <f>(-0.214*(L99^2)-21.991*L99+4665)*(10^(-4))</f>
        <v>0.46650000000000003</v>
      </c>
      <c r="M100" s="677">
        <f>(-0.214*(M99^2)-21.991*M99+4665)*(10^(-4))</f>
        <v>0.46650000000000003</v>
      </c>
      <c r="N100" s="677">
        <f>(-0.214*(N99^2)-21.991*N99+4665)*(10^(-4))</f>
        <v>0.46650000000000003</v>
      </c>
    </row>
    <row r="101" spans="1:14">
      <c r="A101" s="3092" t="s">
        <v>1632</v>
      </c>
      <c r="B101" s="678" t="s">
        <v>1633</v>
      </c>
      <c r="C101" s="679">
        <f>$G$3</f>
        <v>0</v>
      </c>
      <c r="D101" s="679">
        <f t="shared" ref="D101:N101" si="31">$G$3</f>
        <v>0</v>
      </c>
      <c r="E101" s="679">
        <f t="shared" si="31"/>
        <v>0</v>
      </c>
      <c r="F101" s="679">
        <f t="shared" si="31"/>
        <v>0</v>
      </c>
      <c r="G101" s="679">
        <f t="shared" si="31"/>
        <v>0</v>
      </c>
      <c r="H101" s="679">
        <f t="shared" si="31"/>
        <v>0</v>
      </c>
      <c r="I101" s="679">
        <f t="shared" si="31"/>
        <v>0</v>
      </c>
      <c r="J101" s="679">
        <f t="shared" si="31"/>
        <v>0</v>
      </c>
      <c r="K101" s="679">
        <f t="shared" si="31"/>
        <v>0</v>
      </c>
      <c r="L101" s="679">
        <f t="shared" si="31"/>
        <v>0</v>
      </c>
      <c r="M101" s="679">
        <f t="shared" si="31"/>
        <v>0</v>
      </c>
      <c r="N101" s="679">
        <f t="shared" si="31"/>
        <v>0</v>
      </c>
    </row>
    <row r="102" spans="1:14">
      <c r="A102" s="3093"/>
      <c r="B102" s="674">
        <v>1</v>
      </c>
      <c r="C102" s="675" t="e">
        <f>1.9362/C101</f>
        <v>#DIV/0!</v>
      </c>
      <c r="D102" s="675" t="e">
        <f>1.9362/D101</f>
        <v>#DIV/0!</v>
      </c>
      <c r="E102" s="675" t="e">
        <f>1.8629/E101</f>
        <v>#DIV/0!</v>
      </c>
      <c r="F102" s="675" t="e">
        <f>1.8629/F101</f>
        <v>#DIV/0!</v>
      </c>
      <c r="G102" s="675" t="e">
        <f>1.8629/G101</f>
        <v>#DIV/0!</v>
      </c>
      <c r="H102" s="675" t="e">
        <f>1.8629/H101</f>
        <v>#DIV/0!</v>
      </c>
      <c r="I102" s="675" t="e">
        <f>1.8629/I101</f>
        <v>#DIV/0!</v>
      </c>
      <c r="J102" s="675" t="e">
        <f>1.942/J101</f>
        <v>#DIV/0!</v>
      </c>
      <c r="K102" s="675" t="e">
        <f>1.942/K101</f>
        <v>#DIV/0!</v>
      </c>
      <c r="L102" s="675" t="e">
        <f>1.942/L101</f>
        <v>#DIV/0!</v>
      </c>
      <c r="M102" s="675" t="e">
        <f>1.942/M101</f>
        <v>#DIV/0!</v>
      </c>
      <c r="N102" s="675" t="e">
        <f>1.942/N101</f>
        <v>#DIV/0!</v>
      </c>
    </row>
    <row r="103" spans="1:14">
      <c r="A103" s="3093"/>
      <c r="B103" s="674">
        <v>2</v>
      </c>
      <c r="C103" s="675" t="e">
        <f>1.4198/C101</f>
        <v>#DIV/0!</v>
      </c>
      <c r="D103" s="675" t="e">
        <f>1.4198/D101</f>
        <v>#DIV/0!</v>
      </c>
      <c r="E103" s="675" t="e">
        <f>1.3372/E101</f>
        <v>#DIV/0!</v>
      </c>
      <c r="F103" s="675" t="e">
        <f>1.3372/F101</f>
        <v>#DIV/0!</v>
      </c>
      <c r="G103" s="675" t="e">
        <f>1.3372/G101</f>
        <v>#DIV/0!</v>
      </c>
      <c r="H103" s="675" t="e">
        <f>1.3372/H101</f>
        <v>#DIV/0!</v>
      </c>
      <c r="I103" s="675" t="e">
        <f>1.3372/I101</f>
        <v>#DIV/0!</v>
      </c>
      <c r="J103" s="675" t="e">
        <f>1.2799/J101</f>
        <v>#DIV/0!</v>
      </c>
      <c r="K103" s="675" t="e">
        <f>1.2799/K101</f>
        <v>#DIV/0!</v>
      </c>
      <c r="L103" s="675" t="e">
        <f>1.2799/L101</f>
        <v>#DIV/0!</v>
      </c>
      <c r="M103" s="675" t="e">
        <f>1.2799/M101</f>
        <v>#DIV/0!</v>
      </c>
      <c r="N103" s="675" t="e">
        <f>1.2799/N101</f>
        <v>#DIV/0!</v>
      </c>
    </row>
    <row r="104" spans="1:14">
      <c r="A104" s="3093"/>
      <c r="B104" s="674">
        <v>3</v>
      </c>
      <c r="C104" s="675" t="e">
        <f>1.1594/C101</f>
        <v>#DIV/0!</v>
      </c>
      <c r="D104" s="675" t="e">
        <f>1.1594/D101</f>
        <v>#DIV/0!</v>
      </c>
      <c r="E104" s="675" t="e">
        <f>1.0788/E101</f>
        <v>#DIV/0!</v>
      </c>
      <c r="F104" s="675" t="e">
        <f>1.0788/F101</f>
        <v>#DIV/0!</v>
      </c>
      <c r="G104" s="675" t="e">
        <f>1.0788/G101</f>
        <v>#DIV/0!</v>
      </c>
      <c r="H104" s="675" t="e">
        <f>1.0788/H101</f>
        <v>#DIV/0!</v>
      </c>
      <c r="I104" s="675" t="e">
        <f>1.0788/I101</f>
        <v>#DIV/0!</v>
      </c>
      <c r="J104" s="675" t="e">
        <f>1.0072/J101</f>
        <v>#DIV/0!</v>
      </c>
      <c r="K104" s="675" t="e">
        <f>1.0072/K101</f>
        <v>#DIV/0!</v>
      </c>
      <c r="L104" s="675" t="e">
        <f>1.0072/L101</f>
        <v>#DIV/0!</v>
      </c>
      <c r="M104" s="675" t="e">
        <f>1.0072/M101</f>
        <v>#DIV/0!</v>
      </c>
      <c r="N104" s="675" t="e">
        <f>1.0072/N101</f>
        <v>#DIV/0!</v>
      </c>
    </row>
    <row r="105" spans="1:14">
      <c r="A105" s="3093"/>
      <c r="B105" s="674">
        <v>4</v>
      </c>
      <c r="C105" s="675" t="e">
        <f>0.9622/C101</f>
        <v>#DIV/0!</v>
      </c>
      <c r="D105" s="675" t="e">
        <f>0.9622/D101</f>
        <v>#DIV/0!</v>
      </c>
      <c r="E105" s="675" t="e">
        <f>0.8656/E101</f>
        <v>#DIV/0!</v>
      </c>
      <c r="F105" s="675" t="e">
        <f>0.8656/F101</f>
        <v>#DIV/0!</v>
      </c>
      <c r="G105" s="675" t="e">
        <f>0.8656/G101</f>
        <v>#DIV/0!</v>
      </c>
      <c r="H105" s="675" t="e">
        <f>0.8656/H101</f>
        <v>#DIV/0!</v>
      </c>
      <c r="I105" s="675" t="e">
        <f>0.8656/I101</f>
        <v>#DIV/0!</v>
      </c>
      <c r="J105" s="675" t="e">
        <f>0.7525/J101</f>
        <v>#DIV/0!</v>
      </c>
      <c r="K105" s="675" t="e">
        <f>0.7525/K101</f>
        <v>#DIV/0!</v>
      </c>
      <c r="L105" s="675" t="e">
        <f>0.7525/L101</f>
        <v>#DIV/0!</v>
      </c>
      <c r="M105" s="675" t="e">
        <f>0.7525/M101</f>
        <v>#DIV/0!</v>
      </c>
      <c r="N105" s="675" t="e">
        <f>0.7525/N101</f>
        <v>#DIV/0!</v>
      </c>
    </row>
    <row r="106" spans="1:14">
      <c r="A106" s="3093"/>
      <c r="B106" s="674">
        <v>5</v>
      </c>
      <c r="C106" s="675" t="e">
        <f>0.8417/C101</f>
        <v>#DIV/0!</v>
      </c>
      <c r="D106" s="675" t="e">
        <f>0.8417/D101</f>
        <v>#DIV/0!</v>
      </c>
      <c r="E106" s="675" t="e">
        <f>0.7371/E101</f>
        <v>#DIV/0!</v>
      </c>
      <c r="F106" s="675" t="e">
        <f>0.7371/F101</f>
        <v>#DIV/0!</v>
      </c>
      <c r="G106" s="675" t="e">
        <f>0.7371/G101</f>
        <v>#DIV/0!</v>
      </c>
      <c r="H106" s="675" t="e">
        <f>0.7371/H101</f>
        <v>#DIV/0!</v>
      </c>
      <c r="I106" s="675" t="e">
        <f>0.7371/I101</f>
        <v>#DIV/0!</v>
      </c>
      <c r="J106" s="675" t="e">
        <f>0.5659/J101</f>
        <v>#DIV/0!</v>
      </c>
      <c r="K106" s="675" t="e">
        <f>0.5659/K101</f>
        <v>#DIV/0!</v>
      </c>
      <c r="L106" s="675" t="e">
        <f>0.5659/L101</f>
        <v>#DIV/0!</v>
      </c>
      <c r="M106" s="675" t="e">
        <f>0.5659/M101</f>
        <v>#DIV/0!</v>
      </c>
      <c r="N106" s="675" t="e">
        <f>0.5659/N101</f>
        <v>#DIV/0!</v>
      </c>
    </row>
    <row r="107" spans="1:14">
      <c r="A107" s="3093"/>
      <c r="B107" s="674">
        <v>6</v>
      </c>
      <c r="C107" s="675" t="e">
        <f>0.7608/C101</f>
        <v>#DIV/0!</v>
      </c>
      <c r="D107" s="675" t="e">
        <f>0.7608/D101</f>
        <v>#DIV/0!</v>
      </c>
      <c r="E107" s="675" t="e">
        <f>0.6482/E101</f>
        <v>#DIV/0!</v>
      </c>
      <c r="F107" s="675" t="e">
        <f>0.6482/F101</f>
        <v>#DIV/0!</v>
      </c>
      <c r="G107" s="675" t="e">
        <f>0.6482/G101</f>
        <v>#DIV/0!</v>
      </c>
      <c r="H107" s="675" t="e">
        <f>0.6482/H101</f>
        <v>#DIV/0!</v>
      </c>
      <c r="I107" s="675" t="e">
        <f>0.6482/I101</f>
        <v>#DIV/0!</v>
      </c>
      <c r="J107" s="675" t="e">
        <f>0.4525/J101</f>
        <v>#DIV/0!</v>
      </c>
      <c r="K107" s="675" t="e">
        <f>0.4525/K101</f>
        <v>#DIV/0!</v>
      </c>
      <c r="L107" s="675" t="e">
        <f>0.4525/L101</f>
        <v>#DIV/0!</v>
      </c>
      <c r="M107" s="675" t="e">
        <f>0.4525/M101</f>
        <v>#DIV/0!</v>
      </c>
      <c r="N107" s="675" t="e">
        <f>0.4525/N101</f>
        <v>#DIV/0!</v>
      </c>
    </row>
    <row r="108" spans="1:14">
      <c r="A108" s="3093"/>
      <c r="B108" s="3095" t="s">
        <v>1519</v>
      </c>
      <c r="C108" s="676">
        <f>C99</f>
        <v>0</v>
      </c>
      <c r="D108" s="676">
        <f t="shared" ref="D108:N108" si="32">D99</f>
        <v>0</v>
      </c>
      <c r="E108" s="676">
        <f t="shared" si="32"/>
        <v>0</v>
      </c>
      <c r="F108" s="676">
        <f t="shared" si="32"/>
        <v>0</v>
      </c>
      <c r="G108" s="676">
        <f t="shared" si="32"/>
        <v>0</v>
      </c>
      <c r="H108" s="676">
        <f t="shared" si="32"/>
        <v>0</v>
      </c>
      <c r="I108" s="676">
        <f t="shared" si="32"/>
        <v>0</v>
      </c>
      <c r="J108" s="676">
        <f t="shared" si="32"/>
        <v>0</v>
      </c>
      <c r="K108" s="676">
        <f t="shared" si="32"/>
        <v>0</v>
      </c>
      <c r="L108" s="676">
        <f t="shared" si="32"/>
        <v>0</v>
      </c>
      <c r="M108" s="676">
        <f t="shared" si="32"/>
        <v>0</v>
      </c>
      <c r="N108" s="676">
        <f t="shared" si="32"/>
        <v>0</v>
      </c>
    </row>
    <row r="109" spans="1:14">
      <c r="A109" s="3094"/>
      <c r="B109" s="3096"/>
      <c r="C109" s="677" t="e">
        <f>(-0.163*(C108^2)-0.59*C108+7617)*(10^(-4))/C101</f>
        <v>#DIV/0!</v>
      </c>
      <c r="D109" s="677" t="e">
        <f>(-0.163*(D108^2)-0.59*D108+7617)*(10^(-4))/D101</f>
        <v>#DIV/0!</v>
      </c>
      <c r="E109" s="677" t="e">
        <f>(-0.161*(E108^2)-7.509*E108+6533)*(10^(-4))/E101</f>
        <v>#DIV/0!</v>
      </c>
      <c r="F109" s="677" t="e">
        <f>(-0.161*(F108^2)-7.509*F108+6533)*(10^(-4))/F101</f>
        <v>#DIV/0!</v>
      </c>
      <c r="G109" s="677" t="e">
        <f>(-0.161*(G108^2)-7.509*G108+6533)*(10^(-4))/G101</f>
        <v>#DIV/0!</v>
      </c>
      <c r="H109" s="677" t="e">
        <f>(-0.161*(H108^2)-7.509*H108+6533)*(10^(-4))/H101</f>
        <v>#DIV/0!</v>
      </c>
      <c r="I109" s="677" t="e">
        <f>(-0.161*(I108^2)-7.509*I108+6533)*(10^(-4))/I101</f>
        <v>#DIV/0!</v>
      </c>
      <c r="J109" s="677" t="e">
        <f>(-0.214*(J108^2)-21.991*J108+4665)*(10^(-4))/J101</f>
        <v>#DIV/0!</v>
      </c>
      <c r="K109" s="677" t="e">
        <f>(-0.214*(K108^2)-21.991*K108+4665)*(10^(-4))/K101</f>
        <v>#DIV/0!</v>
      </c>
      <c r="L109" s="677" t="e">
        <f>(-0.214*(L108^2)-21.991*L108+4665)*(10^(-4))/L101</f>
        <v>#DIV/0!</v>
      </c>
      <c r="M109" s="677" t="e">
        <f>(-0.214*(M108^2)-21.991*M108+4665)*(10^(-4))/M101</f>
        <v>#DIV/0!</v>
      </c>
      <c r="N109" s="677" t="e">
        <f>(-0.214*(N108^2)-21.991*N108+4665)*(10^(-4))/N101</f>
        <v>#DIV/0!</v>
      </c>
    </row>
    <row r="110" spans="1:14">
      <c r="A110" s="3081" t="s">
        <v>1634</v>
      </c>
      <c r="B110" s="3081"/>
      <c r="C110" s="3081"/>
      <c r="D110" s="3081"/>
      <c r="E110" s="3081"/>
      <c r="F110" s="3081"/>
      <c r="G110" s="3081"/>
      <c r="H110" s="3081"/>
      <c r="I110" s="3081"/>
      <c r="J110" s="3081"/>
      <c r="K110" s="680"/>
      <c r="L110" s="680"/>
      <c r="M110" s="680"/>
      <c r="N110" s="680"/>
    </row>
    <row r="113" spans="1:13" ht="24.75">
      <c r="A113" s="681" t="s">
        <v>1635</v>
      </c>
      <c r="B113" s="682">
        <f>G3</f>
        <v>0</v>
      </c>
      <c r="C113" s="683" t="s">
        <v>1636</v>
      </c>
      <c r="D113" s="684">
        <f>SUMPRODUCT((A115:A118=F113)*(B114:M114=H113)*B115:M118)</f>
        <v>0</v>
      </c>
      <c r="E113" s="685" t="s">
        <v>1568</v>
      </c>
      <c r="F113" s="686">
        <f>E2</f>
        <v>0</v>
      </c>
      <c r="G113" s="685" t="s">
        <v>1475</v>
      </c>
      <c r="H113" s="686" t="str">
        <f>G2</f>
        <v>二级</v>
      </c>
      <c r="I113" s="685"/>
      <c r="J113" s="697"/>
      <c r="K113" s="697"/>
      <c r="L113" s="697"/>
      <c r="M113" s="697"/>
    </row>
    <row r="114" spans="1:13">
      <c r="A114" s="687"/>
      <c r="B114" s="688" t="s">
        <v>1637</v>
      </c>
      <c r="C114" s="688" t="s">
        <v>1638</v>
      </c>
      <c r="D114" s="688" t="s">
        <v>1639</v>
      </c>
      <c r="E114" s="689" t="s">
        <v>1640</v>
      </c>
      <c r="F114" s="689" t="s">
        <v>1641</v>
      </c>
      <c r="G114" s="689" t="s">
        <v>1642</v>
      </c>
      <c r="H114" s="690" t="s">
        <v>1643</v>
      </c>
      <c r="I114" s="690" t="s">
        <v>1644</v>
      </c>
      <c r="J114" s="698" t="s">
        <v>1645</v>
      </c>
      <c r="K114" s="698" t="s">
        <v>1646</v>
      </c>
      <c r="L114" s="698" t="s">
        <v>1647</v>
      </c>
      <c r="M114" s="699" t="s">
        <v>1648</v>
      </c>
    </row>
    <row r="115" spans="1:13">
      <c r="A115" s="691" t="s">
        <v>1569</v>
      </c>
      <c r="B115" s="692">
        <f>ROUND(0.9335-0.0094*B113,4)</f>
        <v>0.9335</v>
      </c>
      <c r="C115" s="692">
        <f>B115</f>
        <v>0.9335</v>
      </c>
      <c r="D115" s="692">
        <f>ROUND(0.8331-0.0109*B113,4)</f>
        <v>0.83309999999999995</v>
      </c>
      <c r="E115" s="692">
        <f>D115</f>
        <v>0.83309999999999995</v>
      </c>
      <c r="F115" s="692">
        <f>E115</f>
        <v>0.83309999999999995</v>
      </c>
      <c r="G115" s="692">
        <f>F115</f>
        <v>0.83309999999999995</v>
      </c>
      <c r="H115" s="692">
        <f>G115</f>
        <v>0.83309999999999995</v>
      </c>
      <c r="I115" s="692">
        <f>ROUND(0.689-0.0155*B113,4)</f>
        <v>0.68899999999999995</v>
      </c>
      <c r="J115" s="692">
        <f t="shared" ref="J115:M118" si="33">I115</f>
        <v>0.68899999999999995</v>
      </c>
      <c r="K115" s="692">
        <f t="shared" si="33"/>
        <v>0.68899999999999995</v>
      </c>
      <c r="L115" s="692">
        <f t="shared" si="33"/>
        <v>0.68899999999999995</v>
      </c>
      <c r="M115" s="700">
        <f t="shared" si="33"/>
        <v>0.68899999999999995</v>
      </c>
    </row>
    <row r="116" spans="1:13">
      <c r="A116" s="691" t="s">
        <v>1570</v>
      </c>
      <c r="B116" s="692">
        <f>ROUND(0.949-0.012*B113,4)</f>
        <v>0.94899999999999995</v>
      </c>
      <c r="C116" s="692">
        <f>B116</f>
        <v>0.94899999999999995</v>
      </c>
      <c r="D116" s="692">
        <f>ROUND(0.8567-0.013*B113,4)</f>
        <v>0.85670000000000002</v>
      </c>
      <c r="E116" s="692">
        <f t="shared" ref="E116:H117" si="34">D116</f>
        <v>0.85670000000000002</v>
      </c>
      <c r="F116" s="692">
        <f t="shared" si="34"/>
        <v>0.85670000000000002</v>
      </c>
      <c r="G116" s="692">
        <f t="shared" si="34"/>
        <v>0.85670000000000002</v>
      </c>
      <c r="H116" s="692">
        <f t="shared" si="34"/>
        <v>0.85670000000000002</v>
      </c>
      <c r="I116" s="692">
        <f>ROUND(0.7694-0.014*B113,4)</f>
        <v>0.76939999999999997</v>
      </c>
      <c r="J116" s="692">
        <f t="shared" si="33"/>
        <v>0.76939999999999997</v>
      </c>
      <c r="K116" s="692">
        <f t="shared" si="33"/>
        <v>0.76939999999999997</v>
      </c>
      <c r="L116" s="692">
        <f t="shared" si="33"/>
        <v>0.76939999999999997</v>
      </c>
      <c r="M116" s="700">
        <f t="shared" si="33"/>
        <v>0.76939999999999997</v>
      </c>
    </row>
    <row r="117" spans="1:13">
      <c r="A117" s="691" t="s">
        <v>1571</v>
      </c>
      <c r="B117" s="692">
        <f>ROUND(0.8808-0.006*B113,4)</f>
        <v>0.88080000000000003</v>
      </c>
      <c r="C117" s="692">
        <f>B117</f>
        <v>0.88080000000000003</v>
      </c>
      <c r="D117" s="692">
        <f>ROUND(0.8748-0.008*B113,4)</f>
        <v>0.87480000000000002</v>
      </c>
      <c r="E117" s="692">
        <f t="shared" si="34"/>
        <v>0.87480000000000002</v>
      </c>
      <c r="F117" s="692">
        <f t="shared" si="34"/>
        <v>0.87480000000000002</v>
      </c>
      <c r="G117" s="692">
        <f t="shared" si="34"/>
        <v>0.87480000000000002</v>
      </c>
      <c r="H117" s="692">
        <f t="shared" si="34"/>
        <v>0.87480000000000002</v>
      </c>
      <c r="I117" s="692">
        <f>ROUND(0.7412-0.0095*B113,4)</f>
        <v>0.74119999999999997</v>
      </c>
      <c r="J117" s="692">
        <f t="shared" si="33"/>
        <v>0.74119999999999997</v>
      </c>
      <c r="K117" s="692">
        <f t="shared" si="33"/>
        <v>0.74119999999999997</v>
      </c>
      <c r="L117" s="692">
        <f t="shared" si="33"/>
        <v>0.74119999999999997</v>
      </c>
      <c r="M117" s="700">
        <f t="shared" si="33"/>
        <v>0.74119999999999997</v>
      </c>
    </row>
    <row r="118" spans="1:13">
      <c r="A118" s="693" t="s">
        <v>1572</v>
      </c>
      <c r="B118" s="694">
        <f>ROUND(0.7275-0.01*B113,4)</f>
        <v>0.72750000000000004</v>
      </c>
      <c r="C118" s="694">
        <f>B118</f>
        <v>0.72750000000000004</v>
      </c>
      <c r="D118" s="694">
        <f>ROUND(0.7043-0.012*B113,4)</f>
        <v>0.70430000000000004</v>
      </c>
      <c r="E118" s="694">
        <f>D118</f>
        <v>0.70430000000000004</v>
      </c>
      <c r="F118" s="694">
        <f>E118</f>
        <v>0.70430000000000004</v>
      </c>
      <c r="G118" s="694">
        <f>ROUND(0.6299-0.0122*B113,4)</f>
        <v>0.62990000000000002</v>
      </c>
      <c r="H118" s="694">
        <f>G118</f>
        <v>0.62990000000000002</v>
      </c>
      <c r="I118" s="694">
        <f>ROUND(0.5667-0.0136*B113,4)</f>
        <v>0.56669999999999998</v>
      </c>
      <c r="J118" s="694">
        <f t="shared" si="33"/>
        <v>0.56669999999999998</v>
      </c>
      <c r="K118" s="694">
        <f t="shared" si="33"/>
        <v>0.56669999999999998</v>
      </c>
      <c r="L118" s="694">
        <f t="shared" si="33"/>
        <v>0.56669999999999998</v>
      </c>
      <c r="M118" s="701">
        <f t="shared" si="33"/>
        <v>0.56669999999999998</v>
      </c>
    </row>
  </sheetData>
  <sheetProtection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0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H16:O16">
      <formula1>七通一平</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8" customWidth="1"/>
    <col min="2" max="2" width="10.25" style="279" customWidth="1"/>
  </cols>
  <sheetData>
    <row r="1" spans="1:6">
      <c r="A1" s="3097" t="s">
        <v>1649</v>
      </c>
      <c r="B1" s="3097"/>
    </row>
    <row r="2" spans="1:6">
      <c r="A2" s="280"/>
      <c r="B2" s="280"/>
    </row>
    <row r="3" spans="1:6">
      <c r="A3" s="280"/>
      <c r="B3" s="280"/>
      <c r="C3" s="368" t="s">
        <v>1650</v>
      </c>
      <c r="D3" s="368" t="s">
        <v>470</v>
      </c>
      <c r="E3" s="368" t="s">
        <v>1651</v>
      </c>
      <c r="F3" s="368" t="s">
        <v>1652</v>
      </c>
    </row>
    <row r="4" spans="1:6">
      <c r="A4" s="369" t="s">
        <v>1653</v>
      </c>
      <c r="B4" s="370" t="s">
        <v>1654</v>
      </c>
      <c r="C4" s="368"/>
      <c r="D4" s="368"/>
      <c r="E4" s="368"/>
      <c r="F4" s="368"/>
    </row>
    <row r="5" spans="1:6">
      <c r="A5" s="286" t="s">
        <v>1655</v>
      </c>
      <c r="B5" s="287" t="s">
        <v>1656</v>
      </c>
      <c r="C5" s="371">
        <v>8.8999999999999996E-2</v>
      </c>
      <c r="D5" s="371">
        <v>7.3999999999999996E-2</v>
      </c>
      <c r="E5" s="371">
        <v>7.4999999999999997E-2</v>
      </c>
      <c r="F5" s="372">
        <v>0.1</v>
      </c>
    </row>
    <row r="6" spans="1:6">
      <c r="A6" s="286" t="s">
        <v>1655</v>
      </c>
      <c r="B6" s="291" t="s">
        <v>1657</v>
      </c>
      <c r="C6" s="373">
        <v>0.1</v>
      </c>
      <c r="D6" s="373">
        <v>9.0999999999999998E-2</v>
      </c>
      <c r="E6" s="373">
        <v>9.0999999999999998E-2</v>
      </c>
      <c r="F6" s="374">
        <v>0.1</v>
      </c>
    </row>
    <row r="7" spans="1:6">
      <c r="A7" s="286" t="s">
        <v>1655</v>
      </c>
      <c r="B7" s="295" t="s">
        <v>1658</v>
      </c>
      <c r="C7" s="373">
        <v>8.5999999999999993E-2</v>
      </c>
      <c r="D7" s="373">
        <v>9.6000000000000002E-2</v>
      </c>
      <c r="E7" s="373">
        <v>7.5999999999999998E-2</v>
      </c>
      <c r="F7" s="374">
        <v>0.1</v>
      </c>
    </row>
    <row r="8" spans="1:6">
      <c r="A8" s="286" t="s">
        <v>1655</v>
      </c>
      <c r="B8" s="291" t="s">
        <v>1659</v>
      </c>
      <c r="C8" s="373">
        <v>9.9000000000000005E-2</v>
      </c>
      <c r="D8" s="373">
        <v>9.8000000000000004E-2</v>
      </c>
      <c r="E8" s="373">
        <v>9.8000000000000004E-2</v>
      </c>
      <c r="F8" s="374">
        <v>0.1</v>
      </c>
    </row>
    <row r="9" spans="1:6">
      <c r="A9" s="304" t="s">
        <v>1655</v>
      </c>
      <c r="B9" s="296" t="s">
        <v>1660</v>
      </c>
      <c r="C9" s="375">
        <v>0.05</v>
      </c>
      <c r="D9" s="376"/>
      <c r="E9" s="376"/>
      <c r="F9" s="377"/>
    </row>
    <row r="10" spans="1:6">
      <c r="A10" s="286" t="s">
        <v>357</v>
      </c>
      <c r="B10" s="287" t="s">
        <v>1661</v>
      </c>
      <c r="C10" s="371">
        <v>8.8999999999999996E-2</v>
      </c>
      <c r="D10" s="371">
        <v>7.2999999999999995E-2</v>
      </c>
      <c r="E10" s="371">
        <v>8.2000000000000003E-2</v>
      </c>
      <c r="F10" s="372">
        <v>0.1</v>
      </c>
    </row>
    <row r="11" spans="1:6">
      <c r="A11" s="286" t="s">
        <v>357</v>
      </c>
      <c r="B11" s="295" t="s">
        <v>1662</v>
      </c>
      <c r="C11" s="373">
        <v>8.8999999999999996E-2</v>
      </c>
      <c r="D11" s="373">
        <v>7.2999999999999995E-2</v>
      </c>
      <c r="E11" s="373">
        <v>8.2000000000000003E-2</v>
      </c>
      <c r="F11" s="374">
        <v>0.1</v>
      </c>
    </row>
    <row r="12" spans="1:6">
      <c r="A12" s="286" t="s">
        <v>357</v>
      </c>
      <c r="B12" s="295" t="s">
        <v>1663</v>
      </c>
      <c r="C12" s="373">
        <v>6.0999999999999999E-2</v>
      </c>
      <c r="D12" s="373">
        <v>7.0999999999999994E-2</v>
      </c>
      <c r="E12" s="373">
        <v>9.6000000000000002E-2</v>
      </c>
      <c r="F12" s="374">
        <v>0.1</v>
      </c>
    </row>
    <row r="13" spans="1:6">
      <c r="A13" s="286" t="s">
        <v>357</v>
      </c>
      <c r="B13" s="295" t="s">
        <v>1664</v>
      </c>
      <c r="C13" s="373">
        <v>6.9000000000000006E-2</v>
      </c>
      <c r="D13" s="373">
        <v>6.5000000000000002E-2</v>
      </c>
      <c r="E13" s="373">
        <v>6.6000000000000003E-2</v>
      </c>
      <c r="F13" s="374">
        <v>0.1</v>
      </c>
    </row>
    <row r="14" spans="1:6">
      <c r="A14" s="286" t="s">
        <v>357</v>
      </c>
      <c r="B14" s="295" t="s">
        <v>1665</v>
      </c>
      <c r="C14" s="373">
        <v>0.1</v>
      </c>
      <c r="D14" s="373">
        <v>6.5000000000000002E-2</v>
      </c>
      <c r="E14" s="373">
        <v>7.0000000000000007E-2</v>
      </c>
      <c r="F14" s="374">
        <v>0.1</v>
      </c>
    </row>
    <row r="15" spans="1:6">
      <c r="A15" s="286" t="s">
        <v>357</v>
      </c>
      <c r="B15" s="295" t="s">
        <v>1666</v>
      </c>
      <c r="C15" s="373">
        <v>9.8000000000000004E-2</v>
      </c>
      <c r="D15" s="373">
        <v>8.8999999999999996E-2</v>
      </c>
      <c r="E15" s="373">
        <v>8.8999999999999996E-2</v>
      </c>
      <c r="F15" s="374">
        <v>0.1</v>
      </c>
    </row>
    <row r="16" spans="1:6">
      <c r="A16" s="286" t="s">
        <v>357</v>
      </c>
      <c r="B16" s="295" t="s">
        <v>1667</v>
      </c>
      <c r="C16" s="373">
        <v>7.0000000000000007E-2</v>
      </c>
      <c r="D16" s="373">
        <v>9.2999999999999999E-2</v>
      </c>
      <c r="E16" s="373">
        <v>9.6000000000000002E-2</v>
      </c>
      <c r="F16" s="374">
        <v>0.1</v>
      </c>
    </row>
    <row r="17" spans="1:6">
      <c r="A17" s="286" t="s">
        <v>357</v>
      </c>
      <c r="B17" s="295" t="s">
        <v>1668</v>
      </c>
      <c r="C17" s="373">
        <v>9.5000000000000001E-2</v>
      </c>
      <c r="D17" s="373">
        <v>0.1</v>
      </c>
      <c r="E17" s="373">
        <v>0.1</v>
      </c>
      <c r="F17" s="378"/>
    </row>
    <row r="18" spans="1:6">
      <c r="A18" s="286" t="s">
        <v>357</v>
      </c>
      <c r="B18" s="295" t="s">
        <v>360</v>
      </c>
      <c r="C18" s="373">
        <v>7.3999999999999996E-2</v>
      </c>
      <c r="D18" s="373">
        <v>9.9000000000000005E-2</v>
      </c>
      <c r="E18" s="373">
        <v>0.1</v>
      </c>
      <c r="F18" s="378"/>
    </row>
    <row r="19" spans="1:6">
      <c r="A19" s="286" t="s">
        <v>357</v>
      </c>
      <c r="B19" s="295" t="s">
        <v>1669</v>
      </c>
      <c r="C19" s="373">
        <v>9.9000000000000005E-2</v>
      </c>
      <c r="D19" s="373">
        <v>7.5999999999999998E-2</v>
      </c>
      <c r="E19" s="373">
        <v>8.6999999999999994E-2</v>
      </c>
      <c r="F19" s="378"/>
    </row>
    <row r="20" spans="1:6">
      <c r="A20" s="286" t="s">
        <v>357</v>
      </c>
      <c r="B20" s="295" t="s">
        <v>1670</v>
      </c>
      <c r="C20" s="373">
        <v>9.8000000000000004E-2</v>
      </c>
      <c r="D20" s="373">
        <v>8.5000000000000006E-2</v>
      </c>
      <c r="E20" s="373">
        <v>8.2000000000000003E-2</v>
      </c>
      <c r="F20" s="378"/>
    </row>
    <row r="21" spans="1:6">
      <c r="A21" s="286" t="s">
        <v>357</v>
      </c>
      <c r="B21" s="295" t="s">
        <v>1671</v>
      </c>
      <c r="C21" s="373">
        <v>6.6000000000000003E-2</v>
      </c>
      <c r="D21" s="373">
        <v>6.4000000000000001E-2</v>
      </c>
      <c r="E21" s="373">
        <v>6.5000000000000002E-2</v>
      </c>
      <c r="F21" s="378"/>
    </row>
    <row r="22" spans="1:6">
      <c r="A22" s="286" t="s">
        <v>357</v>
      </c>
      <c r="B22" s="295" t="s">
        <v>1672</v>
      </c>
      <c r="C22" s="373">
        <v>0.08</v>
      </c>
      <c r="D22" s="373">
        <v>9.8000000000000004E-2</v>
      </c>
      <c r="E22" s="373">
        <v>9.8000000000000004E-2</v>
      </c>
      <c r="F22" s="378"/>
    </row>
    <row r="23" spans="1:6">
      <c r="A23" s="286" t="s">
        <v>357</v>
      </c>
      <c r="B23" s="295" t="s">
        <v>1673</v>
      </c>
      <c r="C23" s="373">
        <v>9.9000000000000005E-2</v>
      </c>
      <c r="D23" s="373">
        <v>9.8000000000000004E-2</v>
      </c>
      <c r="E23" s="373">
        <v>9.0999999999999998E-2</v>
      </c>
      <c r="F23" s="378"/>
    </row>
    <row r="24" spans="1:6">
      <c r="A24" s="286" t="s">
        <v>357</v>
      </c>
      <c r="B24" s="295" t="s">
        <v>1674</v>
      </c>
      <c r="C24" s="373">
        <v>8.8999999999999996E-2</v>
      </c>
      <c r="D24" s="373">
        <v>9.7000000000000003E-2</v>
      </c>
      <c r="E24" s="373">
        <v>7.0000000000000007E-2</v>
      </c>
      <c r="F24" s="378"/>
    </row>
    <row r="25" spans="1:6">
      <c r="A25" s="286" t="s">
        <v>357</v>
      </c>
      <c r="B25" s="295" t="s">
        <v>1675</v>
      </c>
      <c r="C25" s="373">
        <v>8.8999999999999996E-2</v>
      </c>
      <c r="D25" s="373">
        <v>0.1</v>
      </c>
      <c r="E25" s="373">
        <v>8.1000000000000003E-2</v>
      </c>
      <c r="F25" s="378"/>
    </row>
    <row r="26" spans="1:6">
      <c r="A26" s="286" t="s">
        <v>357</v>
      </c>
      <c r="B26" s="295" t="s">
        <v>1676</v>
      </c>
      <c r="C26" s="379"/>
      <c r="D26" s="373">
        <v>9.6000000000000002E-2</v>
      </c>
      <c r="E26" s="373">
        <v>9.2999999999999999E-2</v>
      </c>
      <c r="F26" s="378"/>
    </row>
    <row r="27" spans="1:6">
      <c r="A27" s="286" t="s">
        <v>357</v>
      </c>
      <c r="B27" s="295" t="s">
        <v>1677</v>
      </c>
      <c r="C27" s="379"/>
      <c r="D27" s="373">
        <v>7.5999999999999998E-2</v>
      </c>
      <c r="E27" s="373">
        <v>9.1999999999999998E-2</v>
      </c>
      <c r="F27" s="378"/>
    </row>
    <row r="28" spans="1:6">
      <c r="A28" s="304" t="s">
        <v>357</v>
      </c>
      <c r="B28" s="296" t="s">
        <v>1678</v>
      </c>
      <c r="C28" s="376"/>
      <c r="D28" s="375">
        <v>7.5999999999999998E-2</v>
      </c>
      <c r="E28" s="375">
        <v>9.1999999999999998E-2</v>
      </c>
      <c r="F28" s="377"/>
    </row>
    <row r="29" spans="1:6">
      <c r="A29" s="286" t="s">
        <v>1679</v>
      </c>
      <c r="B29" s="287" t="s">
        <v>1680</v>
      </c>
      <c r="C29" s="371">
        <v>6.4000000000000001E-2</v>
      </c>
      <c r="D29" s="371">
        <v>6.5000000000000002E-2</v>
      </c>
      <c r="E29" s="371">
        <v>6.9000000000000006E-2</v>
      </c>
      <c r="F29" s="372">
        <v>0.1</v>
      </c>
    </row>
    <row r="30" spans="1:6">
      <c r="A30" s="286" t="s">
        <v>1679</v>
      </c>
      <c r="B30" s="295" t="s">
        <v>1681</v>
      </c>
      <c r="C30" s="373">
        <v>6.4000000000000001E-2</v>
      </c>
      <c r="D30" s="373">
        <v>9.9000000000000005E-2</v>
      </c>
      <c r="E30" s="373">
        <v>0.1</v>
      </c>
      <c r="F30" s="374">
        <v>0.1</v>
      </c>
    </row>
    <row r="31" spans="1:6">
      <c r="A31" s="286" t="s">
        <v>1679</v>
      </c>
      <c r="B31" s="295" t="s">
        <v>1682</v>
      </c>
      <c r="C31" s="373">
        <v>0.1</v>
      </c>
      <c r="D31" s="373">
        <v>9.5000000000000001E-2</v>
      </c>
      <c r="E31" s="373">
        <v>8.8999999999999996E-2</v>
      </c>
      <c r="F31" s="374">
        <v>0.1</v>
      </c>
    </row>
    <row r="32" spans="1:6">
      <c r="A32" s="286" t="s">
        <v>1679</v>
      </c>
      <c r="B32" s="295" t="s">
        <v>1683</v>
      </c>
      <c r="C32" s="373">
        <v>0.05</v>
      </c>
      <c r="D32" s="373">
        <v>0.05</v>
      </c>
      <c r="E32" s="373">
        <v>8.7999999999999995E-2</v>
      </c>
      <c r="F32" s="374">
        <v>0.1</v>
      </c>
    </row>
    <row r="33" spans="1:6">
      <c r="A33" s="286" t="s">
        <v>1679</v>
      </c>
      <c r="B33" s="295" t="s">
        <v>1684</v>
      </c>
      <c r="C33" s="373">
        <v>7.4999999999999997E-2</v>
      </c>
      <c r="D33" s="373">
        <v>9.4E-2</v>
      </c>
      <c r="E33" s="373">
        <v>9.7000000000000003E-2</v>
      </c>
      <c r="F33" s="374">
        <v>0.1</v>
      </c>
    </row>
    <row r="34" spans="1:6">
      <c r="A34" s="286" t="s">
        <v>1679</v>
      </c>
      <c r="B34" s="295" t="s">
        <v>1685</v>
      </c>
      <c r="C34" s="373">
        <v>9.8000000000000004E-2</v>
      </c>
      <c r="D34" s="373">
        <v>8.5999999999999993E-2</v>
      </c>
      <c r="E34" s="373">
        <v>9.7000000000000003E-2</v>
      </c>
      <c r="F34" s="374">
        <v>0.1</v>
      </c>
    </row>
    <row r="35" spans="1:6">
      <c r="A35" s="286" t="s">
        <v>1679</v>
      </c>
      <c r="B35" s="295" t="s">
        <v>1686</v>
      </c>
      <c r="C35" s="373">
        <v>5.8999999999999997E-2</v>
      </c>
      <c r="D35" s="373">
        <v>6.5000000000000002E-2</v>
      </c>
      <c r="E35" s="373">
        <v>7.0000000000000007E-2</v>
      </c>
      <c r="F35" s="374">
        <v>0.1</v>
      </c>
    </row>
    <row r="36" spans="1:6">
      <c r="A36" s="286" t="s">
        <v>1679</v>
      </c>
      <c r="B36" s="295" t="s">
        <v>1687</v>
      </c>
      <c r="C36" s="373">
        <v>6.3E-2</v>
      </c>
      <c r="D36" s="373">
        <v>0.1</v>
      </c>
      <c r="E36" s="373">
        <v>0.1</v>
      </c>
      <c r="F36" s="374">
        <v>0.1</v>
      </c>
    </row>
    <row r="37" spans="1:6">
      <c r="A37" s="286" t="s">
        <v>1679</v>
      </c>
      <c r="B37" s="295" t="s">
        <v>1688</v>
      </c>
      <c r="C37" s="373">
        <v>7.3999999999999996E-2</v>
      </c>
      <c r="D37" s="373">
        <v>0.1</v>
      </c>
      <c r="E37" s="373">
        <v>0.1</v>
      </c>
      <c r="F37" s="374">
        <v>0.1</v>
      </c>
    </row>
    <row r="38" spans="1:6">
      <c r="A38" s="286" t="s">
        <v>1679</v>
      </c>
      <c r="B38" s="295" t="s">
        <v>1689</v>
      </c>
      <c r="C38" s="373">
        <v>0.1</v>
      </c>
      <c r="D38" s="373">
        <v>9.6000000000000002E-2</v>
      </c>
      <c r="E38" s="373">
        <v>9.6000000000000002E-2</v>
      </c>
      <c r="F38" s="378"/>
    </row>
    <row r="39" spans="1:6">
      <c r="A39" s="286" t="s">
        <v>1679</v>
      </c>
      <c r="B39" s="295" t="s">
        <v>1690</v>
      </c>
      <c r="C39" s="373">
        <v>0.1</v>
      </c>
      <c r="D39" s="373">
        <v>9.6000000000000002E-2</v>
      </c>
      <c r="E39" s="373">
        <v>9.6000000000000002E-2</v>
      </c>
      <c r="F39" s="378"/>
    </row>
    <row r="40" spans="1:6">
      <c r="A40" s="286" t="s">
        <v>1679</v>
      </c>
      <c r="B40" s="295" t="s">
        <v>1691</v>
      </c>
      <c r="C40" s="373">
        <v>9.6000000000000002E-2</v>
      </c>
      <c r="D40" s="373">
        <v>0.1</v>
      </c>
      <c r="E40" s="373">
        <v>9.9000000000000005E-2</v>
      </c>
      <c r="F40" s="378"/>
    </row>
    <row r="41" spans="1:6">
      <c r="A41" s="286" t="s">
        <v>1679</v>
      </c>
      <c r="B41" s="295" t="s">
        <v>1692</v>
      </c>
      <c r="C41" s="373">
        <v>9.6000000000000002E-2</v>
      </c>
      <c r="D41" s="373">
        <v>9.8000000000000004E-2</v>
      </c>
      <c r="E41" s="373">
        <v>9.8000000000000004E-2</v>
      </c>
      <c r="F41" s="378"/>
    </row>
    <row r="42" spans="1:6">
      <c r="A42" s="286" t="s">
        <v>1679</v>
      </c>
      <c r="B42" s="295" t="s">
        <v>1693</v>
      </c>
      <c r="C42" s="373">
        <v>0.1</v>
      </c>
      <c r="D42" s="373">
        <v>8.7999999999999995E-2</v>
      </c>
      <c r="E42" s="373">
        <v>0.1</v>
      </c>
      <c r="F42" s="378"/>
    </row>
    <row r="43" spans="1:6">
      <c r="A43" s="286" t="s">
        <v>1679</v>
      </c>
      <c r="B43" s="295" t="s">
        <v>1694</v>
      </c>
      <c r="C43" s="373">
        <v>9.8000000000000004E-2</v>
      </c>
      <c r="D43" s="373">
        <v>9.7000000000000003E-2</v>
      </c>
      <c r="E43" s="373">
        <v>9.6000000000000002E-2</v>
      </c>
      <c r="F43" s="378"/>
    </row>
    <row r="44" spans="1:6">
      <c r="A44" s="286" t="s">
        <v>1679</v>
      </c>
      <c r="B44" s="295" t="s">
        <v>1695</v>
      </c>
      <c r="C44" s="373">
        <v>8.5999999999999993E-2</v>
      </c>
      <c r="D44" s="373">
        <v>7.9000000000000001E-2</v>
      </c>
      <c r="E44" s="373">
        <v>7.0999999999999994E-2</v>
      </c>
      <c r="F44" s="378"/>
    </row>
    <row r="45" spans="1:6">
      <c r="A45" s="286" t="s">
        <v>1679</v>
      </c>
      <c r="B45" s="295" t="s">
        <v>1696</v>
      </c>
      <c r="C45" s="373">
        <v>9.8000000000000004E-2</v>
      </c>
      <c r="D45" s="373">
        <v>9.6000000000000002E-2</v>
      </c>
      <c r="E45" s="373">
        <v>9.6000000000000002E-2</v>
      </c>
      <c r="F45" s="378"/>
    </row>
    <row r="46" spans="1:6">
      <c r="A46" s="286" t="s">
        <v>1679</v>
      </c>
      <c r="B46" s="295" t="s">
        <v>1697</v>
      </c>
      <c r="C46" s="373">
        <v>8.5999999999999993E-2</v>
      </c>
      <c r="D46" s="373">
        <v>9.8000000000000004E-2</v>
      </c>
      <c r="E46" s="373">
        <v>8.7999999999999995E-2</v>
      </c>
      <c r="F46" s="378"/>
    </row>
    <row r="47" spans="1:6">
      <c r="A47" s="286" t="s">
        <v>1679</v>
      </c>
      <c r="B47" s="295" t="s">
        <v>1698</v>
      </c>
      <c r="C47" s="373">
        <v>9.6000000000000002E-2</v>
      </c>
      <c r="D47" s="379"/>
      <c r="E47" s="373">
        <v>6.9000000000000006E-2</v>
      </c>
      <c r="F47" s="378"/>
    </row>
    <row r="48" spans="1:6">
      <c r="A48" s="304" t="s">
        <v>1679</v>
      </c>
      <c r="B48" s="296" t="s">
        <v>1699</v>
      </c>
      <c r="C48" s="375">
        <v>9.8000000000000004E-2</v>
      </c>
      <c r="D48" s="376"/>
      <c r="E48" s="375">
        <v>9.5000000000000001E-2</v>
      </c>
      <c r="F48" s="377"/>
    </row>
    <row r="49" spans="1:6">
      <c r="A49" s="286" t="s">
        <v>1700</v>
      </c>
      <c r="B49" s="287" t="s">
        <v>1701</v>
      </c>
      <c r="C49" s="371">
        <v>9.7000000000000003E-2</v>
      </c>
      <c r="D49" s="371">
        <v>9.5000000000000001E-2</v>
      </c>
      <c r="E49" s="371">
        <v>9.7000000000000003E-2</v>
      </c>
      <c r="F49" s="372">
        <v>0.1</v>
      </c>
    </row>
    <row r="50" spans="1:6">
      <c r="A50" s="286" t="s">
        <v>1700</v>
      </c>
      <c r="B50" s="291" t="s">
        <v>1702</v>
      </c>
      <c r="C50" s="373">
        <v>7.4999999999999997E-2</v>
      </c>
      <c r="D50" s="373">
        <v>9.5000000000000001E-2</v>
      </c>
      <c r="E50" s="373">
        <v>0.1</v>
      </c>
      <c r="F50" s="374">
        <v>0.1</v>
      </c>
    </row>
    <row r="51" spans="1:6">
      <c r="A51" s="286" t="s">
        <v>1700</v>
      </c>
      <c r="B51" s="291" t="s">
        <v>1703</v>
      </c>
      <c r="C51" s="373">
        <v>9.8000000000000004E-2</v>
      </c>
      <c r="D51" s="373">
        <v>8.8999999999999996E-2</v>
      </c>
      <c r="E51" s="373">
        <v>0.1</v>
      </c>
      <c r="F51" s="374">
        <v>0.1</v>
      </c>
    </row>
    <row r="52" spans="1:6">
      <c r="A52" s="286" t="s">
        <v>1700</v>
      </c>
      <c r="B52" s="291" t="s">
        <v>1704</v>
      </c>
      <c r="C52" s="373">
        <v>9.8000000000000004E-2</v>
      </c>
      <c r="D52" s="373">
        <v>9.7000000000000003E-2</v>
      </c>
      <c r="E52" s="373">
        <v>8.1000000000000003E-2</v>
      </c>
      <c r="F52" s="374">
        <v>0.1</v>
      </c>
    </row>
    <row r="53" spans="1:6">
      <c r="A53" s="286" t="s">
        <v>1700</v>
      </c>
      <c r="B53" s="291" t="s">
        <v>1705</v>
      </c>
      <c r="C53" s="373">
        <v>9.7000000000000003E-2</v>
      </c>
      <c r="D53" s="373">
        <v>7.5999999999999998E-2</v>
      </c>
      <c r="E53" s="373">
        <v>7.0999999999999994E-2</v>
      </c>
      <c r="F53" s="374">
        <v>0.1</v>
      </c>
    </row>
    <row r="54" spans="1:6">
      <c r="A54" s="286" t="s">
        <v>1700</v>
      </c>
      <c r="B54" s="291" t="s">
        <v>1706</v>
      </c>
      <c r="C54" s="373">
        <v>7.5999999999999998E-2</v>
      </c>
      <c r="D54" s="373">
        <v>0.1</v>
      </c>
      <c r="E54" s="373">
        <v>9.9000000000000005E-2</v>
      </c>
      <c r="F54" s="374">
        <v>0.1</v>
      </c>
    </row>
    <row r="55" spans="1:6">
      <c r="A55" s="286" t="s">
        <v>1700</v>
      </c>
      <c r="B55" s="291" t="s">
        <v>1707</v>
      </c>
      <c r="C55" s="373">
        <v>0.1</v>
      </c>
      <c r="D55" s="373">
        <v>0.1</v>
      </c>
      <c r="E55" s="373">
        <v>9.6000000000000002E-2</v>
      </c>
      <c r="F55" s="374">
        <v>0.1</v>
      </c>
    </row>
    <row r="56" spans="1:6">
      <c r="A56" s="286" t="s">
        <v>1700</v>
      </c>
      <c r="B56" s="291" t="s">
        <v>1708</v>
      </c>
      <c r="C56" s="373">
        <v>0.1</v>
      </c>
      <c r="D56" s="373">
        <v>9.6000000000000002E-2</v>
      </c>
      <c r="E56" s="373">
        <v>5.1999999999999998E-2</v>
      </c>
      <c r="F56" s="374">
        <v>0.1</v>
      </c>
    </row>
    <row r="57" spans="1:6">
      <c r="A57" s="286" t="s">
        <v>1700</v>
      </c>
      <c r="B57" s="291" t="s">
        <v>1709</v>
      </c>
      <c r="C57" s="373">
        <v>9.7000000000000003E-2</v>
      </c>
      <c r="D57" s="373">
        <v>9.6000000000000002E-2</v>
      </c>
      <c r="E57" s="373">
        <v>9.6000000000000002E-2</v>
      </c>
      <c r="F57" s="374">
        <v>0.1</v>
      </c>
    </row>
    <row r="58" spans="1:6">
      <c r="A58" s="286" t="s">
        <v>1700</v>
      </c>
      <c r="B58" s="291" t="s">
        <v>1710</v>
      </c>
      <c r="C58" s="373">
        <v>9.6000000000000002E-2</v>
      </c>
      <c r="D58" s="373">
        <v>9.9000000000000005E-2</v>
      </c>
      <c r="E58" s="373">
        <v>9.6000000000000002E-2</v>
      </c>
      <c r="F58" s="374">
        <v>0.1</v>
      </c>
    </row>
    <row r="59" spans="1:6">
      <c r="A59" s="286" t="s">
        <v>1700</v>
      </c>
      <c r="B59" s="291" t="s">
        <v>1711</v>
      </c>
      <c r="C59" s="373">
        <v>7.1999999999999995E-2</v>
      </c>
      <c r="D59" s="373">
        <v>9.6000000000000002E-2</v>
      </c>
      <c r="E59" s="373">
        <v>7.0999999999999994E-2</v>
      </c>
      <c r="F59" s="374">
        <v>0.1</v>
      </c>
    </row>
    <row r="60" spans="1:6">
      <c r="A60" s="286" t="s">
        <v>1700</v>
      </c>
      <c r="B60" s="291" t="s">
        <v>1712</v>
      </c>
      <c r="C60" s="373">
        <v>9.6000000000000002E-2</v>
      </c>
      <c r="D60" s="373">
        <v>8.8999999999999996E-2</v>
      </c>
      <c r="E60" s="373">
        <v>9.6000000000000002E-2</v>
      </c>
      <c r="F60" s="374">
        <v>0.1</v>
      </c>
    </row>
    <row r="61" spans="1:6">
      <c r="A61" s="286" t="s">
        <v>1700</v>
      </c>
      <c r="B61" s="291" t="s">
        <v>1713</v>
      </c>
      <c r="C61" s="373">
        <v>8.8999999999999996E-2</v>
      </c>
      <c r="D61" s="373">
        <v>9.8000000000000004E-2</v>
      </c>
      <c r="E61" s="373">
        <v>8.7999999999999995E-2</v>
      </c>
      <c r="F61" s="378"/>
    </row>
    <row r="62" spans="1:6">
      <c r="A62" s="286" t="s">
        <v>1700</v>
      </c>
      <c r="B62" s="291" t="s">
        <v>1714</v>
      </c>
      <c r="C62" s="373">
        <v>9.8000000000000004E-2</v>
      </c>
      <c r="D62" s="373">
        <v>9.2999999999999999E-2</v>
      </c>
      <c r="E62" s="373">
        <v>9.7000000000000003E-2</v>
      </c>
      <c r="F62" s="378"/>
    </row>
    <row r="63" spans="1:6">
      <c r="A63" s="286" t="s">
        <v>1700</v>
      </c>
      <c r="B63" s="291" t="s">
        <v>1715</v>
      </c>
      <c r="C63" s="373">
        <v>9.6000000000000002E-2</v>
      </c>
      <c r="D63" s="373">
        <v>9.8000000000000004E-2</v>
      </c>
      <c r="E63" s="373">
        <v>0.09</v>
      </c>
      <c r="F63" s="378"/>
    </row>
    <row r="64" spans="1:6">
      <c r="A64" s="286" t="s">
        <v>1700</v>
      </c>
      <c r="B64" s="291" t="s">
        <v>1716</v>
      </c>
      <c r="C64" s="373">
        <v>9.9000000000000005E-2</v>
      </c>
      <c r="D64" s="373">
        <v>9.7000000000000003E-2</v>
      </c>
      <c r="E64" s="373">
        <v>9.9000000000000005E-2</v>
      </c>
      <c r="F64" s="378"/>
    </row>
    <row r="65" spans="1:6">
      <c r="A65" s="286" t="s">
        <v>1700</v>
      </c>
      <c r="B65" s="291" t="s">
        <v>1717</v>
      </c>
      <c r="C65" s="373">
        <v>9.8000000000000004E-2</v>
      </c>
      <c r="D65" s="373">
        <v>9.6000000000000002E-2</v>
      </c>
      <c r="E65" s="373">
        <v>9.6000000000000002E-2</v>
      </c>
      <c r="F65" s="378"/>
    </row>
    <row r="66" spans="1:6">
      <c r="A66" s="286" t="s">
        <v>1700</v>
      </c>
      <c r="B66" s="291" t="s">
        <v>1718</v>
      </c>
      <c r="C66" s="373">
        <v>9.6000000000000002E-2</v>
      </c>
      <c r="D66" s="373">
        <v>9.1999999999999998E-2</v>
      </c>
      <c r="E66" s="373">
        <v>9.6000000000000002E-2</v>
      </c>
      <c r="F66" s="378"/>
    </row>
    <row r="67" spans="1:6">
      <c r="A67" s="286" t="s">
        <v>1700</v>
      </c>
      <c r="B67" s="291" t="s">
        <v>1719</v>
      </c>
      <c r="C67" s="373">
        <v>9.4E-2</v>
      </c>
      <c r="D67" s="373">
        <v>0.1</v>
      </c>
      <c r="E67" s="373">
        <v>8.7999999999999995E-2</v>
      </c>
      <c r="F67" s="378"/>
    </row>
    <row r="68" spans="1:6">
      <c r="A68" s="286" t="s">
        <v>1700</v>
      </c>
      <c r="B68" s="291" t="s">
        <v>1720</v>
      </c>
      <c r="C68" s="373">
        <v>0.1</v>
      </c>
      <c r="D68" s="373">
        <v>8.7999999999999995E-2</v>
      </c>
      <c r="E68" s="373">
        <v>9.7000000000000003E-2</v>
      </c>
      <c r="F68" s="378"/>
    </row>
    <row r="69" spans="1:6">
      <c r="A69" s="286" t="s">
        <v>1700</v>
      </c>
      <c r="B69" s="291" t="s">
        <v>1721</v>
      </c>
      <c r="C69" s="373">
        <v>6.4000000000000001E-2</v>
      </c>
      <c r="D69" s="373">
        <v>0.1</v>
      </c>
      <c r="E69" s="373">
        <v>0.1</v>
      </c>
      <c r="F69" s="378"/>
    </row>
    <row r="70" spans="1:6">
      <c r="A70" s="286" t="s">
        <v>1700</v>
      </c>
      <c r="B70" s="291" t="s">
        <v>1722</v>
      </c>
      <c r="C70" s="373">
        <v>9.0999999999999998E-2</v>
      </c>
      <c r="D70" s="379"/>
      <c r="E70" s="379"/>
      <c r="F70" s="378"/>
    </row>
    <row r="71" spans="1:6">
      <c r="A71" s="286" t="s">
        <v>1700</v>
      </c>
      <c r="B71" s="291" t="s">
        <v>1723</v>
      </c>
      <c r="C71" s="373">
        <v>0.1</v>
      </c>
      <c r="D71" s="379"/>
      <c r="E71" s="379"/>
      <c r="F71" s="378"/>
    </row>
    <row r="72" spans="1:6">
      <c r="A72" s="286" t="s">
        <v>1700</v>
      </c>
      <c r="B72" s="291" t="s">
        <v>1724</v>
      </c>
      <c r="C72" s="379"/>
      <c r="D72" s="379"/>
      <c r="E72" s="379"/>
      <c r="F72" s="374">
        <v>0.05</v>
      </c>
    </row>
    <row r="73" spans="1:6">
      <c r="A73" s="286" t="s">
        <v>1700</v>
      </c>
      <c r="B73" s="291" t="s">
        <v>1725</v>
      </c>
      <c r="C73" s="379"/>
      <c r="D73" s="379"/>
      <c r="E73" s="379"/>
      <c r="F73" s="374">
        <v>0.05</v>
      </c>
    </row>
    <row r="74" spans="1:6">
      <c r="A74" s="286" t="s">
        <v>1700</v>
      </c>
      <c r="B74" s="291" t="s">
        <v>1726</v>
      </c>
      <c r="C74" s="379"/>
      <c r="D74" s="379"/>
      <c r="E74" s="379"/>
      <c r="F74" s="374">
        <v>0.05</v>
      </c>
    </row>
    <row r="75" spans="1:6">
      <c r="A75" s="304" t="s">
        <v>1700</v>
      </c>
      <c r="B75" s="297" t="s">
        <v>1727</v>
      </c>
      <c r="C75" s="376"/>
      <c r="D75" s="376"/>
      <c r="E75" s="376"/>
      <c r="F75" s="380">
        <v>0.05</v>
      </c>
    </row>
    <row r="76" spans="1:6">
      <c r="A76" s="286" t="s">
        <v>1728</v>
      </c>
      <c r="B76" s="287" t="s">
        <v>1729</v>
      </c>
      <c r="C76" s="371">
        <v>0.1</v>
      </c>
      <c r="D76" s="371">
        <v>0.1</v>
      </c>
      <c r="E76" s="371">
        <v>0.1</v>
      </c>
      <c r="F76" s="372">
        <v>0.1</v>
      </c>
    </row>
    <row r="77" spans="1:6">
      <c r="A77" s="286" t="s">
        <v>1728</v>
      </c>
      <c r="B77" s="291" t="s">
        <v>1730</v>
      </c>
      <c r="C77" s="373">
        <v>8.7999999999999995E-2</v>
      </c>
      <c r="D77" s="373">
        <v>8.6999999999999994E-2</v>
      </c>
      <c r="E77" s="373">
        <v>7.9000000000000001E-2</v>
      </c>
      <c r="F77" s="374">
        <v>0.1</v>
      </c>
    </row>
    <row r="78" spans="1:6">
      <c r="A78" s="286" t="s">
        <v>1728</v>
      </c>
      <c r="B78" s="291" t="s">
        <v>1731</v>
      </c>
      <c r="C78" s="373">
        <v>8.6999999999999994E-2</v>
      </c>
      <c r="D78" s="373">
        <v>8.4000000000000005E-2</v>
      </c>
      <c r="E78" s="373">
        <v>9.6000000000000002E-2</v>
      </c>
      <c r="F78" s="374">
        <v>0.1</v>
      </c>
    </row>
    <row r="79" spans="1:6">
      <c r="A79" s="286" t="s">
        <v>1728</v>
      </c>
      <c r="B79" s="291" t="s">
        <v>1732</v>
      </c>
      <c r="C79" s="373">
        <v>9.8000000000000004E-2</v>
      </c>
      <c r="D79" s="373">
        <v>9.8000000000000004E-2</v>
      </c>
      <c r="E79" s="373">
        <v>9.0999999999999998E-2</v>
      </c>
      <c r="F79" s="374">
        <v>0.1</v>
      </c>
    </row>
    <row r="80" spans="1:6">
      <c r="A80" s="286" t="s">
        <v>1728</v>
      </c>
      <c r="B80" s="291" t="s">
        <v>1733</v>
      </c>
      <c r="C80" s="373">
        <v>9.6000000000000002E-2</v>
      </c>
      <c r="D80" s="373">
        <v>9.6000000000000002E-2</v>
      </c>
      <c r="E80" s="373">
        <v>0.1</v>
      </c>
      <c r="F80" s="374">
        <v>0.1</v>
      </c>
    </row>
    <row r="81" spans="1:6">
      <c r="A81" s="286" t="s">
        <v>1728</v>
      </c>
      <c r="B81" s="291" t="s">
        <v>1734</v>
      </c>
      <c r="C81" s="373">
        <v>9.9000000000000005E-2</v>
      </c>
      <c r="D81" s="373">
        <v>9.9000000000000005E-2</v>
      </c>
      <c r="E81" s="373">
        <v>9.8000000000000004E-2</v>
      </c>
      <c r="F81" s="374">
        <v>0.1</v>
      </c>
    </row>
    <row r="82" spans="1:6">
      <c r="A82" s="286" t="s">
        <v>1728</v>
      </c>
      <c r="B82" s="291" t="s">
        <v>1735</v>
      </c>
      <c r="C82" s="373">
        <v>9.9000000000000005E-2</v>
      </c>
      <c r="D82" s="373">
        <v>9.9000000000000005E-2</v>
      </c>
      <c r="E82" s="373">
        <v>9.7000000000000003E-2</v>
      </c>
      <c r="F82" s="374">
        <v>0.1</v>
      </c>
    </row>
    <row r="83" spans="1:6">
      <c r="A83" s="286" t="s">
        <v>1728</v>
      </c>
      <c r="B83" s="291" t="s">
        <v>1736</v>
      </c>
      <c r="C83" s="373">
        <v>9.8000000000000004E-2</v>
      </c>
      <c r="D83" s="373">
        <v>9.8000000000000004E-2</v>
      </c>
      <c r="E83" s="373">
        <v>9.8000000000000004E-2</v>
      </c>
      <c r="F83" s="374">
        <v>0.1</v>
      </c>
    </row>
    <row r="84" spans="1:6">
      <c r="A84" s="286" t="s">
        <v>1728</v>
      </c>
      <c r="B84" s="291" t="s">
        <v>1737</v>
      </c>
      <c r="C84" s="373">
        <v>9.9000000000000005E-2</v>
      </c>
      <c r="D84" s="373">
        <v>9.9000000000000005E-2</v>
      </c>
      <c r="E84" s="373">
        <v>9.9000000000000005E-2</v>
      </c>
      <c r="F84" s="374">
        <v>0.1</v>
      </c>
    </row>
    <row r="85" spans="1:6">
      <c r="A85" s="286" t="s">
        <v>1728</v>
      </c>
      <c r="B85" s="291" t="s">
        <v>1738</v>
      </c>
      <c r="C85" s="373">
        <v>9.9000000000000005E-2</v>
      </c>
      <c r="D85" s="373">
        <v>9.9000000000000005E-2</v>
      </c>
      <c r="E85" s="373">
        <v>9.9000000000000005E-2</v>
      </c>
      <c r="F85" s="374">
        <v>0.1</v>
      </c>
    </row>
    <row r="86" spans="1:6">
      <c r="A86" s="286" t="s">
        <v>1728</v>
      </c>
      <c r="B86" s="291" t="s">
        <v>1739</v>
      </c>
      <c r="C86" s="373">
        <v>0.1</v>
      </c>
      <c r="D86" s="373">
        <v>0.1</v>
      </c>
      <c r="E86" s="373">
        <v>7.6999999999999999E-2</v>
      </c>
      <c r="F86" s="374">
        <v>0.1</v>
      </c>
    </row>
    <row r="87" spans="1:6">
      <c r="A87" s="286" t="s">
        <v>1728</v>
      </c>
      <c r="B87" s="291" t="s">
        <v>1740</v>
      </c>
      <c r="C87" s="373">
        <v>0.1</v>
      </c>
      <c r="D87" s="373">
        <v>0.1</v>
      </c>
      <c r="E87" s="373">
        <v>9.8000000000000004E-2</v>
      </c>
      <c r="F87" s="378"/>
    </row>
    <row r="88" spans="1:6">
      <c r="A88" s="286" t="s">
        <v>1728</v>
      </c>
      <c r="B88" s="291" t="s">
        <v>1741</v>
      </c>
      <c r="C88" s="373">
        <v>9.1999999999999998E-2</v>
      </c>
      <c r="D88" s="373">
        <v>8.5000000000000006E-2</v>
      </c>
      <c r="E88" s="373">
        <v>9.6000000000000002E-2</v>
      </c>
      <c r="F88" s="378"/>
    </row>
    <row r="89" spans="1:6">
      <c r="A89" s="286" t="s">
        <v>1728</v>
      </c>
      <c r="B89" s="291" t="s">
        <v>1742</v>
      </c>
      <c r="C89" s="373">
        <v>0.1</v>
      </c>
      <c r="D89" s="373">
        <v>0.1</v>
      </c>
      <c r="E89" s="373">
        <v>9.7000000000000003E-2</v>
      </c>
      <c r="F89" s="378"/>
    </row>
    <row r="90" spans="1:6">
      <c r="A90" s="286" t="s">
        <v>1728</v>
      </c>
      <c r="B90" s="291" t="s">
        <v>1743</v>
      </c>
      <c r="C90" s="373">
        <v>9.8000000000000004E-2</v>
      </c>
      <c r="D90" s="373">
        <v>9.8000000000000004E-2</v>
      </c>
      <c r="E90" s="373">
        <v>8.7999999999999995E-2</v>
      </c>
      <c r="F90" s="378"/>
    </row>
    <row r="91" spans="1:6">
      <c r="A91" s="286" t="s">
        <v>1728</v>
      </c>
      <c r="B91" s="291" t="s">
        <v>1744</v>
      </c>
      <c r="C91" s="373">
        <v>9.9000000000000005E-2</v>
      </c>
      <c r="D91" s="373">
        <v>9.9000000000000005E-2</v>
      </c>
      <c r="E91" s="373">
        <v>9.0999999999999998E-2</v>
      </c>
      <c r="F91" s="378"/>
    </row>
    <row r="92" spans="1:6">
      <c r="A92" s="286" t="s">
        <v>1728</v>
      </c>
      <c r="B92" s="291" t="s">
        <v>1745</v>
      </c>
      <c r="C92" s="373">
        <v>9.6000000000000002E-2</v>
      </c>
      <c r="D92" s="373">
        <v>9.6000000000000002E-2</v>
      </c>
      <c r="E92" s="373">
        <v>7.2999999999999995E-2</v>
      </c>
      <c r="F92" s="378"/>
    </row>
    <row r="93" spans="1:6">
      <c r="A93" s="286" t="s">
        <v>1728</v>
      </c>
      <c r="B93" s="291" t="s">
        <v>1746</v>
      </c>
      <c r="C93" s="373">
        <v>9.6000000000000002E-2</v>
      </c>
      <c r="D93" s="373">
        <v>9.6000000000000002E-2</v>
      </c>
      <c r="E93" s="373">
        <v>9.9000000000000005E-2</v>
      </c>
      <c r="F93" s="378"/>
    </row>
    <row r="94" spans="1:6">
      <c r="A94" s="286" t="s">
        <v>1728</v>
      </c>
      <c r="B94" s="291" t="s">
        <v>1747</v>
      </c>
      <c r="C94" s="373">
        <v>7.5999999999999998E-2</v>
      </c>
      <c r="D94" s="373">
        <v>7.3999999999999996E-2</v>
      </c>
      <c r="E94" s="373">
        <v>9.7000000000000003E-2</v>
      </c>
      <c r="F94" s="378"/>
    </row>
    <row r="95" spans="1:6">
      <c r="A95" s="286" t="s">
        <v>1728</v>
      </c>
      <c r="B95" s="291" t="s">
        <v>1748</v>
      </c>
      <c r="C95" s="373">
        <v>9.9000000000000005E-2</v>
      </c>
      <c r="D95" s="373">
        <v>9.4E-2</v>
      </c>
      <c r="E95" s="373">
        <v>9.6000000000000002E-2</v>
      </c>
      <c r="F95" s="378"/>
    </row>
    <row r="96" spans="1:6">
      <c r="A96" s="286" t="s">
        <v>1728</v>
      </c>
      <c r="B96" s="291" t="s">
        <v>1749</v>
      </c>
      <c r="C96" s="373">
        <v>9.9000000000000005E-2</v>
      </c>
      <c r="D96" s="373">
        <v>9.9000000000000005E-2</v>
      </c>
      <c r="E96" s="373">
        <v>9.9000000000000005E-2</v>
      </c>
      <c r="F96" s="378"/>
    </row>
    <row r="97" spans="1:6">
      <c r="A97" s="286" t="s">
        <v>1728</v>
      </c>
      <c r="B97" s="291" t="s">
        <v>1750</v>
      </c>
      <c r="C97" s="373">
        <v>9.8000000000000004E-2</v>
      </c>
      <c r="D97" s="373">
        <v>9.8000000000000004E-2</v>
      </c>
      <c r="E97" s="373">
        <v>9.7000000000000003E-2</v>
      </c>
      <c r="F97" s="378"/>
    </row>
    <row r="98" spans="1:6">
      <c r="A98" s="286" t="s">
        <v>1728</v>
      </c>
      <c r="B98" s="291" t="s">
        <v>1751</v>
      </c>
      <c r="C98" s="373">
        <v>0.1</v>
      </c>
      <c r="D98" s="373">
        <v>0.1</v>
      </c>
      <c r="E98" s="373">
        <v>9.7000000000000003E-2</v>
      </c>
      <c r="F98" s="378"/>
    </row>
    <row r="99" spans="1:6">
      <c r="A99" s="286" t="s">
        <v>1728</v>
      </c>
      <c r="B99" s="291" t="s">
        <v>1752</v>
      </c>
      <c r="C99" s="373">
        <v>0.1</v>
      </c>
      <c r="D99" s="373">
        <v>0.1</v>
      </c>
      <c r="E99" s="379"/>
      <c r="F99" s="378"/>
    </row>
    <row r="100" spans="1:6">
      <c r="A100" s="286" t="s">
        <v>1728</v>
      </c>
      <c r="B100" s="291" t="s">
        <v>1753</v>
      </c>
      <c r="C100" s="373">
        <v>0.09</v>
      </c>
      <c r="D100" s="373">
        <v>8.8999999999999996E-2</v>
      </c>
      <c r="E100" s="379"/>
      <c r="F100" s="378"/>
    </row>
    <row r="101" spans="1:6">
      <c r="A101" s="286" t="s">
        <v>1728</v>
      </c>
      <c r="B101" s="291" t="s">
        <v>1754</v>
      </c>
      <c r="C101" s="373">
        <v>9.8000000000000004E-2</v>
      </c>
      <c r="D101" s="373">
        <v>9.7000000000000003E-2</v>
      </c>
      <c r="E101" s="379"/>
      <c r="F101" s="378"/>
    </row>
    <row r="102" spans="1:6">
      <c r="A102" s="286" t="s">
        <v>1728</v>
      </c>
      <c r="B102" s="291" t="s">
        <v>1755</v>
      </c>
      <c r="C102" s="379"/>
      <c r="D102" s="379"/>
      <c r="E102" s="379"/>
      <c r="F102" s="374">
        <v>0.05</v>
      </c>
    </row>
    <row r="103" spans="1:6" ht="24">
      <c r="A103" s="286" t="s">
        <v>1728</v>
      </c>
      <c r="B103" s="291" t="s">
        <v>1756</v>
      </c>
      <c r="C103" s="379"/>
      <c r="D103" s="379"/>
      <c r="E103" s="379"/>
      <c r="F103" s="374">
        <v>0.05</v>
      </c>
    </row>
    <row r="104" spans="1:6">
      <c r="A104" s="286" t="s">
        <v>1728</v>
      </c>
      <c r="B104" s="291" t="s">
        <v>1757</v>
      </c>
      <c r="C104" s="379"/>
      <c r="D104" s="379"/>
      <c r="E104" s="379"/>
      <c r="F104" s="374">
        <v>0.05</v>
      </c>
    </row>
    <row r="105" spans="1:6">
      <c r="A105" s="286" t="s">
        <v>1728</v>
      </c>
      <c r="B105" s="291" t="s">
        <v>1758</v>
      </c>
      <c r="C105" s="379"/>
      <c r="D105" s="379"/>
      <c r="E105" s="379"/>
      <c r="F105" s="374">
        <v>0.05</v>
      </c>
    </row>
    <row r="106" spans="1:6">
      <c r="A106" s="286" t="s">
        <v>1728</v>
      </c>
      <c r="B106" s="291" t="s">
        <v>1759</v>
      </c>
      <c r="C106" s="379"/>
      <c r="D106" s="379"/>
      <c r="E106" s="379"/>
      <c r="F106" s="374">
        <v>0.05</v>
      </c>
    </row>
    <row r="107" spans="1:6" ht="24">
      <c r="A107" s="286" t="s">
        <v>1728</v>
      </c>
      <c r="B107" s="291" t="s">
        <v>1760</v>
      </c>
      <c r="C107" s="379"/>
      <c r="D107" s="379"/>
      <c r="E107" s="379"/>
      <c r="F107" s="374">
        <v>0.05</v>
      </c>
    </row>
    <row r="108" spans="1:6" ht="24">
      <c r="A108" s="286" t="s">
        <v>1728</v>
      </c>
      <c r="B108" s="291" t="s">
        <v>1761</v>
      </c>
      <c r="C108" s="379"/>
      <c r="D108" s="379"/>
      <c r="E108" s="379"/>
      <c r="F108" s="374">
        <v>0.05</v>
      </c>
    </row>
    <row r="109" spans="1:6" ht="24">
      <c r="A109" s="304" t="s">
        <v>1728</v>
      </c>
      <c r="B109" s="297" t="s">
        <v>1762</v>
      </c>
      <c r="C109" s="376"/>
      <c r="D109" s="376"/>
      <c r="E109" s="376"/>
      <c r="F109" s="380">
        <v>0.05</v>
      </c>
    </row>
    <row r="110" spans="1:6">
      <c r="A110" s="286" t="s">
        <v>1763</v>
      </c>
      <c r="B110" s="287" t="s">
        <v>1764</v>
      </c>
      <c r="C110" s="371">
        <v>0.129</v>
      </c>
      <c r="D110" s="371">
        <v>0.129</v>
      </c>
      <c r="E110" s="371">
        <v>0.126</v>
      </c>
      <c r="F110" s="372">
        <v>0.13</v>
      </c>
    </row>
    <row r="111" spans="1:6">
      <c r="A111" s="286" t="s">
        <v>1763</v>
      </c>
      <c r="B111" s="291" t="s">
        <v>1765</v>
      </c>
      <c r="C111" s="373">
        <v>0.11</v>
      </c>
      <c r="D111" s="373">
        <v>0.11</v>
      </c>
      <c r="E111" s="373">
        <v>9.9000000000000005E-2</v>
      </c>
      <c r="F111" s="374">
        <v>0.128</v>
      </c>
    </row>
    <row r="112" spans="1:6">
      <c r="A112" s="286" t="s">
        <v>1763</v>
      </c>
      <c r="B112" s="291" t="s">
        <v>1766</v>
      </c>
      <c r="C112" s="373">
        <v>0.125</v>
      </c>
      <c r="D112" s="373">
        <v>0.125</v>
      </c>
      <c r="E112" s="373">
        <v>0.12</v>
      </c>
      <c r="F112" s="374">
        <v>0.125</v>
      </c>
    </row>
    <row r="113" spans="1:6">
      <c r="A113" s="286" t="s">
        <v>1763</v>
      </c>
      <c r="B113" s="291" t="s">
        <v>1767</v>
      </c>
      <c r="C113" s="373">
        <v>0.13</v>
      </c>
      <c r="D113" s="373">
        <v>0.13</v>
      </c>
      <c r="E113" s="373">
        <v>0.13</v>
      </c>
      <c r="F113" s="374">
        <v>0.13</v>
      </c>
    </row>
    <row r="114" spans="1:6">
      <c r="A114" s="286" t="s">
        <v>1763</v>
      </c>
      <c r="B114" s="291" t="s">
        <v>1768</v>
      </c>
      <c r="C114" s="373">
        <v>0.123</v>
      </c>
      <c r="D114" s="373">
        <v>0.123</v>
      </c>
      <c r="E114" s="373">
        <v>0.12</v>
      </c>
      <c r="F114" s="374">
        <v>0.13</v>
      </c>
    </row>
    <row r="115" spans="1:6">
      <c r="A115" s="286" t="s">
        <v>1763</v>
      </c>
      <c r="B115" s="291" t="s">
        <v>1769</v>
      </c>
      <c r="C115" s="373">
        <v>0.125</v>
      </c>
      <c r="D115" s="373">
        <v>0.125</v>
      </c>
      <c r="E115" s="373">
        <v>0.11700000000000001</v>
      </c>
      <c r="F115" s="374">
        <v>0.13</v>
      </c>
    </row>
    <row r="116" spans="1:6">
      <c r="A116" s="286" t="s">
        <v>1763</v>
      </c>
      <c r="B116" s="291" t="s">
        <v>1770</v>
      </c>
      <c r="C116" s="373">
        <v>0.11700000000000001</v>
      </c>
      <c r="D116" s="373">
        <v>0.11700000000000001</v>
      </c>
      <c r="E116" s="373">
        <v>8.7999999999999995E-2</v>
      </c>
      <c r="F116" s="374">
        <v>0.13</v>
      </c>
    </row>
    <row r="117" spans="1:6">
      <c r="A117" s="286" t="s">
        <v>1763</v>
      </c>
      <c r="B117" s="291" t="s">
        <v>1771</v>
      </c>
      <c r="C117" s="373">
        <v>0.13</v>
      </c>
      <c r="D117" s="373">
        <v>0.13</v>
      </c>
      <c r="E117" s="373">
        <v>0.129</v>
      </c>
      <c r="F117" s="374">
        <v>0.13</v>
      </c>
    </row>
    <row r="118" spans="1:6">
      <c r="A118" s="286" t="s">
        <v>1763</v>
      </c>
      <c r="B118" s="291" t="s">
        <v>1772</v>
      </c>
      <c r="C118" s="373">
        <v>0.123</v>
      </c>
      <c r="D118" s="373">
        <v>0.123</v>
      </c>
      <c r="E118" s="373">
        <v>0.11600000000000001</v>
      </c>
      <c r="F118" s="374">
        <v>0.13</v>
      </c>
    </row>
    <row r="119" spans="1:6">
      <c r="A119" s="286" t="s">
        <v>1763</v>
      </c>
      <c r="B119" s="291" t="s">
        <v>1773</v>
      </c>
      <c r="C119" s="373">
        <v>0.127</v>
      </c>
      <c r="D119" s="373">
        <v>0.127</v>
      </c>
      <c r="E119" s="373">
        <v>0.124</v>
      </c>
      <c r="F119" s="374">
        <v>0.13</v>
      </c>
    </row>
    <row r="120" spans="1:6">
      <c r="A120" s="286" t="s">
        <v>1763</v>
      </c>
      <c r="B120" s="291" t="s">
        <v>1774</v>
      </c>
      <c r="C120" s="373">
        <v>0.125</v>
      </c>
      <c r="D120" s="373">
        <v>0.125</v>
      </c>
      <c r="E120" s="373">
        <v>0.122</v>
      </c>
      <c r="F120" s="374">
        <v>0.13</v>
      </c>
    </row>
    <row r="121" spans="1:6">
      <c r="A121" s="286" t="s">
        <v>1763</v>
      </c>
      <c r="B121" s="291" t="s">
        <v>1775</v>
      </c>
      <c r="C121" s="373">
        <v>0.13</v>
      </c>
      <c r="D121" s="373">
        <v>0.13</v>
      </c>
      <c r="E121" s="373">
        <v>0.13</v>
      </c>
      <c r="F121" s="374">
        <v>0.13</v>
      </c>
    </row>
    <row r="122" spans="1:6">
      <c r="A122" s="286" t="s">
        <v>1763</v>
      </c>
      <c r="B122" s="291" t="s">
        <v>1776</v>
      </c>
      <c r="C122" s="373">
        <v>0.13</v>
      </c>
      <c r="D122" s="373">
        <v>0.13</v>
      </c>
      <c r="E122" s="373">
        <v>0.125</v>
      </c>
      <c r="F122" s="374">
        <v>0.13</v>
      </c>
    </row>
    <row r="123" spans="1:6">
      <c r="A123" s="286" t="s">
        <v>1763</v>
      </c>
      <c r="B123" s="291" t="s">
        <v>1777</v>
      </c>
      <c r="C123" s="373">
        <v>0.129</v>
      </c>
      <c r="D123" s="373">
        <v>0.129</v>
      </c>
      <c r="E123" s="373">
        <v>0.123</v>
      </c>
      <c r="F123" s="374">
        <v>0.13</v>
      </c>
    </row>
    <row r="124" spans="1:6">
      <c r="A124" s="286" t="s">
        <v>1763</v>
      </c>
      <c r="B124" s="291" t="s">
        <v>1778</v>
      </c>
      <c r="C124" s="373">
        <v>0.10199999999999999</v>
      </c>
      <c r="D124" s="373">
        <v>0.10100000000000001</v>
      </c>
      <c r="E124" s="373">
        <v>0.08</v>
      </c>
      <c r="F124" s="378"/>
    </row>
    <row r="125" spans="1:6">
      <c r="A125" s="286" t="s">
        <v>1763</v>
      </c>
      <c r="B125" s="291" t="s">
        <v>1779</v>
      </c>
      <c r="C125" s="373">
        <v>0.13</v>
      </c>
      <c r="D125" s="373">
        <v>0.13</v>
      </c>
      <c r="E125" s="373">
        <v>0.129</v>
      </c>
      <c r="F125" s="378"/>
    </row>
    <row r="126" spans="1:6">
      <c r="A126" s="286" t="s">
        <v>1763</v>
      </c>
      <c r="B126" s="291" t="s">
        <v>1780</v>
      </c>
      <c r="C126" s="373">
        <v>0.13</v>
      </c>
      <c r="D126" s="373">
        <v>0.13</v>
      </c>
      <c r="E126" s="373">
        <v>0.126</v>
      </c>
      <c r="F126" s="378"/>
    </row>
    <row r="127" spans="1:6">
      <c r="A127" s="286" t="s">
        <v>1763</v>
      </c>
      <c r="B127" s="291" t="s">
        <v>1781</v>
      </c>
      <c r="C127" s="373">
        <v>0.125</v>
      </c>
      <c r="D127" s="373">
        <v>0.125</v>
      </c>
      <c r="E127" s="373">
        <v>0.121</v>
      </c>
      <c r="F127" s="378"/>
    </row>
    <row r="128" spans="1:6">
      <c r="A128" s="286" t="s">
        <v>1763</v>
      </c>
      <c r="B128" s="291" t="s">
        <v>1782</v>
      </c>
      <c r="C128" s="373">
        <v>0.12</v>
      </c>
      <c r="D128" s="373">
        <v>0.12</v>
      </c>
      <c r="E128" s="373">
        <v>0.105</v>
      </c>
      <c r="F128" s="378"/>
    </row>
    <row r="129" spans="1:6">
      <c r="A129" s="286" t="s">
        <v>1763</v>
      </c>
      <c r="B129" s="291" t="s">
        <v>1783</v>
      </c>
      <c r="C129" s="373">
        <v>0.13</v>
      </c>
      <c r="D129" s="373">
        <v>0.13</v>
      </c>
      <c r="E129" s="373">
        <v>0.126</v>
      </c>
      <c r="F129" s="378"/>
    </row>
    <row r="130" spans="1:6">
      <c r="A130" s="286" t="s">
        <v>1763</v>
      </c>
      <c r="B130" s="291" t="s">
        <v>1784</v>
      </c>
      <c r="C130" s="373">
        <v>0.125</v>
      </c>
      <c r="D130" s="373">
        <v>0.125</v>
      </c>
      <c r="E130" s="373">
        <v>0.122</v>
      </c>
      <c r="F130" s="378"/>
    </row>
    <row r="131" spans="1:6">
      <c r="A131" s="286" t="s">
        <v>1763</v>
      </c>
      <c r="B131" s="291" t="s">
        <v>1785</v>
      </c>
      <c r="C131" s="373">
        <v>0.127</v>
      </c>
      <c r="D131" s="373">
        <v>0.126</v>
      </c>
      <c r="E131" s="373">
        <v>0.123</v>
      </c>
      <c r="F131" s="378"/>
    </row>
    <row r="132" spans="1:6">
      <c r="A132" s="286" t="s">
        <v>1763</v>
      </c>
      <c r="B132" s="291" t="s">
        <v>1786</v>
      </c>
      <c r="C132" s="373">
        <v>9.0999999999999998E-2</v>
      </c>
      <c r="D132" s="373">
        <v>0.121</v>
      </c>
      <c r="E132" s="373">
        <v>9.9000000000000005E-2</v>
      </c>
      <c r="F132" s="378"/>
    </row>
    <row r="133" spans="1:6">
      <c r="A133" s="286" t="s">
        <v>1763</v>
      </c>
      <c r="B133" s="291" t="s">
        <v>1787</v>
      </c>
      <c r="C133" s="373">
        <v>0.13</v>
      </c>
      <c r="D133" s="373">
        <v>0.13</v>
      </c>
      <c r="E133" s="373">
        <v>0.129</v>
      </c>
      <c r="F133" s="378"/>
    </row>
    <row r="134" spans="1:6">
      <c r="A134" s="286" t="s">
        <v>1763</v>
      </c>
      <c r="B134" s="291" t="s">
        <v>1788</v>
      </c>
      <c r="C134" s="373">
        <v>6.8000000000000005E-2</v>
      </c>
      <c r="D134" s="373">
        <v>6.5000000000000002E-2</v>
      </c>
      <c r="E134" s="373">
        <v>6.5000000000000002E-2</v>
      </c>
      <c r="F134" s="374">
        <v>0.13</v>
      </c>
    </row>
    <row r="135" spans="1:6">
      <c r="A135" s="286" t="s">
        <v>1763</v>
      </c>
      <c r="B135" s="291" t="s">
        <v>1789</v>
      </c>
      <c r="C135" s="373">
        <v>0.123</v>
      </c>
      <c r="D135" s="373">
        <v>0.123</v>
      </c>
      <c r="E135" s="373">
        <v>0.11</v>
      </c>
      <c r="F135" s="378"/>
    </row>
    <row r="136" spans="1:6">
      <c r="A136" s="286" t="s">
        <v>1763</v>
      </c>
      <c r="B136" s="291" t="s">
        <v>1790</v>
      </c>
      <c r="C136" s="373">
        <v>0.13</v>
      </c>
      <c r="D136" s="373">
        <v>0.13</v>
      </c>
      <c r="E136" s="373">
        <v>0.125</v>
      </c>
      <c r="F136" s="378"/>
    </row>
    <row r="137" spans="1:6">
      <c r="A137" s="286" t="s">
        <v>1763</v>
      </c>
      <c r="B137" s="291" t="s">
        <v>1791</v>
      </c>
      <c r="C137" s="373">
        <v>0.121</v>
      </c>
      <c r="D137" s="373">
        <v>0.122</v>
      </c>
      <c r="E137" s="373">
        <v>0.115</v>
      </c>
      <c r="F137" s="378"/>
    </row>
    <row r="138" spans="1:6">
      <c r="A138" s="286" t="s">
        <v>1763</v>
      </c>
      <c r="B138" s="291" t="s">
        <v>1792</v>
      </c>
      <c r="C138" s="373">
        <v>0.105</v>
      </c>
      <c r="D138" s="373">
        <v>0.125</v>
      </c>
      <c r="E138" s="373">
        <v>0.112</v>
      </c>
      <c r="F138" s="378"/>
    </row>
    <row r="139" spans="1:6">
      <c r="A139" s="286" t="s">
        <v>1763</v>
      </c>
      <c r="B139" s="291" t="s">
        <v>1793</v>
      </c>
      <c r="C139" s="373">
        <v>0.127</v>
      </c>
      <c r="D139" s="373">
        <v>0.127</v>
      </c>
      <c r="E139" s="373">
        <v>0.122</v>
      </c>
      <c r="F139" s="374">
        <v>0.13</v>
      </c>
    </row>
    <row r="140" spans="1:6">
      <c r="A140" s="286" t="s">
        <v>1763</v>
      </c>
      <c r="B140" s="291" t="s">
        <v>1794</v>
      </c>
      <c r="C140" s="373">
        <v>0.125</v>
      </c>
      <c r="D140" s="373">
        <v>0.125</v>
      </c>
      <c r="E140" s="373">
        <v>0.11899999999999999</v>
      </c>
      <c r="F140" s="374">
        <v>0.13</v>
      </c>
    </row>
    <row r="141" spans="1:6">
      <c r="A141" s="286" t="s">
        <v>1763</v>
      </c>
      <c r="B141" s="291" t="s">
        <v>1795</v>
      </c>
      <c r="C141" s="373">
        <v>0.125</v>
      </c>
      <c r="D141" s="373">
        <v>0.125</v>
      </c>
      <c r="E141" s="373">
        <v>0.11700000000000001</v>
      </c>
      <c r="F141" s="378"/>
    </row>
    <row r="142" spans="1:6">
      <c r="A142" s="286" t="s">
        <v>1763</v>
      </c>
      <c r="B142" s="291" t="s">
        <v>1796</v>
      </c>
      <c r="C142" s="373">
        <v>0.125</v>
      </c>
      <c r="D142" s="373">
        <v>0.125</v>
      </c>
      <c r="E142" s="373">
        <v>0.115</v>
      </c>
      <c r="F142" s="378"/>
    </row>
    <row r="143" spans="1:6">
      <c r="A143" s="286" t="s">
        <v>1763</v>
      </c>
      <c r="B143" s="291" t="s">
        <v>1797</v>
      </c>
      <c r="C143" s="373">
        <v>0.121</v>
      </c>
      <c r="D143" s="373">
        <v>0.121</v>
      </c>
      <c r="E143" s="373">
        <v>0.108</v>
      </c>
      <c r="F143" s="378"/>
    </row>
    <row r="144" spans="1:6">
      <c r="A144" s="286" t="s">
        <v>1763</v>
      </c>
      <c r="B144" s="381" t="s">
        <v>1798</v>
      </c>
      <c r="C144" s="382">
        <v>0.126</v>
      </c>
      <c r="D144" s="382">
        <v>0.126</v>
      </c>
      <c r="E144" s="382">
        <v>0.121</v>
      </c>
      <c r="F144" s="378"/>
    </row>
    <row r="145" spans="1:6">
      <c r="A145" s="304" t="s">
        <v>1763</v>
      </c>
      <c r="B145" s="383" t="s">
        <v>1799</v>
      </c>
      <c r="C145" s="384"/>
      <c r="D145" s="384"/>
      <c r="E145" s="384"/>
      <c r="F145" s="385">
        <v>0.05</v>
      </c>
    </row>
    <row r="146" spans="1:6" ht="24">
      <c r="A146" s="386" t="s">
        <v>1763</v>
      </c>
      <c r="B146" s="295" t="s">
        <v>1800</v>
      </c>
      <c r="C146" s="379"/>
      <c r="D146" s="379"/>
      <c r="E146" s="379"/>
      <c r="F146" s="387">
        <v>0.05</v>
      </c>
    </row>
    <row r="147" spans="1:6" ht="24">
      <c r="A147" s="286" t="s">
        <v>1763</v>
      </c>
      <c r="B147" s="291" t="s">
        <v>1801</v>
      </c>
      <c r="C147" s="379"/>
      <c r="D147" s="379"/>
      <c r="E147" s="379"/>
      <c r="F147" s="374">
        <v>0.05</v>
      </c>
    </row>
    <row r="148" spans="1:6" ht="24">
      <c r="A148" s="286" t="s">
        <v>1763</v>
      </c>
      <c r="B148" s="291" t="s">
        <v>1802</v>
      </c>
      <c r="C148" s="379"/>
      <c r="D148" s="379"/>
      <c r="E148" s="379"/>
      <c r="F148" s="374">
        <v>0.05</v>
      </c>
    </row>
    <row r="149" spans="1:6" ht="24">
      <c r="A149" s="286" t="s">
        <v>1763</v>
      </c>
      <c r="B149" s="291" t="s">
        <v>1803</v>
      </c>
      <c r="C149" s="379"/>
      <c r="D149" s="379"/>
      <c r="E149" s="379"/>
      <c r="F149" s="374">
        <v>0.05</v>
      </c>
    </row>
    <row r="150" spans="1:6" ht="24">
      <c r="A150" s="286" t="s">
        <v>1763</v>
      </c>
      <c r="B150" s="291" t="s">
        <v>1804</v>
      </c>
      <c r="C150" s="379"/>
      <c r="D150" s="379"/>
      <c r="E150" s="379"/>
      <c r="F150" s="374">
        <v>0.05</v>
      </c>
    </row>
    <row r="151" spans="1:6" ht="24">
      <c r="A151" s="286" t="s">
        <v>1763</v>
      </c>
      <c r="B151" s="291" t="s">
        <v>1805</v>
      </c>
      <c r="C151" s="379"/>
      <c r="D151" s="379"/>
      <c r="E151" s="379"/>
      <c r="F151" s="374">
        <v>0.05</v>
      </c>
    </row>
    <row r="152" spans="1:6" ht="24">
      <c r="A152" s="286" t="s">
        <v>1763</v>
      </c>
      <c r="B152" s="291" t="s">
        <v>1806</v>
      </c>
      <c r="C152" s="379"/>
      <c r="D152" s="379"/>
      <c r="E152" s="379"/>
      <c r="F152" s="374">
        <v>0.05</v>
      </c>
    </row>
    <row r="153" spans="1:6">
      <c r="A153" s="286" t="s">
        <v>1763</v>
      </c>
      <c r="B153" s="291" t="s">
        <v>1807</v>
      </c>
      <c r="C153" s="379"/>
      <c r="D153" s="379"/>
      <c r="E153" s="379"/>
      <c r="F153" s="374">
        <v>0.05</v>
      </c>
    </row>
    <row r="154" spans="1:6">
      <c r="A154" s="286" t="s">
        <v>1763</v>
      </c>
      <c r="B154" s="291" t="s">
        <v>1808</v>
      </c>
      <c r="C154" s="379"/>
      <c r="D154" s="379"/>
      <c r="E154" s="379"/>
      <c r="F154" s="374">
        <v>0.05</v>
      </c>
    </row>
    <row r="155" spans="1:6" ht="24">
      <c r="A155" s="286" t="s">
        <v>1763</v>
      </c>
      <c r="B155" s="291" t="s">
        <v>1809</v>
      </c>
      <c r="C155" s="379"/>
      <c r="D155" s="379"/>
      <c r="E155" s="379"/>
      <c r="F155" s="374">
        <v>0.05</v>
      </c>
    </row>
    <row r="156" spans="1:6" ht="24">
      <c r="A156" s="286" t="s">
        <v>1763</v>
      </c>
      <c r="B156" s="291" t="s">
        <v>1810</v>
      </c>
      <c r="C156" s="379"/>
      <c r="D156" s="379"/>
      <c r="E156" s="379"/>
      <c r="F156" s="374">
        <v>0.05</v>
      </c>
    </row>
    <row r="157" spans="1:6">
      <c r="A157" s="304" t="s">
        <v>1763</v>
      </c>
      <c r="B157" s="297" t="s">
        <v>1811</v>
      </c>
      <c r="C157" s="376"/>
      <c r="D157" s="376"/>
      <c r="E157" s="376"/>
      <c r="F157" s="380">
        <v>0.05</v>
      </c>
    </row>
    <row r="158" spans="1:6">
      <c r="A158" s="286" t="s">
        <v>1812</v>
      </c>
      <c r="B158" s="287" t="s">
        <v>1813</v>
      </c>
      <c r="C158" s="371">
        <v>0.13</v>
      </c>
      <c r="D158" s="371">
        <v>0.13</v>
      </c>
      <c r="E158" s="371">
        <v>0.13</v>
      </c>
      <c r="F158" s="372">
        <v>0.13</v>
      </c>
    </row>
    <row r="159" spans="1:6">
      <c r="A159" s="286" t="s">
        <v>1812</v>
      </c>
      <c r="B159" s="291" t="s">
        <v>1814</v>
      </c>
      <c r="C159" s="373">
        <v>0.13</v>
      </c>
      <c r="D159" s="373">
        <v>0.13</v>
      </c>
      <c r="E159" s="373">
        <v>0.13</v>
      </c>
      <c r="F159" s="374">
        <v>0.13</v>
      </c>
    </row>
    <row r="160" spans="1:6">
      <c r="A160" s="286" t="s">
        <v>1812</v>
      </c>
      <c r="B160" s="291" t="s">
        <v>1815</v>
      </c>
      <c r="C160" s="373">
        <v>0.13</v>
      </c>
      <c r="D160" s="373">
        <v>0.13</v>
      </c>
      <c r="E160" s="373">
        <v>0.129</v>
      </c>
      <c r="F160" s="374">
        <v>0.13</v>
      </c>
    </row>
    <row r="161" spans="1:6">
      <c r="A161" s="286" t="s">
        <v>1812</v>
      </c>
      <c r="B161" s="291" t="s">
        <v>1816</v>
      </c>
      <c r="C161" s="373">
        <v>0.128</v>
      </c>
      <c r="D161" s="373">
        <v>0.128</v>
      </c>
      <c r="E161" s="373">
        <v>0.125</v>
      </c>
      <c r="F161" s="374">
        <v>0.13</v>
      </c>
    </row>
    <row r="162" spans="1:6">
      <c r="A162" s="286" t="s">
        <v>1812</v>
      </c>
      <c r="B162" s="291" t="s">
        <v>1817</v>
      </c>
      <c r="C162" s="373">
        <v>0.122</v>
      </c>
      <c r="D162" s="373">
        <v>0.122</v>
      </c>
      <c r="E162" s="373">
        <v>0.126</v>
      </c>
      <c r="F162" s="374">
        <v>0.122</v>
      </c>
    </row>
    <row r="163" spans="1:6">
      <c r="A163" s="286" t="s">
        <v>1812</v>
      </c>
      <c r="B163" s="291" t="s">
        <v>1818</v>
      </c>
      <c r="C163" s="373">
        <v>0.13</v>
      </c>
      <c r="D163" s="373">
        <v>0.13</v>
      </c>
      <c r="E163" s="373">
        <v>0.125</v>
      </c>
      <c r="F163" s="374">
        <v>0.13</v>
      </c>
    </row>
    <row r="164" spans="1:6">
      <c r="A164" s="286" t="s">
        <v>1812</v>
      </c>
      <c r="B164" s="291" t="s">
        <v>1819</v>
      </c>
      <c r="C164" s="373">
        <v>0.13</v>
      </c>
      <c r="D164" s="373">
        <v>0.13</v>
      </c>
      <c r="E164" s="373">
        <v>0.13</v>
      </c>
      <c r="F164" s="374">
        <v>0.13</v>
      </c>
    </row>
    <row r="165" spans="1:6">
      <c r="A165" s="286" t="s">
        <v>1812</v>
      </c>
      <c r="B165" s="291" t="s">
        <v>1820</v>
      </c>
      <c r="C165" s="373">
        <v>0.13</v>
      </c>
      <c r="D165" s="373">
        <v>0.13</v>
      </c>
      <c r="E165" s="373">
        <v>0.124</v>
      </c>
      <c r="F165" s="374">
        <v>0.13</v>
      </c>
    </row>
    <row r="166" spans="1:6">
      <c r="A166" s="286" t="s">
        <v>1812</v>
      </c>
      <c r="B166" s="291" t="s">
        <v>1821</v>
      </c>
      <c r="C166" s="373">
        <v>0.13</v>
      </c>
      <c r="D166" s="373">
        <v>0.13</v>
      </c>
      <c r="E166" s="373">
        <v>0.13</v>
      </c>
      <c r="F166" s="374">
        <v>0.13</v>
      </c>
    </row>
    <row r="167" spans="1:6">
      <c r="A167" s="286" t="s">
        <v>1812</v>
      </c>
      <c r="B167" s="291" t="s">
        <v>1822</v>
      </c>
      <c r="C167" s="373">
        <v>0.125</v>
      </c>
      <c r="D167" s="373">
        <v>0.125</v>
      </c>
      <c r="E167" s="373">
        <v>0.121</v>
      </c>
      <c r="F167" s="378"/>
    </row>
    <row r="168" spans="1:6">
      <c r="A168" s="286" t="s">
        <v>1812</v>
      </c>
      <c r="B168" s="291" t="s">
        <v>1823</v>
      </c>
      <c r="C168" s="373">
        <v>0.13</v>
      </c>
      <c r="D168" s="373">
        <v>0.13</v>
      </c>
      <c r="E168" s="373">
        <v>0.126</v>
      </c>
      <c r="F168" s="378"/>
    </row>
    <row r="169" spans="1:6">
      <c r="A169" s="286" t="s">
        <v>1812</v>
      </c>
      <c r="B169" s="291" t="s">
        <v>1824</v>
      </c>
      <c r="C169" s="373">
        <v>0.128</v>
      </c>
      <c r="D169" s="373">
        <v>0.129</v>
      </c>
      <c r="E169" s="373">
        <v>0.13</v>
      </c>
      <c r="F169" s="378"/>
    </row>
    <row r="170" spans="1:6">
      <c r="A170" s="286" t="s">
        <v>1812</v>
      </c>
      <c r="B170" s="291" t="s">
        <v>1825</v>
      </c>
      <c r="C170" s="373">
        <v>0.14099999999999999</v>
      </c>
      <c r="D170" s="373">
        <v>0.13</v>
      </c>
      <c r="E170" s="373">
        <v>0.125</v>
      </c>
      <c r="F170" s="378"/>
    </row>
    <row r="171" spans="1:6">
      <c r="A171" s="286" t="s">
        <v>1812</v>
      </c>
      <c r="B171" s="291" t="s">
        <v>1826</v>
      </c>
      <c r="C171" s="373">
        <v>0.127</v>
      </c>
      <c r="D171" s="373">
        <v>0.126</v>
      </c>
      <c r="E171" s="373">
        <v>0.126</v>
      </c>
      <c r="F171" s="374">
        <v>0.11799999999999999</v>
      </c>
    </row>
    <row r="172" spans="1:6">
      <c r="A172" s="286" t="s">
        <v>1812</v>
      </c>
      <c r="B172" s="291" t="s">
        <v>1827</v>
      </c>
      <c r="C172" s="373">
        <v>0.13</v>
      </c>
      <c r="D172" s="373">
        <v>0.13</v>
      </c>
      <c r="E172" s="373">
        <v>0.13</v>
      </c>
      <c r="F172" s="378"/>
    </row>
    <row r="173" spans="1:6">
      <c r="A173" s="286" t="s">
        <v>1812</v>
      </c>
      <c r="B173" s="291" t="s">
        <v>1828</v>
      </c>
      <c r="C173" s="373">
        <v>0.13</v>
      </c>
      <c r="D173" s="373">
        <v>0.13</v>
      </c>
      <c r="E173" s="373">
        <v>0.13</v>
      </c>
      <c r="F173" s="378"/>
    </row>
    <row r="174" spans="1:6">
      <c r="A174" s="286" t="s">
        <v>1812</v>
      </c>
      <c r="B174" s="291" t="s">
        <v>1829</v>
      </c>
      <c r="C174" s="373">
        <v>0.13</v>
      </c>
      <c r="D174" s="373">
        <v>0.13</v>
      </c>
      <c r="E174" s="373">
        <v>0.13</v>
      </c>
      <c r="F174" s="374">
        <v>0.13</v>
      </c>
    </row>
    <row r="175" spans="1:6">
      <c r="A175" s="286" t="s">
        <v>1812</v>
      </c>
      <c r="B175" s="291" t="s">
        <v>1830</v>
      </c>
      <c r="C175" s="373">
        <v>0.13</v>
      </c>
      <c r="D175" s="373">
        <v>0.13</v>
      </c>
      <c r="E175" s="373">
        <v>0.13</v>
      </c>
      <c r="F175" s="374">
        <v>0.13</v>
      </c>
    </row>
    <row r="176" spans="1:6">
      <c r="A176" s="286" t="s">
        <v>1812</v>
      </c>
      <c r="B176" s="291" t="s">
        <v>1831</v>
      </c>
      <c r="C176" s="373">
        <v>0.13</v>
      </c>
      <c r="D176" s="373">
        <v>0.13</v>
      </c>
      <c r="E176" s="373">
        <v>0.13</v>
      </c>
      <c r="F176" s="374">
        <v>0.13</v>
      </c>
    </row>
    <row r="177" spans="1:6">
      <c r="A177" s="286" t="s">
        <v>1812</v>
      </c>
      <c r="B177" s="291" t="s">
        <v>1832</v>
      </c>
      <c r="C177" s="373">
        <v>0.13</v>
      </c>
      <c r="D177" s="373">
        <v>0.13</v>
      </c>
      <c r="E177" s="373">
        <v>0.13</v>
      </c>
      <c r="F177" s="374">
        <v>0.13</v>
      </c>
    </row>
    <row r="178" spans="1:6">
      <c r="A178" s="286" t="s">
        <v>1812</v>
      </c>
      <c r="B178" s="291" t="s">
        <v>1833</v>
      </c>
      <c r="C178" s="373">
        <v>0.13</v>
      </c>
      <c r="D178" s="373">
        <v>0.13</v>
      </c>
      <c r="E178" s="373">
        <v>0.13</v>
      </c>
      <c r="F178" s="374">
        <v>0.127</v>
      </c>
    </row>
    <row r="179" spans="1:6">
      <c r="A179" s="286" t="s">
        <v>1812</v>
      </c>
      <c r="B179" s="291" t="s">
        <v>1834</v>
      </c>
      <c r="C179" s="373">
        <v>0.13</v>
      </c>
      <c r="D179" s="373">
        <v>0.13</v>
      </c>
      <c r="E179" s="373">
        <v>0.13</v>
      </c>
      <c r="F179" s="378"/>
    </row>
    <row r="180" spans="1:6">
      <c r="A180" s="286" t="s">
        <v>1812</v>
      </c>
      <c r="B180" s="291" t="s">
        <v>1835</v>
      </c>
      <c r="C180" s="373">
        <v>0.13</v>
      </c>
      <c r="D180" s="373">
        <v>0.13</v>
      </c>
      <c r="E180" s="373">
        <v>0.125</v>
      </c>
      <c r="F180" s="374">
        <v>0.13</v>
      </c>
    </row>
    <row r="181" spans="1:6">
      <c r="A181" s="286" t="s">
        <v>1812</v>
      </c>
      <c r="B181" s="291" t="s">
        <v>1836</v>
      </c>
      <c r="C181" s="373">
        <v>0.122</v>
      </c>
      <c r="D181" s="373">
        <v>0.123</v>
      </c>
      <c r="E181" s="373">
        <v>0.126</v>
      </c>
      <c r="F181" s="374">
        <v>0.121</v>
      </c>
    </row>
    <row r="182" spans="1:6">
      <c r="A182" s="286" t="s">
        <v>1812</v>
      </c>
      <c r="B182" s="291" t="s">
        <v>1837</v>
      </c>
      <c r="C182" s="373">
        <v>0.125</v>
      </c>
      <c r="D182" s="373">
        <v>0.125</v>
      </c>
      <c r="E182" s="373">
        <v>0.11700000000000001</v>
      </c>
      <c r="F182" s="374">
        <v>0.13</v>
      </c>
    </row>
    <row r="183" spans="1:6">
      <c r="A183" s="286" t="s">
        <v>1812</v>
      </c>
      <c r="B183" s="291" t="s">
        <v>1838</v>
      </c>
      <c r="C183" s="373">
        <v>0.127</v>
      </c>
      <c r="D183" s="373">
        <v>0.127</v>
      </c>
      <c r="E183" s="373">
        <v>0.128</v>
      </c>
      <c r="F183" s="378"/>
    </row>
    <row r="184" spans="1:6">
      <c r="A184" s="286" t="s">
        <v>1812</v>
      </c>
      <c r="B184" s="291" t="s">
        <v>1839</v>
      </c>
      <c r="C184" s="373">
        <v>0.125</v>
      </c>
      <c r="D184" s="373">
        <v>0.125</v>
      </c>
      <c r="E184" s="373">
        <v>0.127</v>
      </c>
      <c r="F184" s="378"/>
    </row>
    <row r="185" spans="1:6">
      <c r="A185" s="286" t="s">
        <v>1812</v>
      </c>
      <c r="B185" s="291" t="s">
        <v>1840</v>
      </c>
      <c r="C185" s="373">
        <v>0.127</v>
      </c>
      <c r="D185" s="373">
        <v>0.127</v>
      </c>
      <c r="E185" s="373">
        <v>0.128</v>
      </c>
      <c r="F185" s="374">
        <v>0.13</v>
      </c>
    </row>
    <row r="186" spans="1:6" ht="24">
      <c r="A186" s="286" t="s">
        <v>1812</v>
      </c>
      <c r="B186" s="291" t="s">
        <v>1841</v>
      </c>
      <c r="C186" s="379"/>
      <c r="D186" s="379"/>
      <c r="E186" s="379"/>
      <c r="F186" s="374">
        <v>0.05</v>
      </c>
    </row>
    <row r="187" spans="1:6">
      <c r="A187" s="286" t="s">
        <v>1812</v>
      </c>
      <c r="B187" s="291" t="s">
        <v>1842</v>
      </c>
      <c r="C187" s="379"/>
      <c r="D187" s="379"/>
      <c r="E187" s="379"/>
      <c r="F187" s="374">
        <v>0.05</v>
      </c>
    </row>
    <row r="188" spans="1:6">
      <c r="A188" s="286" t="s">
        <v>1812</v>
      </c>
      <c r="B188" s="291" t="s">
        <v>1843</v>
      </c>
      <c r="C188" s="379"/>
      <c r="D188" s="379"/>
      <c r="E188" s="379"/>
      <c r="F188" s="374">
        <v>0.05</v>
      </c>
    </row>
    <row r="189" spans="1:6" ht="24">
      <c r="A189" s="286" t="s">
        <v>1812</v>
      </c>
      <c r="B189" s="291" t="s">
        <v>1844</v>
      </c>
      <c r="C189" s="379"/>
      <c r="D189" s="379"/>
      <c r="E189" s="379"/>
      <c r="F189" s="374">
        <v>0.05</v>
      </c>
    </row>
    <row r="190" spans="1:6" ht="24">
      <c r="A190" s="286" t="s">
        <v>1812</v>
      </c>
      <c r="B190" s="291" t="s">
        <v>1845</v>
      </c>
      <c r="C190" s="379"/>
      <c r="D190" s="379"/>
      <c r="E190" s="379"/>
      <c r="F190" s="374">
        <v>0.05</v>
      </c>
    </row>
    <row r="191" spans="1:6" ht="24">
      <c r="A191" s="286" t="s">
        <v>1812</v>
      </c>
      <c r="B191" s="291" t="s">
        <v>1846</v>
      </c>
      <c r="C191" s="379"/>
      <c r="D191" s="379"/>
      <c r="E191" s="379"/>
      <c r="F191" s="374">
        <v>0.05</v>
      </c>
    </row>
    <row r="192" spans="1:6" ht="24">
      <c r="A192" s="286" t="s">
        <v>1812</v>
      </c>
      <c r="B192" s="291" t="s">
        <v>1847</v>
      </c>
      <c r="C192" s="379"/>
      <c r="D192" s="379"/>
      <c r="E192" s="379"/>
      <c r="F192" s="374">
        <v>0.05</v>
      </c>
    </row>
    <row r="193" spans="1:6" ht="24">
      <c r="A193" s="286" t="s">
        <v>1812</v>
      </c>
      <c r="B193" s="291" t="s">
        <v>1848</v>
      </c>
      <c r="C193" s="379"/>
      <c r="D193" s="379"/>
      <c r="E193" s="379"/>
      <c r="F193" s="374">
        <v>0.05</v>
      </c>
    </row>
    <row r="194" spans="1:6" ht="24">
      <c r="A194" s="286" t="s">
        <v>1812</v>
      </c>
      <c r="B194" s="291" t="s">
        <v>1849</v>
      </c>
      <c r="C194" s="379"/>
      <c r="D194" s="379"/>
      <c r="E194" s="379"/>
      <c r="F194" s="374">
        <v>0.05</v>
      </c>
    </row>
    <row r="195" spans="1:6">
      <c r="A195" s="286" t="s">
        <v>1812</v>
      </c>
      <c r="B195" s="291" t="s">
        <v>1850</v>
      </c>
      <c r="C195" s="379"/>
      <c r="D195" s="379"/>
      <c r="E195" s="379"/>
      <c r="F195" s="374">
        <v>0.05</v>
      </c>
    </row>
    <row r="196" spans="1:6" ht="24">
      <c r="A196" s="286" t="s">
        <v>1812</v>
      </c>
      <c r="B196" s="291" t="s">
        <v>1851</v>
      </c>
      <c r="C196" s="379"/>
      <c r="D196" s="379"/>
      <c r="E196" s="379"/>
      <c r="F196" s="374">
        <v>0.05</v>
      </c>
    </row>
    <row r="197" spans="1:6" ht="24">
      <c r="A197" s="286" t="s">
        <v>1812</v>
      </c>
      <c r="B197" s="291" t="s">
        <v>1852</v>
      </c>
      <c r="C197" s="379"/>
      <c r="D197" s="379"/>
      <c r="E197" s="379"/>
      <c r="F197" s="374">
        <v>0.05</v>
      </c>
    </row>
    <row r="198" spans="1:6" ht="24">
      <c r="A198" s="286" t="s">
        <v>1812</v>
      </c>
      <c r="B198" s="291" t="s">
        <v>1853</v>
      </c>
      <c r="C198" s="379"/>
      <c r="D198" s="379"/>
      <c r="E198" s="379"/>
      <c r="F198" s="374">
        <v>0.05</v>
      </c>
    </row>
    <row r="199" spans="1:6" ht="24">
      <c r="A199" s="286" t="s">
        <v>1812</v>
      </c>
      <c r="B199" s="291" t="s">
        <v>1854</v>
      </c>
      <c r="C199" s="379"/>
      <c r="D199" s="379"/>
      <c r="E199" s="379"/>
      <c r="F199" s="374">
        <v>0.05</v>
      </c>
    </row>
    <row r="200" spans="1:6" ht="24">
      <c r="A200" s="286" t="s">
        <v>1812</v>
      </c>
      <c r="B200" s="291" t="s">
        <v>1855</v>
      </c>
      <c r="C200" s="379"/>
      <c r="D200" s="379"/>
      <c r="E200" s="379"/>
      <c r="F200" s="374">
        <v>0.05</v>
      </c>
    </row>
    <row r="201" spans="1:6" ht="24">
      <c r="A201" s="286" t="s">
        <v>1812</v>
      </c>
      <c r="B201" s="291" t="s">
        <v>1856</v>
      </c>
      <c r="C201" s="379"/>
      <c r="D201" s="379"/>
      <c r="E201" s="379"/>
      <c r="F201" s="374">
        <v>0.05</v>
      </c>
    </row>
    <row r="202" spans="1:6" ht="24">
      <c r="A202" s="286" t="s">
        <v>1812</v>
      </c>
      <c r="B202" s="291" t="s">
        <v>1857</v>
      </c>
      <c r="C202" s="379"/>
      <c r="D202" s="379"/>
      <c r="E202" s="379"/>
      <c r="F202" s="374">
        <v>0.05</v>
      </c>
    </row>
    <row r="203" spans="1:6" ht="24">
      <c r="A203" s="286" t="s">
        <v>1812</v>
      </c>
      <c r="B203" s="291" t="s">
        <v>1858</v>
      </c>
      <c r="C203" s="379"/>
      <c r="D203" s="379"/>
      <c r="E203" s="379"/>
      <c r="F203" s="374">
        <v>0.05</v>
      </c>
    </row>
    <row r="204" spans="1:6">
      <c r="A204" s="286" t="s">
        <v>1812</v>
      </c>
      <c r="B204" s="291" t="s">
        <v>1859</v>
      </c>
      <c r="C204" s="379"/>
      <c r="D204" s="379"/>
      <c r="E204" s="379"/>
      <c r="F204" s="374">
        <v>0.05</v>
      </c>
    </row>
    <row r="205" spans="1:6">
      <c r="A205" s="304" t="s">
        <v>1812</v>
      </c>
      <c r="B205" s="297" t="s">
        <v>1860</v>
      </c>
      <c r="C205" s="376"/>
      <c r="D205" s="376"/>
      <c r="E205" s="376"/>
      <c r="F205" s="380">
        <v>0.05</v>
      </c>
    </row>
    <row r="206" spans="1:6">
      <c r="A206" s="286" t="s">
        <v>1861</v>
      </c>
      <c r="B206" s="287" t="s">
        <v>1862</v>
      </c>
      <c r="C206" s="371">
        <v>0.15</v>
      </c>
      <c r="D206" s="371">
        <v>0.15</v>
      </c>
      <c r="E206" s="371">
        <v>0.15</v>
      </c>
      <c r="F206" s="372">
        <v>0.15</v>
      </c>
    </row>
    <row r="207" spans="1:6">
      <c r="A207" s="286" t="s">
        <v>1861</v>
      </c>
      <c r="B207" s="291" t="s">
        <v>1863</v>
      </c>
      <c r="C207" s="373">
        <v>0.15</v>
      </c>
      <c r="D207" s="373">
        <v>0.15</v>
      </c>
      <c r="E207" s="373">
        <v>0.15</v>
      </c>
      <c r="F207" s="374">
        <v>0.14399999999999999</v>
      </c>
    </row>
    <row r="208" spans="1:6">
      <c r="A208" s="286" t="s">
        <v>1861</v>
      </c>
      <c r="B208" s="291" t="s">
        <v>1864</v>
      </c>
      <c r="C208" s="373">
        <v>0.15</v>
      </c>
      <c r="D208" s="373">
        <v>0.15</v>
      </c>
      <c r="E208" s="373">
        <v>0.15</v>
      </c>
      <c r="F208" s="374">
        <v>0.15</v>
      </c>
    </row>
    <row r="209" spans="1:6">
      <c r="A209" s="286" t="s">
        <v>1861</v>
      </c>
      <c r="B209" s="291" t="s">
        <v>1865</v>
      </c>
      <c r="C209" s="373">
        <v>0.13700000000000001</v>
      </c>
      <c r="D209" s="373">
        <v>0.13700000000000001</v>
      </c>
      <c r="E209" s="373">
        <v>0.14000000000000001</v>
      </c>
      <c r="F209" s="374">
        <v>0.11700000000000001</v>
      </c>
    </row>
    <row r="210" spans="1:6">
      <c r="A210" s="286" t="s">
        <v>1861</v>
      </c>
      <c r="B210" s="291" t="s">
        <v>1866</v>
      </c>
      <c r="C210" s="373">
        <v>0.15</v>
      </c>
      <c r="D210" s="373">
        <v>0.15</v>
      </c>
      <c r="E210" s="373">
        <v>0.15</v>
      </c>
      <c r="F210" s="374">
        <v>0.13800000000000001</v>
      </c>
    </row>
    <row r="211" spans="1:6">
      <c r="A211" s="286" t="s">
        <v>1861</v>
      </c>
      <c r="B211" s="291" t="s">
        <v>1867</v>
      </c>
      <c r="C211" s="373">
        <v>0.13700000000000001</v>
      </c>
      <c r="D211" s="373">
        <v>0.13500000000000001</v>
      </c>
      <c r="E211" s="373">
        <v>0.13600000000000001</v>
      </c>
      <c r="F211" s="374">
        <v>0.1</v>
      </c>
    </row>
    <row r="212" spans="1:6">
      <c r="A212" s="286" t="s">
        <v>1861</v>
      </c>
      <c r="B212" s="291" t="s">
        <v>1868</v>
      </c>
      <c r="C212" s="373">
        <v>0.15</v>
      </c>
      <c r="D212" s="373">
        <v>0.15</v>
      </c>
      <c r="E212" s="373">
        <v>0.14799999999999999</v>
      </c>
      <c r="F212" s="374">
        <v>0.13600000000000001</v>
      </c>
    </row>
    <row r="213" spans="1:6">
      <c r="A213" s="286" t="s">
        <v>1861</v>
      </c>
      <c r="B213" s="291" t="s">
        <v>1869</v>
      </c>
      <c r="C213" s="373">
        <v>0.15</v>
      </c>
      <c r="D213" s="373">
        <v>0.15</v>
      </c>
      <c r="E213" s="373">
        <v>0.15</v>
      </c>
      <c r="F213" s="374">
        <v>0.13800000000000001</v>
      </c>
    </row>
    <row r="214" spans="1:6">
      <c r="A214" s="286" t="s">
        <v>1861</v>
      </c>
      <c r="B214" s="291" t="s">
        <v>1870</v>
      </c>
      <c r="C214" s="373">
        <v>9.0999999999999998E-2</v>
      </c>
      <c r="D214" s="373">
        <v>0.09</v>
      </c>
      <c r="E214" s="373">
        <v>9.1999999999999998E-2</v>
      </c>
      <c r="F214" s="378"/>
    </row>
    <row r="215" spans="1:6">
      <c r="A215" s="286" t="s">
        <v>1861</v>
      </c>
      <c r="B215" s="291" t="s">
        <v>1871</v>
      </c>
      <c r="C215" s="373">
        <v>0.15</v>
      </c>
      <c r="D215" s="373">
        <v>0.15</v>
      </c>
      <c r="E215" s="373">
        <v>0.15</v>
      </c>
      <c r="F215" s="374">
        <v>0.15</v>
      </c>
    </row>
    <row r="216" spans="1:6">
      <c r="A216" s="286" t="s">
        <v>1861</v>
      </c>
      <c r="B216" s="291" t="s">
        <v>1872</v>
      </c>
      <c r="C216" s="373">
        <v>0.14699999999999999</v>
      </c>
      <c r="D216" s="373">
        <v>0.14699999999999999</v>
      </c>
      <c r="E216" s="373">
        <v>0.15</v>
      </c>
      <c r="F216" s="374">
        <v>0.14000000000000001</v>
      </c>
    </row>
    <row r="217" spans="1:6">
      <c r="A217" s="286" t="s">
        <v>1861</v>
      </c>
      <c r="B217" s="291" t="s">
        <v>1873</v>
      </c>
      <c r="C217" s="373">
        <v>0.15</v>
      </c>
      <c r="D217" s="373">
        <v>0.15</v>
      </c>
      <c r="E217" s="373">
        <v>0.15</v>
      </c>
      <c r="F217" s="374">
        <v>0.15</v>
      </c>
    </row>
    <row r="218" spans="1:6">
      <c r="A218" s="286" t="s">
        <v>1861</v>
      </c>
      <c r="B218" s="291" t="s">
        <v>1874</v>
      </c>
      <c r="C218" s="373">
        <v>0.15</v>
      </c>
      <c r="D218" s="373">
        <v>0.15</v>
      </c>
      <c r="E218" s="373">
        <v>0.15</v>
      </c>
      <c r="F218" s="374">
        <v>0.15</v>
      </c>
    </row>
    <row r="219" spans="1:6">
      <c r="A219" s="286" t="s">
        <v>1861</v>
      </c>
      <c r="B219" s="291" t="s">
        <v>1875</v>
      </c>
      <c r="C219" s="373">
        <v>0.15</v>
      </c>
      <c r="D219" s="373">
        <v>0.15</v>
      </c>
      <c r="E219" s="373">
        <v>0.15</v>
      </c>
      <c r="F219" s="374">
        <v>0.14799999999999999</v>
      </c>
    </row>
    <row r="220" spans="1:6">
      <c r="A220" s="286" t="s">
        <v>1861</v>
      </c>
      <c r="B220" s="291" t="s">
        <v>1876</v>
      </c>
      <c r="C220" s="373">
        <v>0.15</v>
      </c>
      <c r="D220" s="373">
        <v>0.15</v>
      </c>
      <c r="E220" s="373">
        <v>0.15</v>
      </c>
      <c r="F220" s="374">
        <v>0.15</v>
      </c>
    </row>
    <row r="221" spans="1:6">
      <c r="A221" s="286" t="s">
        <v>1861</v>
      </c>
      <c r="B221" s="291" t="s">
        <v>1877</v>
      </c>
      <c r="C221" s="373"/>
      <c r="D221" s="379"/>
      <c r="E221" s="379"/>
      <c r="F221" s="374">
        <v>0.14799999999999999</v>
      </c>
    </row>
    <row r="222" spans="1:6">
      <c r="A222" s="286" t="s">
        <v>1861</v>
      </c>
      <c r="B222" s="291" t="s">
        <v>1878</v>
      </c>
      <c r="C222" s="373"/>
      <c r="D222" s="379"/>
      <c r="E222" s="379"/>
      <c r="F222" s="374">
        <v>0.1</v>
      </c>
    </row>
    <row r="223" spans="1:6">
      <c r="A223" s="286" t="s">
        <v>1861</v>
      </c>
      <c r="B223" s="291" t="s">
        <v>1879</v>
      </c>
      <c r="C223" s="373"/>
      <c r="D223" s="379"/>
      <c r="E223" s="379"/>
      <c r="F223" s="374">
        <v>0.15</v>
      </c>
    </row>
    <row r="224" spans="1:6">
      <c r="A224" s="286" t="s">
        <v>1861</v>
      </c>
      <c r="B224" s="291" t="s">
        <v>1880</v>
      </c>
      <c r="C224" s="373"/>
      <c r="D224" s="379"/>
      <c r="E224" s="379"/>
      <c r="F224" s="374">
        <v>0.15</v>
      </c>
    </row>
    <row r="225" spans="1:6">
      <c r="A225" s="286" t="s">
        <v>1861</v>
      </c>
      <c r="B225" s="291" t="s">
        <v>1881</v>
      </c>
      <c r="C225" s="373">
        <v>0.15</v>
      </c>
      <c r="D225" s="373">
        <v>0.15</v>
      </c>
      <c r="E225" s="373">
        <v>0.15</v>
      </c>
      <c r="F225" s="374">
        <v>0.15</v>
      </c>
    </row>
    <row r="226" spans="1:6">
      <c r="A226" s="286" t="s">
        <v>1861</v>
      </c>
      <c r="B226" s="291" t="s">
        <v>1882</v>
      </c>
      <c r="C226" s="373">
        <v>0.15</v>
      </c>
      <c r="D226" s="373">
        <v>0.15</v>
      </c>
      <c r="E226" s="373">
        <v>0.15</v>
      </c>
      <c r="F226" s="374">
        <v>0.14799999999999999</v>
      </c>
    </row>
    <row r="227" spans="1:6">
      <c r="A227" s="286" t="s">
        <v>1861</v>
      </c>
      <c r="B227" s="291" t="s">
        <v>1883</v>
      </c>
      <c r="C227" s="373">
        <v>0.15</v>
      </c>
      <c r="D227" s="373">
        <v>0.15</v>
      </c>
      <c r="E227" s="373">
        <v>0.15</v>
      </c>
      <c r="F227" s="374">
        <v>0.15</v>
      </c>
    </row>
    <row r="228" spans="1:6">
      <c r="A228" s="286" t="s">
        <v>1861</v>
      </c>
      <c r="B228" s="291" t="s">
        <v>1884</v>
      </c>
      <c r="C228" s="373">
        <v>0.15</v>
      </c>
      <c r="D228" s="373">
        <v>0.15</v>
      </c>
      <c r="E228" s="373">
        <v>0.15</v>
      </c>
      <c r="F228" s="374">
        <v>0.15</v>
      </c>
    </row>
    <row r="229" spans="1:6">
      <c r="A229" s="286" t="s">
        <v>1861</v>
      </c>
      <c r="B229" s="291" t="s">
        <v>1885</v>
      </c>
      <c r="C229" s="373">
        <v>0.15</v>
      </c>
      <c r="D229" s="373">
        <v>0.15</v>
      </c>
      <c r="E229" s="373">
        <v>0.15</v>
      </c>
      <c r="F229" s="378"/>
    </row>
    <row r="230" spans="1:6">
      <c r="A230" s="286" t="s">
        <v>1861</v>
      </c>
      <c r="B230" s="291" t="s">
        <v>1886</v>
      </c>
      <c r="C230" s="373">
        <v>0.14499999999999999</v>
      </c>
      <c r="D230" s="373">
        <v>0.14499999999999999</v>
      </c>
      <c r="E230" s="373">
        <v>0.14399999999999999</v>
      </c>
      <c r="F230" s="378"/>
    </row>
    <row r="231" spans="1:6">
      <c r="A231" s="286" t="s">
        <v>1861</v>
      </c>
      <c r="B231" s="291" t="s">
        <v>1887</v>
      </c>
      <c r="C231" s="373">
        <v>0.128</v>
      </c>
      <c r="D231" s="373">
        <v>0.125</v>
      </c>
      <c r="E231" s="373">
        <v>0.13200000000000001</v>
      </c>
      <c r="F231" s="378"/>
    </row>
    <row r="232" spans="1:6">
      <c r="A232" s="286" t="s">
        <v>1861</v>
      </c>
      <c r="B232" s="291" t="s">
        <v>1888</v>
      </c>
      <c r="C232" s="373">
        <v>0.14499999999999999</v>
      </c>
      <c r="D232" s="373">
        <v>0.14399999999999999</v>
      </c>
      <c r="E232" s="373">
        <v>0.14599999999999999</v>
      </c>
      <c r="F232" s="374">
        <v>0.13800000000000001</v>
      </c>
    </row>
    <row r="233" spans="1:6">
      <c r="A233" s="286" t="s">
        <v>1861</v>
      </c>
      <c r="B233" s="291" t="s">
        <v>1889</v>
      </c>
      <c r="C233" s="373">
        <v>0.14499999999999999</v>
      </c>
      <c r="D233" s="373">
        <v>0.14299999999999999</v>
      </c>
      <c r="E233" s="373">
        <v>0.14199999999999999</v>
      </c>
      <c r="F233" s="378"/>
    </row>
    <row r="234" spans="1:6">
      <c r="A234" s="286" t="s">
        <v>1861</v>
      </c>
      <c r="B234" s="291" t="s">
        <v>1890</v>
      </c>
      <c r="C234" s="373">
        <v>0.14000000000000001</v>
      </c>
      <c r="D234" s="373">
        <v>0.14000000000000001</v>
      </c>
      <c r="E234" s="373">
        <v>0.14399999999999999</v>
      </c>
      <c r="F234" s="378"/>
    </row>
    <row r="235" spans="1:6">
      <c r="A235" s="286" t="s">
        <v>1861</v>
      </c>
      <c r="B235" s="291" t="s">
        <v>1891</v>
      </c>
      <c r="C235" s="373">
        <v>0.14099999999999999</v>
      </c>
      <c r="D235" s="373">
        <v>0.14199999999999999</v>
      </c>
      <c r="E235" s="373">
        <v>0.14499999999999999</v>
      </c>
      <c r="F235" s="374">
        <v>0.15</v>
      </c>
    </row>
    <row r="236" spans="1:6">
      <c r="A236" s="286" t="s">
        <v>1861</v>
      </c>
      <c r="B236" s="291" t="s">
        <v>1892</v>
      </c>
      <c r="C236" s="379"/>
      <c r="D236" s="379"/>
      <c r="E236" s="379"/>
      <c r="F236" s="374">
        <v>0.14299999999999999</v>
      </c>
    </row>
    <row r="237" spans="1:6" ht="24">
      <c r="A237" s="286" t="s">
        <v>1861</v>
      </c>
      <c r="B237" s="291" t="s">
        <v>1893</v>
      </c>
      <c r="C237" s="379"/>
      <c r="D237" s="379"/>
      <c r="E237" s="379"/>
      <c r="F237" s="374">
        <v>0.05</v>
      </c>
    </row>
    <row r="238" spans="1:6" ht="24">
      <c r="A238" s="286" t="s">
        <v>1861</v>
      </c>
      <c r="B238" s="291" t="s">
        <v>1894</v>
      </c>
      <c r="C238" s="379"/>
      <c r="D238" s="379"/>
      <c r="E238" s="379"/>
      <c r="F238" s="374">
        <v>0.05</v>
      </c>
    </row>
    <row r="239" spans="1:6" ht="24">
      <c r="A239" s="286" t="s">
        <v>1861</v>
      </c>
      <c r="B239" s="291" t="s">
        <v>1895</v>
      </c>
      <c r="C239" s="379"/>
      <c r="D239" s="379"/>
      <c r="E239" s="379"/>
      <c r="F239" s="374">
        <v>0.05</v>
      </c>
    </row>
    <row r="240" spans="1:6" ht="24">
      <c r="A240" s="286" t="s">
        <v>1861</v>
      </c>
      <c r="B240" s="291" t="s">
        <v>1896</v>
      </c>
      <c r="C240" s="379"/>
      <c r="D240" s="379"/>
      <c r="E240" s="379"/>
      <c r="F240" s="374">
        <v>0.05</v>
      </c>
    </row>
    <row r="241" spans="1:6" ht="24">
      <c r="A241" s="286" t="s">
        <v>1861</v>
      </c>
      <c r="B241" s="291" t="s">
        <v>1897</v>
      </c>
      <c r="C241" s="379"/>
      <c r="D241" s="379"/>
      <c r="E241" s="379"/>
      <c r="F241" s="374">
        <v>0.05</v>
      </c>
    </row>
    <row r="242" spans="1:6" ht="24">
      <c r="A242" s="286" t="s">
        <v>1861</v>
      </c>
      <c r="B242" s="291" t="s">
        <v>1898</v>
      </c>
      <c r="C242" s="379"/>
      <c r="D242" s="379"/>
      <c r="E242" s="379"/>
      <c r="F242" s="374">
        <v>0.05</v>
      </c>
    </row>
    <row r="243" spans="1:6" ht="24">
      <c r="A243" s="286" t="s">
        <v>1861</v>
      </c>
      <c r="B243" s="291" t="s">
        <v>1899</v>
      </c>
      <c r="C243" s="379"/>
      <c r="D243" s="379"/>
      <c r="E243" s="379"/>
      <c r="F243" s="374">
        <v>0.05</v>
      </c>
    </row>
    <row r="244" spans="1:6" ht="24">
      <c r="A244" s="304" t="s">
        <v>1861</v>
      </c>
      <c r="B244" s="297" t="s">
        <v>1900</v>
      </c>
      <c r="C244" s="376"/>
      <c r="D244" s="376"/>
      <c r="E244" s="376"/>
      <c r="F244" s="380">
        <v>0.05</v>
      </c>
    </row>
    <row r="245" spans="1:6">
      <c r="A245" s="286" t="s">
        <v>1901</v>
      </c>
      <c r="B245" s="287" t="s">
        <v>1902</v>
      </c>
      <c r="C245" s="371">
        <v>0.15</v>
      </c>
      <c r="D245" s="371">
        <v>0.15</v>
      </c>
      <c r="E245" s="371">
        <v>0.15</v>
      </c>
      <c r="F245" s="372">
        <v>0.14299999999999999</v>
      </c>
    </row>
    <row r="246" spans="1:6">
      <c r="A246" s="286" t="s">
        <v>1901</v>
      </c>
      <c r="B246" s="291" t="s">
        <v>1903</v>
      </c>
      <c r="C246" s="373">
        <v>0.15</v>
      </c>
      <c r="D246" s="373">
        <v>0.15</v>
      </c>
      <c r="E246" s="373">
        <v>0.15</v>
      </c>
      <c r="F246" s="374">
        <v>0.114</v>
      </c>
    </row>
    <row r="247" spans="1:6">
      <c r="A247" s="286" t="s">
        <v>1901</v>
      </c>
      <c r="B247" s="291" t="s">
        <v>1904</v>
      </c>
      <c r="C247" s="373">
        <v>0.15</v>
      </c>
      <c r="D247" s="373">
        <v>0.15</v>
      </c>
      <c r="E247" s="373">
        <v>0.15</v>
      </c>
      <c r="F247" s="374">
        <v>0.15</v>
      </c>
    </row>
    <row r="248" spans="1:6">
      <c r="A248" s="286" t="s">
        <v>1901</v>
      </c>
      <c r="B248" s="291" t="s">
        <v>1905</v>
      </c>
      <c r="C248" s="373">
        <v>0.15</v>
      </c>
      <c r="D248" s="373">
        <v>0.15</v>
      </c>
      <c r="E248" s="373">
        <v>0.15</v>
      </c>
      <c r="F248" s="374">
        <v>0.14000000000000001</v>
      </c>
    </row>
    <row r="249" spans="1:6">
      <c r="A249" s="286" t="s">
        <v>1901</v>
      </c>
      <c r="B249" s="291" t="s">
        <v>1906</v>
      </c>
      <c r="C249" s="373">
        <v>0.15</v>
      </c>
      <c r="D249" s="373">
        <v>0.14899999999999999</v>
      </c>
      <c r="E249" s="373">
        <v>0.15</v>
      </c>
      <c r="F249" s="374">
        <v>0.1</v>
      </c>
    </row>
    <row r="250" spans="1:6">
      <c r="A250" s="286" t="s">
        <v>1901</v>
      </c>
      <c r="B250" s="291" t="s">
        <v>1907</v>
      </c>
      <c r="C250" s="373">
        <v>0.15</v>
      </c>
      <c r="D250" s="373">
        <v>0.15</v>
      </c>
      <c r="E250" s="373">
        <v>0.15</v>
      </c>
      <c r="F250" s="374">
        <v>0.14399999999999999</v>
      </c>
    </row>
    <row r="251" spans="1:6">
      <c r="A251" s="286" t="s">
        <v>1901</v>
      </c>
      <c r="B251" s="291" t="s">
        <v>1908</v>
      </c>
      <c r="C251" s="373">
        <v>0.15</v>
      </c>
      <c r="D251" s="373">
        <v>0.15</v>
      </c>
      <c r="E251" s="373">
        <v>0.15</v>
      </c>
      <c r="F251" s="374">
        <v>0.14299999999999999</v>
      </c>
    </row>
    <row r="252" spans="1:6">
      <c r="A252" s="286" t="s">
        <v>1901</v>
      </c>
      <c r="B252" s="291" t="s">
        <v>1909</v>
      </c>
      <c r="C252" s="373">
        <v>0.15</v>
      </c>
      <c r="D252" s="373">
        <v>0.15</v>
      </c>
      <c r="E252" s="373">
        <v>0.15</v>
      </c>
      <c r="F252" s="374">
        <v>0.1</v>
      </c>
    </row>
    <row r="253" spans="1:6">
      <c r="A253" s="286" t="s">
        <v>1901</v>
      </c>
      <c r="B253" s="291" t="s">
        <v>1910</v>
      </c>
      <c r="C253" s="373">
        <v>0.15</v>
      </c>
      <c r="D253" s="373">
        <v>0.15</v>
      </c>
      <c r="E253" s="373">
        <v>0.15</v>
      </c>
      <c r="F253" s="374">
        <v>0.1</v>
      </c>
    </row>
    <row r="254" spans="1:6">
      <c r="A254" s="286" t="s">
        <v>1901</v>
      </c>
      <c r="B254" s="291" t="s">
        <v>1911</v>
      </c>
      <c r="C254" s="379"/>
      <c r="D254" s="379"/>
      <c r="E254" s="379"/>
      <c r="F254" s="374">
        <v>0.15</v>
      </c>
    </row>
    <row r="255" spans="1:6">
      <c r="A255" s="286" t="s">
        <v>1901</v>
      </c>
      <c r="B255" s="291" t="s">
        <v>1912</v>
      </c>
      <c r="C255" s="379"/>
      <c r="D255" s="379"/>
      <c r="E255" s="379"/>
      <c r="F255" s="374">
        <v>0.14299999999999999</v>
      </c>
    </row>
    <row r="256" spans="1:6">
      <c r="A256" s="286" t="s">
        <v>1901</v>
      </c>
      <c r="B256" s="291" t="s">
        <v>1913</v>
      </c>
      <c r="C256" s="373">
        <v>0.14599999999999999</v>
      </c>
      <c r="D256" s="373">
        <v>0.14699999999999999</v>
      </c>
      <c r="E256" s="373">
        <v>0.15</v>
      </c>
      <c r="F256" s="374">
        <v>0.13200000000000001</v>
      </c>
    </row>
    <row r="257" spans="1:6">
      <c r="A257" s="286" t="s">
        <v>1901</v>
      </c>
      <c r="B257" s="291" t="s">
        <v>1914</v>
      </c>
      <c r="C257" s="373">
        <v>0.15</v>
      </c>
      <c r="D257" s="373">
        <v>0.15</v>
      </c>
      <c r="E257" s="373">
        <v>0.15</v>
      </c>
      <c r="F257" s="374">
        <v>0.13900000000000001</v>
      </c>
    </row>
    <row r="258" spans="1:6">
      <c r="A258" s="286" t="s">
        <v>1901</v>
      </c>
      <c r="B258" s="291" t="s">
        <v>1915</v>
      </c>
      <c r="C258" s="373">
        <v>0.15</v>
      </c>
      <c r="D258" s="373">
        <v>0.15</v>
      </c>
      <c r="E258" s="373">
        <v>0.15</v>
      </c>
      <c r="F258" s="374">
        <v>0.13</v>
      </c>
    </row>
    <row r="259" spans="1:6">
      <c r="A259" s="286" t="s">
        <v>1901</v>
      </c>
      <c r="B259" s="291" t="s">
        <v>1916</v>
      </c>
      <c r="C259" s="373">
        <v>0.14799999999999999</v>
      </c>
      <c r="D259" s="373">
        <v>0.14899999999999999</v>
      </c>
      <c r="E259" s="373">
        <v>0.15</v>
      </c>
      <c r="F259" s="374">
        <v>0.13700000000000001</v>
      </c>
    </row>
    <row r="260" spans="1:6">
      <c r="A260" s="286" t="s">
        <v>1901</v>
      </c>
      <c r="B260" s="291" t="s">
        <v>1917</v>
      </c>
      <c r="C260" s="373">
        <v>0.15</v>
      </c>
      <c r="D260" s="373">
        <v>0.15</v>
      </c>
      <c r="E260" s="373">
        <v>0.15</v>
      </c>
      <c r="F260" s="374">
        <v>0.14199999999999999</v>
      </c>
    </row>
    <row r="261" spans="1:6">
      <c r="A261" s="286" t="s">
        <v>1901</v>
      </c>
      <c r="B261" s="291" t="s">
        <v>1918</v>
      </c>
      <c r="C261" s="373">
        <v>0.15</v>
      </c>
      <c r="D261" s="373">
        <v>0.15</v>
      </c>
      <c r="E261" s="373">
        <v>0.14899999999999999</v>
      </c>
      <c r="F261" s="374">
        <v>0.14799999999999999</v>
      </c>
    </row>
    <row r="262" spans="1:6">
      <c r="A262" s="286" t="s">
        <v>1901</v>
      </c>
      <c r="B262" s="291" t="s">
        <v>1919</v>
      </c>
      <c r="C262" s="373">
        <v>0.15</v>
      </c>
      <c r="D262" s="373">
        <v>0.15</v>
      </c>
      <c r="E262" s="373">
        <v>0.15</v>
      </c>
      <c r="F262" s="378"/>
    </row>
    <row r="263" spans="1:6">
      <c r="A263" s="286" t="s">
        <v>1901</v>
      </c>
      <c r="B263" s="291" t="s">
        <v>1920</v>
      </c>
      <c r="C263" s="373">
        <v>0.14899999999999999</v>
      </c>
      <c r="D263" s="373">
        <v>0.14899999999999999</v>
      </c>
      <c r="E263" s="373">
        <v>0.15</v>
      </c>
      <c r="F263" s="374">
        <v>0.13</v>
      </c>
    </row>
    <row r="264" spans="1:6">
      <c r="A264" s="286" t="s">
        <v>1901</v>
      </c>
      <c r="B264" s="291" t="s">
        <v>1921</v>
      </c>
      <c r="C264" s="373">
        <v>0.14799999999999999</v>
      </c>
      <c r="D264" s="373">
        <v>0.14699999999999999</v>
      </c>
      <c r="E264" s="373">
        <v>0.15</v>
      </c>
      <c r="F264" s="374">
        <v>7.8E-2</v>
      </c>
    </row>
    <row r="265" spans="1:6">
      <c r="A265" s="286" t="s">
        <v>1901</v>
      </c>
      <c r="B265" s="291" t="s">
        <v>1922</v>
      </c>
      <c r="C265" s="373">
        <v>0.15</v>
      </c>
      <c r="D265" s="373">
        <v>0.15</v>
      </c>
      <c r="E265" s="373">
        <v>0.15</v>
      </c>
      <c r="F265" s="374">
        <v>7.3999999999999996E-2</v>
      </c>
    </row>
    <row r="266" spans="1:6">
      <c r="A266" s="286" t="s">
        <v>1901</v>
      </c>
      <c r="B266" s="291" t="s">
        <v>1923</v>
      </c>
      <c r="C266" s="373">
        <v>0.14699999999999999</v>
      </c>
      <c r="D266" s="373">
        <v>0.14699999999999999</v>
      </c>
      <c r="E266" s="373">
        <v>0.15</v>
      </c>
      <c r="F266" s="374">
        <v>0.14299999999999999</v>
      </c>
    </row>
    <row r="267" spans="1:6">
      <c r="A267" s="286" t="s">
        <v>1901</v>
      </c>
      <c r="B267" s="291" t="s">
        <v>1924</v>
      </c>
      <c r="C267" s="373">
        <v>0.14199999999999999</v>
      </c>
      <c r="D267" s="373">
        <v>0.14299999999999999</v>
      </c>
      <c r="E267" s="373">
        <v>0.15</v>
      </c>
      <c r="F267" s="378"/>
    </row>
    <row r="268" spans="1:6">
      <c r="A268" s="286" t="s">
        <v>1901</v>
      </c>
      <c r="B268" s="291" t="s">
        <v>1925</v>
      </c>
      <c r="C268" s="373">
        <v>0.15</v>
      </c>
      <c r="D268" s="373">
        <v>0.15</v>
      </c>
      <c r="E268" s="373">
        <v>0.15</v>
      </c>
      <c r="F268" s="374">
        <v>0.13</v>
      </c>
    </row>
    <row r="269" spans="1:6">
      <c r="A269" s="286" t="s">
        <v>1901</v>
      </c>
      <c r="B269" s="291" t="s">
        <v>1926</v>
      </c>
      <c r="C269" s="373">
        <v>0.15</v>
      </c>
      <c r="D269" s="373">
        <v>0.15</v>
      </c>
      <c r="E269" s="373">
        <v>0.15</v>
      </c>
      <c r="F269" s="374">
        <v>0.14299999999999999</v>
      </c>
    </row>
    <row r="270" spans="1:6">
      <c r="A270" s="286" t="s">
        <v>1901</v>
      </c>
      <c r="B270" s="291" t="s">
        <v>1927</v>
      </c>
      <c r="C270" s="373">
        <v>0.14499999999999999</v>
      </c>
      <c r="D270" s="373">
        <v>0.14499999999999999</v>
      </c>
      <c r="E270" s="373">
        <v>0.15</v>
      </c>
      <c r="F270" s="374">
        <v>0.14699999999999999</v>
      </c>
    </row>
    <row r="271" spans="1:6">
      <c r="A271" s="286" t="s">
        <v>1901</v>
      </c>
      <c r="B271" s="291" t="s">
        <v>1928</v>
      </c>
      <c r="C271" s="373">
        <v>0.15</v>
      </c>
      <c r="D271" s="373">
        <v>0.15</v>
      </c>
      <c r="E271" s="373">
        <v>0.15</v>
      </c>
      <c r="F271" s="374">
        <v>0.13800000000000001</v>
      </c>
    </row>
    <row r="272" spans="1:6">
      <c r="A272" s="286" t="s">
        <v>1901</v>
      </c>
      <c r="B272" s="291" t="s">
        <v>1929</v>
      </c>
      <c r="C272" s="379"/>
      <c r="D272" s="379"/>
      <c r="E272" s="379"/>
      <c r="F272" s="374">
        <v>0.14000000000000001</v>
      </c>
    </row>
    <row r="273" spans="1:6">
      <c r="A273" s="286" t="s">
        <v>1901</v>
      </c>
      <c r="B273" s="291" t="s">
        <v>1930</v>
      </c>
      <c r="C273" s="373">
        <v>0.14199999999999999</v>
      </c>
      <c r="D273" s="373">
        <v>0.14299999999999999</v>
      </c>
      <c r="E273" s="373">
        <v>0.15</v>
      </c>
      <c r="F273" s="374">
        <v>0.1</v>
      </c>
    </row>
    <row r="274" spans="1:6">
      <c r="A274" s="286" t="s">
        <v>1901</v>
      </c>
      <c r="B274" s="291" t="s">
        <v>1931</v>
      </c>
      <c r="C274" s="373">
        <v>0.14799999999999999</v>
      </c>
      <c r="D274" s="373">
        <v>0.14799999999999999</v>
      </c>
      <c r="E274" s="373">
        <v>0.15</v>
      </c>
      <c r="F274" s="374">
        <v>6.7000000000000004E-2</v>
      </c>
    </row>
    <row r="275" spans="1:6">
      <c r="A275" s="286" t="s">
        <v>1901</v>
      </c>
      <c r="B275" s="291" t="s">
        <v>1932</v>
      </c>
      <c r="C275" s="373">
        <v>0.15</v>
      </c>
      <c r="D275" s="373">
        <v>0.15</v>
      </c>
      <c r="E275" s="373">
        <v>0.15</v>
      </c>
      <c r="F275" s="374">
        <v>0.15</v>
      </c>
    </row>
    <row r="276" spans="1:6">
      <c r="A276" s="286" t="s">
        <v>1901</v>
      </c>
      <c r="B276" s="291" t="s">
        <v>1933</v>
      </c>
      <c r="C276" s="373">
        <v>0.14499999999999999</v>
      </c>
      <c r="D276" s="373">
        <v>0.14299999999999999</v>
      </c>
      <c r="E276" s="373">
        <v>0.15</v>
      </c>
      <c r="F276" s="374">
        <v>5.8999999999999997E-2</v>
      </c>
    </row>
    <row r="277" spans="1:6">
      <c r="A277" s="286" t="s">
        <v>1901</v>
      </c>
      <c r="B277" s="291" t="s">
        <v>1934</v>
      </c>
      <c r="C277" s="373">
        <v>0.15</v>
      </c>
      <c r="D277" s="373">
        <v>0.15</v>
      </c>
      <c r="E277" s="373">
        <v>0.15</v>
      </c>
      <c r="F277" s="374">
        <v>0.121</v>
      </c>
    </row>
    <row r="278" spans="1:6">
      <c r="A278" s="286" t="s">
        <v>1901</v>
      </c>
      <c r="B278" s="291" t="s">
        <v>1935</v>
      </c>
      <c r="C278" s="373">
        <v>0.15</v>
      </c>
      <c r="D278" s="373">
        <v>0.15</v>
      </c>
      <c r="E278" s="373">
        <v>0.15</v>
      </c>
      <c r="F278" s="374">
        <v>0.13800000000000001</v>
      </c>
    </row>
    <row r="279" spans="1:6" ht="24">
      <c r="A279" s="286" t="s">
        <v>1901</v>
      </c>
      <c r="B279" s="291" t="s">
        <v>1936</v>
      </c>
      <c r="C279" s="379"/>
      <c r="D279" s="379"/>
      <c r="E279" s="379"/>
      <c r="F279" s="374">
        <v>0.05</v>
      </c>
    </row>
    <row r="280" spans="1:6" ht="24">
      <c r="A280" s="286" t="s">
        <v>1901</v>
      </c>
      <c r="B280" s="291" t="s">
        <v>1937</v>
      </c>
      <c r="C280" s="379"/>
      <c r="D280" s="379"/>
      <c r="E280" s="379"/>
      <c r="F280" s="374">
        <v>0.05</v>
      </c>
    </row>
    <row r="281" spans="1:6" ht="24">
      <c r="A281" s="286" t="s">
        <v>1901</v>
      </c>
      <c r="B281" s="291" t="s">
        <v>1938</v>
      </c>
      <c r="C281" s="379"/>
      <c r="D281" s="379"/>
      <c r="E281" s="379"/>
      <c r="F281" s="374">
        <v>0.05</v>
      </c>
    </row>
    <row r="282" spans="1:6" ht="24">
      <c r="A282" s="286" t="s">
        <v>1901</v>
      </c>
      <c r="B282" s="291" t="s">
        <v>1939</v>
      </c>
      <c r="C282" s="379"/>
      <c r="D282" s="379"/>
      <c r="E282" s="379"/>
      <c r="F282" s="374">
        <v>0.05</v>
      </c>
    </row>
    <row r="283" spans="1:6" ht="24">
      <c r="A283" s="286" t="s">
        <v>1901</v>
      </c>
      <c r="B283" s="291" t="s">
        <v>1940</v>
      </c>
      <c r="C283" s="379"/>
      <c r="D283" s="379"/>
      <c r="E283" s="379"/>
      <c r="F283" s="374">
        <v>0.05</v>
      </c>
    </row>
    <row r="284" spans="1:6" ht="24">
      <c r="A284" s="286" t="s">
        <v>1901</v>
      </c>
      <c r="B284" s="291" t="s">
        <v>1941</v>
      </c>
      <c r="C284" s="379"/>
      <c r="D284" s="379"/>
      <c r="E284" s="379"/>
      <c r="F284" s="374">
        <v>0.05</v>
      </c>
    </row>
    <row r="285" spans="1:6" ht="24">
      <c r="A285" s="286" t="s">
        <v>1901</v>
      </c>
      <c r="B285" s="291" t="s">
        <v>1942</v>
      </c>
      <c r="C285" s="379"/>
      <c r="D285" s="379"/>
      <c r="E285" s="379"/>
      <c r="F285" s="374">
        <v>0.05</v>
      </c>
    </row>
    <row r="286" spans="1:6" ht="24">
      <c r="A286" s="286" t="s">
        <v>1901</v>
      </c>
      <c r="B286" s="291" t="s">
        <v>1943</v>
      </c>
      <c r="C286" s="379"/>
      <c r="D286" s="379"/>
      <c r="E286" s="379"/>
      <c r="F286" s="374">
        <v>0.05</v>
      </c>
    </row>
    <row r="287" spans="1:6" ht="24">
      <c r="A287" s="286" t="s">
        <v>1901</v>
      </c>
      <c r="B287" s="291" t="s">
        <v>1944</v>
      </c>
      <c r="C287" s="379"/>
      <c r="D287" s="379"/>
      <c r="E287" s="379"/>
      <c r="F287" s="374">
        <v>0.05</v>
      </c>
    </row>
    <row r="288" spans="1:6" ht="24">
      <c r="A288" s="286" t="s">
        <v>1901</v>
      </c>
      <c r="B288" s="291" t="s">
        <v>1945</v>
      </c>
      <c r="C288" s="379"/>
      <c r="D288" s="379"/>
      <c r="E288" s="379"/>
      <c r="F288" s="374">
        <v>0.05</v>
      </c>
    </row>
    <row r="289" spans="1:6" ht="24">
      <c r="A289" s="304" t="s">
        <v>1901</v>
      </c>
      <c r="B289" s="297" t="s">
        <v>1946</v>
      </c>
      <c r="C289" s="376"/>
      <c r="D289" s="376"/>
      <c r="E289" s="376"/>
      <c r="F289" s="380">
        <v>0.05</v>
      </c>
    </row>
    <row r="290" spans="1:6">
      <c r="A290" s="286" t="s">
        <v>1947</v>
      </c>
      <c r="B290" s="287" t="s">
        <v>1948</v>
      </c>
      <c r="C290" s="371">
        <v>0.15</v>
      </c>
      <c r="D290" s="371">
        <v>0.15</v>
      </c>
      <c r="E290" s="371">
        <v>0.15</v>
      </c>
      <c r="F290" s="388"/>
    </row>
    <row r="291" spans="1:6">
      <c r="A291" s="286" t="s">
        <v>1947</v>
      </c>
      <c r="B291" s="291" t="s">
        <v>1949</v>
      </c>
      <c r="C291" s="373">
        <v>0.15</v>
      </c>
      <c r="D291" s="373">
        <v>0.15</v>
      </c>
      <c r="E291" s="373">
        <v>0.15</v>
      </c>
      <c r="F291" s="378"/>
    </row>
    <row r="292" spans="1:6">
      <c r="A292" s="286" t="s">
        <v>1947</v>
      </c>
      <c r="B292" s="291" t="s">
        <v>1950</v>
      </c>
      <c r="C292" s="373">
        <v>0.15</v>
      </c>
      <c r="D292" s="373">
        <v>0.15</v>
      </c>
      <c r="E292" s="373">
        <v>0.15</v>
      </c>
      <c r="F292" s="374">
        <v>0.14699999999999999</v>
      </c>
    </row>
    <row r="293" spans="1:6">
      <c r="A293" s="286" t="s">
        <v>1947</v>
      </c>
      <c r="B293" s="291" t="s">
        <v>1951</v>
      </c>
      <c r="C293" s="379"/>
      <c r="D293" s="379"/>
      <c r="E293" s="379"/>
      <c r="F293" s="374">
        <v>0.1</v>
      </c>
    </row>
    <row r="294" spans="1:6">
      <c r="A294" s="286" t="s">
        <v>1947</v>
      </c>
      <c r="B294" s="291" t="s">
        <v>1952</v>
      </c>
      <c r="C294" s="373">
        <v>0.15</v>
      </c>
      <c r="D294" s="373">
        <v>0.15</v>
      </c>
      <c r="E294" s="373">
        <v>0.15</v>
      </c>
      <c r="F294" s="374">
        <v>0.15</v>
      </c>
    </row>
    <row r="295" spans="1:6">
      <c r="A295" s="286" t="s">
        <v>1947</v>
      </c>
      <c r="B295" s="291" t="s">
        <v>1953</v>
      </c>
      <c r="C295" s="373">
        <v>0.15</v>
      </c>
      <c r="D295" s="373">
        <v>0.15</v>
      </c>
      <c r="E295" s="373">
        <v>0.15</v>
      </c>
      <c r="F295" s="374">
        <v>0.15</v>
      </c>
    </row>
    <row r="296" spans="1:6">
      <c r="A296" s="286" t="s">
        <v>1947</v>
      </c>
      <c r="B296" s="291" t="s">
        <v>1954</v>
      </c>
      <c r="C296" s="373">
        <v>0.15</v>
      </c>
      <c r="D296" s="373">
        <v>0.15</v>
      </c>
      <c r="E296" s="373">
        <v>0.15</v>
      </c>
      <c r="F296" s="374">
        <v>0.15</v>
      </c>
    </row>
    <row r="297" spans="1:6">
      <c r="A297" s="286" t="s">
        <v>1947</v>
      </c>
      <c r="B297" s="291" t="s">
        <v>1955</v>
      </c>
      <c r="C297" s="373">
        <v>0.14799999999999999</v>
      </c>
      <c r="D297" s="373">
        <v>0.14899999999999999</v>
      </c>
      <c r="E297" s="373">
        <v>0.15</v>
      </c>
      <c r="F297" s="374">
        <v>0.13700000000000001</v>
      </c>
    </row>
    <row r="298" spans="1:6">
      <c r="A298" s="286" t="s">
        <v>1947</v>
      </c>
      <c r="B298" s="291" t="s">
        <v>1956</v>
      </c>
      <c r="C298" s="373">
        <v>0.13400000000000001</v>
      </c>
      <c r="D298" s="373">
        <v>0.13400000000000001</v>
      </c>
      <c r="E298" s="373">
        <v>0.14499999999999999</v>
      </c>
      <c r="F298" s="374">
        <v>0.14799999999999999</v>
      </c>
    </row>
    <row r="299" spans="1:6">
      <c r="A299" s="286" t="s">
        <v>1947</v>
      </c>
      <c r="B299" s="291" t="s">
        <v>1957</v>
      </c>
      <c r="C299" s="373">
        <v>0.15</v>
      </c>
      <c r="D299" s="373">
        <v>0.15</v>
      </c>
      <c r="E299" s="373">
        <v>0.15</v>
      </c>
      <c r="F299" s="378"/>
    </row>
    <row r="300" spans="1:6">
      <c r="A300" s="286" t="s">
        <v>1947</v>
      </c>
      <c r="B300" s="291" t="s">
        <v>1958</v>
      </c>
      <c r="C300" s="373">
        <v>0.15</v>
      </c>
      <c r="D300" s="373">
        <v>0.15</v>
      </c>
      <c r="E300" s="373">
        <v>0.15</v>
      </c>
      <c r="F300" s="374">
        <v>0.15</v>
      </c>
    </row>
    <row r="301" spans="1:6">
      <c r="A301" s="286" t="s">
        <v>1947</v>
      </c>
      <c r="B301" s="291" t="s">
        <v>1959</v>
      </c>
      <c r="C301" s="373">
        <v>0.15</v>
      </c>
      <c r="D301" s="373">
        <v>0.15</v>
      </c>
      <c r="E301" s="373">
        <v>0.15</v>
      </c>
      <c r="F301" s="378"/>
    </row>
    <row r="302" spans="1:6">
      <c r="A302" s="286" t="s">
        <v>1947</v>
      </c>
      <c r="B302" s="291" t="s">
        <v>1960</v>
      </c>
      <c r="C302" s="373">
        <v>0.15</v>
      </c>
      <c r="D302" s="373">
        <v>0.15</v>
      </c>
      <c r="E302" s="373">
        <v>0.15</v>
      </c>
      <c r="F302" s="374">
        <v>0.15</v>
      </c>
    </row>
    <row r="303" spans="1:6">
      <c r="A303" s="286" t="s">
        <v>1947</v>
      </c>
      <c r="B303" s="291" t="s">
        <v>1961</v>
      </c>
      <c r="C303" s="373">
        <v>0.15</v>
      </c>
      <c r="D303" s="373">
        <v>0.15</v>
      </c>
      <c r="E303" s="373">
        <v>0.15</v>
      </c>
      <c r="F303" s="374">
        <v>0.15</v>
      </c>
    </row>
    <row r="304" spans="1:6">
      <c r="A304" s="286" t="s">
        <v>1947</v>
      </c>
      <c r="B304" s="291" t="s">
        <v>1962</v>
      </c>
      <c r="C304" s="373">
        <v>0.15</v>
      </c>
      <c r="D304" s="373">
        <v>0.15</v>
      </c>
      <c r="E304" s="373">
        <v>0.15</v>
      </c>
      <c r="F304" s="378"/>
    </row>
    <row r="305" spans="1:6">
      <c r="A305" s="286" t="s">
        <v>1947</v>
      </c>
      <c r="B305" s="291" t="s">
        <v>1963</v>
      </c>
      <c r="C305" s="373">
        <v>0.15</v>
      </c>
      <c r="D305" s="373">
        <v>0.15</v>
      </c>
      <c r="E305" s="373">
        <v>0.15</v>
      </c>
      <c r="F305" s="374">
        <v>0.14000000000000001</v>
      </c>
    </row>
    <row r="306" spans="1:6">
      <c r="A306" s="286" t="s">
        <v>1947</v>
      </c>
      <c r="B306" s="291" t="s">
        <v>1964</v>
      </c>
      <c r="C306" s="373">
        <v>0.15</v>
      </c>
      <c r="D306" s="373">
        <v>0.15</v>
      </c>
      <c r="E306" s="373">
        <v>0.15</v>
      </c>
      <c r="F306" s="378"/>
    </row>
    <row r="307" spans="1:6">
      <c r="A307" s="286" t="s">
        <v>1947</v>
      </c>
      <c r="B307" s="291" t="s">
        <v>1965</v>
      </c>
      <c r="C307" s="373">
        <v>0.15</v>
      </c>
      <c r="D307" s="373">
        <v>0.15</v>
      </c>
      <c r="E307" s="373">
        <v>0.15</v>
      </c>
      <c r="F307" s="374">
        <v>0.14299999999999999</v>
      </c>
    </row>
    <row r="308" spans="1:6">
      <c r="A308" s="286" t="s">
        <v>1947</v>
      </c>
      <c r="B308" s="291" t="s">
        <v>1966</v>
      </c>
      <c r="C308" s="373">
        <v>0.15</v>
      </c>
      <c r="D308" s="373">
        <v>0.15</v>
      </c>
      <c r="E308" s="373">
        <v>0.15</v>
      </c>
      <c r="F308" s="374">
        <v>0.15</v>
      </c>
    </row>
    <row r="309" spans="1:6">
      <c r="A309" s="286" t="s">
        <v>1947</v>
      </c>
      <c r="B309" s="291" t="s">
        <v>1967</v>
      </c>
      <c r="C309" s="373">
        <v>0.15</v>
      </c>
      <c r="D309" s="373">
        <v>0.15</v>
      </c>
      <c r="E309" s="373">
        <v>0.15</v>
      </c>
      <c r="F309" s="378"/>
    </row>
    <row r="310" spans="1:6">
      <c r="A310" s="286" t="s">
        <v>1947</v>
      </c>
      <c r="B310" s="291" t="s">
        <v>1968</v>
      </c>
      <c r="C310" s="373">
        <v>0.15</v>
      </c>
      <c r="D310" s="373">
        <v>0.15</v>
      </c>
      <c r="E310" s="373">
        <v>0.15</v>
      </c>
      <c r="F310" s="374">
        <v>0.13700000000000001</v>
      </c>
    </row>
    <row r="311" spans="1:6">
      <c r="A311" s="286" t="s">
        <v>1947</v>
      </c>
      <c r="B311" s="291" t="s">
        <v>1969</v>
      </c>
      <c r="C311" s="373">
        <v>0.15</v>
      </c>
      <c r="D311" s="373">
        <v>0.15</v>
      </c>
      <c r="E311" s="373">
        <v>0.15</v>
      </c>
      <c r="F311" s="374">
        <v>0.15</v>
      </c>
    </row>
    <row r="312" spans="1:6">
      <c r="A312" s="286" t="s">
        <v>1947</v>
      </c>
      <c r="B312" s="291" t="s">
        <v>1970</v>
      </c>
      <c r="C312" s="373">
        <v>0.15</v>
      </c>
      <c r="D312" s="373">
        <v>0.15</v>
      </c>
      <c r="E312" s="373">
        <v>0.15</v>
      </c>
      <c r="F312" s="374">
        <v>0.1</v>
      </c>
    </row>
    <row r="313" spans="1:6">
      <c r="A313" s="286" t="s">
        <v>1947</v>
      </c>
      <c r="B313" s="291" t="s">
        <v>1971</v>
      </c>
      <c r="C313" s="373">
        <v>0.15</v>
      </c>
      <c r="D313" s="373">
        <v>0.15</v>
      </c>
      <c r="E313" s="373">
        <v>0.15</v>
      </c>
      <c r="F313" s="374">
        <v>0.15</v>
      </c>
    </row>
    <row r="314" spans="1:6" ht="24">
      <c r="A314" s="286" t="s">
        <v>1947</v>
      </c>
      <c r="B314" s="291" t="s">
        <v>1972</v>
      </c>
      <c r="C314" s="379"/>
      <c r="D314" s="379"/>
      <c r="E314" s="379"/>
      <c r="F314" s="374">
        <v>0.05</v>
      </c>
    </row>
    <row r="315" spans="1:6" ht="24">
      <c r="A315" s="286" t="s">
        <v>1947</v>
      </c>
      <c r="B315" s="291" t="s">
        <v>1973</v>
      </c>
      <c r="C315" s="379"/>
      <c r="D315" s="379"/>
      <c r="E315" s="379"/>
      <c r="F315" s="374">
        <v>0.05</v>
      </c>
    </row>
    <row r="316" spans="1:6" ht="24">
      <c r="A316" s="304" t="s">
        <v>1947</v>
      </c>
      <c r="B316" s="297" t="s">
        <v>1974</v>
      </c>
      <c r="C316" s="376"/>
      <c r="D316" s="376"/>
      <c r="E316" s="376"/>
      <c r="F316" s="380">
        <v>0.05</v>
      </c>
    </row>
    <row r="317" spans="1:6">
      <c r="A317" s="286" t="s">
        <v>1975</v>
      </c>
      <c r="B317" s="287" t="s">
        <v>1976</v>
      </c>
      <c r="C317" s="371">
        <v>0.15</v>
      </c>
      <c r="D317" s="371">
        <v>0.15</v>
      </c>
      <c r="E317" s="371">
        <v>0.15</v>
      </c>
      <c r="F317" s="372">
        <v>0.15</v>
      </c>
    </row>
    <row r="318" spans="1:6">
      <c r="A318" s="286" t="s">
        <v>1975</v>
      </c>
      <c r="B318" s="291" t="s">
        <v>1977</v>
      </c>
      <c r="C318" s="373">
        <v>0.107</v>
      </c>
      <c r="D318" s="373">
        <v>0.11</v>
      </c>
      <c r="E318" s="373">
        <v>0.112</v>
      </c>
      <c r="F318" s="378"/>
    </row>
    <row r="319" spans="1:6">
      <c r="A319" s="286" t="s">
        <v>1975</v>
      </c>
      <c r="B319" s="291" t="s">
        <v>1978</v>
      </c>
      <c r="C319" s="373">
        <v>0.15</v>
      </c>
      <c r="D319" s="373">
        <v>0.15</v>
      </c>
      <c r="E319" s="373">
        <v>0.15</v>
      </c>
      <c r="F319" s="374">
        <v>0.15</v>
      </c>
    </row>
    <row r="320" spans="1:6">
      <c r="A320" s="286" t="s">
        <v>1975</v>
      </c>
      <c r="B320" s="291" t="s">
        <v>1979</v>
      </c>
      <c r="C320" s="373">
        <v>0.15</v>
      </c>
      <c r="D320" s="373">
        <v>0.15</v>
      </c>
      <c r="E320" s="373">
        <v>0.15</v>
      </c>
      <c r="F320" s="378"/>
    </row>
    <row r="321" spans="1:6">
      <c r="A321" s="286" t="s">
        <v>1975</v>
      </c>
      <c r="B321" s="291" t="s">
        <v>1980</v>
      </c>
      <c r="C321" s="373">
        <v>0.15</v>
      </c>
      <c r="D321" s="373">
        <v>0.15</v>
      </c>
      <c r="E321" s="373">
        <v>0.15</v>
      </c>
      <c r="F321" s="378"/>
    </row>
    <row r="322" spans="1:6">
      <c r="A322" s="286" t="s">
        <v>1975</v>
      </c>
      <c r="B322" s="291" t="s">
        <v>1981</v>
      </c>
      <c r="C322" s="373">
        <v>0.15</v>
      </c>
      <c r="D322" s="373">
        <v>0.15</v>
      </c>
      <c r="E322" s="373">
        <v>0.15</v>
      </c>
      <c r="F322" s="374">
        <v>0.15</v>
      </c>
    </row>
    <row r="323" spans="1:6">
      <c r="A323" s="286" t="s">
        <v>1975</v>
      </c>
      <c r="B323" s="291" t="s">
        <v>1982</v>
      </c>
      <c r="C323" s="373">
        <v>0.15</v>
      </c>
      <c r="D323" s="373">
        <v>0.15</v>
      </c>
      <c r="E323" s="373">
        <v>0.15</v>
      </c>
      <c r="F323" s="378"/>
    </row>
    <row r="324" spans="1:6">
      <c r="A324" s="286" t="s">
        <v>1975</v>
      </c>
      <c r="B324" s="291" t="s">
        <v>1983</v>
      </c>
      <c r="C324" s="373">
        <v>0.15</v>
      </c>
      <c r="D324" s="373">
        <v>0.15</v>
      </c>
      <c r="E324" s="373">
        <v>0.15</v>
      </c>
      <c r="F324" s="378"/>
    </row>
    <row r="325" spans="1:6">
      <c r="A325" s="286" t="s">
        <v>1975</v>
      </c>
      <c r="B325" s="291" t="s">
        <v>1984</v>
      </c>
      <c r="C325" s="373">
        <v>0.15</v>
      </c>
      <c r="D325" s="373">
        <v>0.15</v>
      </c>
      <c r="E325" s="373">
        <v>0.15</v>
      </c>
      <c r="F325" s="374">
        <v>0.14699999999999999</v>
      </c>
    </row>
    <row r="326" spans="1:6">
      <c r="A326" s="286" t="s">
        <v>1975</v>
      </c>
      <c r="B326" s="291" t="s">
        <v>1985</v>
      </c>
      <c r="C326" s="373">
        <v>0.15</v>
      </c>
      <c r="D326" s="373">
        <v>0.15</v>
      </c>
      <c r="E326" s="373">
        <v>0.15</v>
      </c>
      <c r="F326" s="378"/>
    </row>
    <row r="327" spans="1:6">
      <c r="A327" s="286" t="s">
        <v>1975</v>
      </c>
      <c r="B327" s="291" t="s">
        <v>1986</v>
      </c>
      <c r="C327" s="373">
        <v>0.15</v>
      </c>
      <c r="D327" s="373">
        <v>0.15</v>
      </c>
      <c r="E327" s="373">
        <v>0.15</v>
      </c>
      <c r="F327" s="374">
        <v>0.15</v>
      </c>
    </row>
    <row r="328" spans="1:6">
      <c r="A328" s="286" t="s">
        <v>1975</v>
      </c>
      <c r="B328" s="291" t="s">
        <v>1987</v>
      </c>
      <c r="C328" s="373">
        <v>0.15</v>
      </c>
      <c r="D328" s="373">
        <v>0.15</v>
      </c>
      <c r="E328" s="373">
        <v>0.15</v>
      </c>
      <c r="F328" s="374">
        <v>0.14099999999999999</v>
      </c>
    </row>
    <row r="329" spans="1:6">
      <c r="A329" s="286" t="s">
        <v>1975</v>
      </c>
      <c r="B329" s="291" t="s">
        <v>1988</v>
      </c>
      <c r="C329" s="373">
        <v>0.15</v>
      </c>
      <c r="D329" s="373">
        <v>0.15</v>
      </c>
      <c r="E329" s="373">
        <v>0.15</v>
      </c>
      <c r="F329" s="374">
        <v>0.15</v>
      </c>
    </row>
    <row r="330" spans="1:6">
      <c r="A330" s="286" t="s">
        <v>1975</v>
      </c>
      <c r="B330" s="291" t="s">
        <v>1989</v>
      </c>
      <c r="C330" s="373">
        <v>0.15</v>
      </c>
      <c r="D330" s="373">
        <v>0.15</v>
      </c>
      <c r="E330" s="373">
        <v>0.15</v>
      </c>
      <c r="F330" s="378"/>
    </row>
    <row r="331" spans="1:6">
      <c r="A331" s="286" t="s">
        <v>1975</v>
      </c>
      <c r="B331" s="291" t="s">
        <v>1990</v>
      </c>
      <c r="C331" s="373">
        <v>0.15</v>
      </c>
      <c r="D331" s="373">
        <v>0.15</v>
      </c>
      <c r="E331" s="373">
        <v>0.15</v>
      </c>
      <c r="F331" s="374">
        <v>0.15</v>
      </c>
    </row>
    <row r="332" spans="1:6">
      <c r="A332" s="286" t="s">
        <v>1975</v>
      </c>
      <c r="B332" s="291" t="s">
        <v>1991</v>
      </c>
      <c r="C332" s="373">
        <v>0.15</v>
      </c>
      <c r="D332" s="373">
        <v>0.15</v>
      </c>
      <c r="E332" s="373">
        <v>0.15</v>
      </c>
      <c r="F332" s="374">
        <v>0.15</v>
      </c>
    </row>
    <row r="333" spans="1:6">
      <c r="A333" s="286" t="s">
        <v>1975</v>
      </c>
      <c r="B333" s="291" t="s">
        <v>1992</v>
      </c>
      <c r="C333" s="373">
        <v>0.15</v>
      </c>
      <c r="D333" s="373">
        <v>0.15</v>
      </c>
      <c r="E333" s="373">
        <v>0.15</v>
      </c>
      <c r="F333" s="374">
        <v>0.14099999999999999</v>
      </c>
    </row>
    <row r="334" spans="1:6">
      <c r="A334" s="286" t="s">
        <v>1975</v>
      </c>
      <c r="B334" s="291" t="s">
        <v>1993</v>
      </c>
      <c r="C334" s="373">
        <v>0.15</v>
      </c>
      <c r="D334" s="373">
        <v>0.15</v>
      </c>
      <c r="E334" s="373">
        <v>0.15</v>
      </c>
      <c r="F334" s="374">
        <v>0.15</v>
      </c>
    </row>
    <row r="335" spans="1:6">
      <c r="A335" s="286" t="s">
        <v>1975</v>
      </c>
      <c r="B335" s="291" t="s">
        <v>1994</v>
      </c>
      <c r="C335" s="373">
        <v>0.15</v>
      </c>
      <c r="D335" s="373">
        <v>0.15</v>
      </c>
      <c r="E335" s="373">
        <v>0.15</v>
      </c>
      <c r="F335" s="378"/>
    </row>
    <row r="336" spans="1:6">
      <c r="A336" s="286" t="s">
        <v>1975</v>
      </c>
      <c r="B336" s="291" t="s">
        <v>1995</v>
      </c>
      <c r="C336" s="373">
        <v>0.15</v>
      </c>
      <c r="D336" s="373">
        <v>0.15</v>
      </c>
      <c r="E336" s="373">
        <v>0.15</v>
      </c>
      <c r="F336" s="374">
        <v>0.11799999999999999</v>
      </c>
    </row>
    <row r="337" spans="1:6">
      <c r="A337" s="304" t="s">
        <v>1975</v>
      </c>
      <c r="B337" s="297" t="s">
        <v>1996</v>
      </c>
      <c r="C337" s="376"/>
      <c r="D337" s="376"/>
      <c r="E337" s="376"/>
      <c r="F337" s="380">
        <v>0.14299999999999999</v>
      </c>
    </row>
    <row r="338" spans="1:6">
      <c r="A338" s="286" t="s">
        <v>1997</v>
      </c>
      <c r="B338" s="287" t="s">
        <v>1998</v>
      </c>
      <c r="C338" s="371">
        <v>0.15</v>
      </c>
      <c r="D338" s="371">
        <v>0.15</v>
      </c>
      <c r="E338" s="371">
        <v>0.15</v>
      </c>
      <c r="F338" s="388"/>
    </row>
    <row r="339" spans="1:6">
      <c r="A339" s="286" t="s">
        <v>1997</v>
      </c>
      <c r="B339" s="291" t="s">
        <v>1999</v>
      </c>
      <c r="C339" s="373">
        <v>0.15</v>
      </c>
      <c r="D339" s="373">
        <v>0.15</v>
      </c>
      <c r="E339" s="373">
        <v>0.15</v>
      </c>
      <c r="F339" s="378"/>
    </row>
    <row r="340" spans="1:6">
      <c r="A340" s="286" t="s">
        <v>1997</v>
      </c>
      <c r="B340" s="291" t="s">
        <v>2000</v>
      </c>
      <c r="C340" s="373">
        <v>0.15</v>
      </c>
      <c r="D340" s="373">
        <v>0.15</v>
      </c>
      <c r="E340" s="373">
        <v>0.15</v>
      </c>
      <c r="F340" s="378"/>
    </row>
    <row r="341" spans="1:6">
      <c r="A341" s="286" t="s">
        <v>1997</v>
      </c>
      <c r="B341" s="291" t="s">
        <v>2001</v>
      </c>
      <c r="C341" s="373">
        <v>0.15</v>
      </c>
      <c r="D341" s="373">
        <v>0.15</v>
      </c>
      <c r="E341" s="373">
        <v>0.15</v>
      </c>
      <c r="F341" s="374">
        <v>0.15</v>
      </c>
    </row>
    <row r="342" spans="1:6">
      <c r="A342" s="286" t="s">
        <v>1997</v>
      </c>
      <c r="B342" s="291" t="s">
        <v>2002</v>
      </c>
      <c r="C342" s="373">
        <v>0.15</v>
      </c>
      <c r="D342" s="373">
        <v>0.15</v>
      </c>
      <c r="E342" s="373">
        <v>0.15</v>
      </c>
      <c r="F342" s="374">
        <v>0.15</v>
      </c>
    </row>
    <row r="343" spans="1:6">
      <c r="A343" s="286" t="s">
        <v>1997</v>
      </c>
      <c r="B343" s="291" t="s">
        <v>2003</v>
      </c>
      <c r="C343" s="373">
        <v>0.15</v>
      </c>
      <c r="D343" s="373">
        <v>0.15</v>
      </c>
      <c r="E343" s="373">
        <v>0.15</v>
      </c>
      <c r="F343" s="374">
        <v>0.15</v>
      </c>
    </row>
    <row r="344" spans="1:6">
      <c r="A344" s="304" t="s">
        <v>1997</v>
      </c>
      <c r="B344" s="297" t="s">
        <v>2004</v>
      </c>
      <c r="C344" s="375">
        <v>0.15</v>
      </c>
      <c r="D344" s="375">
        <v>0.15</v>
      </c>
      <c r="E344" s="375">
        <v>0.15</v>
      </c>
      <c r="F344" s="380">
        <v>0.15</v>
      </c>
    </row>
  </sheetData>
  <sheetProtection password="C66D" sheet="1" objects="1" scenarios="1"/>
  <mergeCells count="1">
    <mergeCell ref="A1:B1"/>
  </mergeCells>
  <phoneticPr fontId="205"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5" customWidth="1"/>
    <col min="2" max="2" width="40.625" style="316" customWidth="1"/>
    <col min="3" max="3" width="9" style="317"/>
    <col min="4" max="5" width="9" style="318"/>
    <col min="6" max="6" width="9" style="319"/>
    <col min="7" max="7" width="11.875" style="315" customWidth="1"/>
    <col min="8" max="8" width="9" style="319"/>
    <col min="9" max="13" width="9" style="315"/>
    <col min="14" max="20" width="9" style="314"/>
    <col min="21" max="16384" width="9" style="315"/>
  </cols>
  <sheetData>
    <row r="1" spans="1:20" s="313" customFormat="1" ht="18" customHeight="1">
      <c r="A1" s="320" t="s">
        <v>2005</v>
      </c>
      <c r="B1" s="321"/>
      <c r="C1" s="322"/>
      <c r="D1" s="323"/>
      <c r="E1" s="323"/>
      <c r="F1" s="324"/>
      <c r="G1" s="325"/>
      <c r="H1" s="324"/>
      <c r="I1" s="325"/>
      <c r="J1" s="325"/>
      <c r="K1" s="325"/>
      <c r="L1" s="325"/>
      <c r="M1" s="325"/>
      <c r="N1" s="314"/>
      <c r="O1" s="314"/>
      <c r="P1" s="314"/>
      <c r="Q1" s="314"/>
      <c r="R1" s="314"/>
      <c r="S1" s="314"/>
      <c r="T1" s="314"/>
    </row>
    <row r="2" spans="1:20" ht="18" customHeight="1">
      <c r="A2" s="326" t="s">
        <v>1650</v>
      </c>
      <c r="B2" s="327">
        <f>1+F4</f>
        <v>1.0128999999999999</v>
      </c>
      <c r="C2" s="328"/>
      <c r="D2" s="329"/>
      <c r="E2" s="329"/>
      <c r="F2" s="330"/>
      <c r="G2" s="331"/>
      <c r="H2" s="324"/>
      <c r="I2" s="325"/>
      <c r="J2" s="325"/>
      <c r="K2" s="325"/>
      <c r="L2" s="325"/>
      <c r="M2" s="325"/>
    </row>
    <row r="3" spans="1:20" ht="13.5">
      <c r="A3" s="246" t="s">
        <v>2006</v>
      </c>
      <c r="B3" s="247" t="s">
        <v>2007</v>
      </c>
      <c r="C3" s="332" t="s">
        <v>2008</v>
      </c>
      <c r="D3" s="333" t="s">
        <v>2009</v>
      </c>
      <c r="E3" s="333" t="s">
        <v>2010</v>
      </c>
      <c r="F3" s="334" t="s">
        <v>2011</v>
      </c>
      <c r="G3" s="335" t="s">
        <v>2012</v>
      </c>
      <c r="H3" s="333" t="s">
        <v>1334</v>
      </c>
      <c r="I3" s="365" t="s">
        <v>2013</v>
      </c>
      <c r="J3" s="365" t="s">
        <v>2014</v>
      </c>
      <c r="K3" s="365" t="s">
        <v>2015</v>
      </c>
      <c r="L3" s="365" t="s">
        <v>2016</v>
      </c>
      <c r="M3" s="365" t="s">
        <v>2017</v>
      </c>
    </row>
    <row r="4" spans="1:20" ht="24">
      <c r="A4" s="246" t="s">
        <v>2018</v>
      </c>
      <c r="B4" s="336" t="str">
        <f>估价对象房地状况!C4</f>
        <v>估价对象位于XX商圈，周边商业氛围成熟，人流量大，商业繁华度好</v>
      </c>
      <c r="C4" s="337" t="s">
        <v>1268</v>
      </c>
      <c r="D4" s="338">
        <f>SUMIF($I$3:$M$3,C4,I4:M4)</f>
        <v>0.02</v>
      </c>
      <c r="E4" s="339">
        <v>0.33</v>
      </c>
      <c r="F4" s="340">
        <f>D4*E4+D5*E5+D6*E6+D7*E7+D8*E8+D9*E9+D10*E10+D11*E11+D12*E12</f>
        <v>1.29E-2</v>
      </c>
      <c r="G4" s="341" t="str">
        <f>IF(基准地价修正!E2="商业",SUMIF(基准地价修正!L1:L12,基准地价修正!G2,基准地价修正!N1:N12),"——")</f>
        <v>——</v>
      </c>
      <c r="H4" s="342">
        <v>0.02</v>
      </c>
      <c r="I4" s="366">
        <f>J4+$H4</f>
        <v>0.04</v>
      </c>
      <c r="J4" s="366">
        <f>$K4+$H4</f>
        <v>0.02</v>
      </c>
      <c r="K4" s="367">
        <v>0</v>
      </c>
      <c r="L4" s="366">
        <f t="shared" ref="L4:M12" si="0">K4-$H4</f>
        <v>-0.02</v>
      </c>
      <c r="M4" s="366">
        <f t="shared" si="0"/>
        <v>-0.04</v>
      </c>
    </row>
    <row r="5" spans="1:20" ht="24">
      <c r="A5" s="246" t="s">
        <v>2019</v>
      </c>
      <c r="B5" s="343" t="str">
        <f>估价对象房地状况!C6</f>
        <v>估价对象周边道路状况、公共交通通达情况、停车便捷程度，综合评价交通便捷度较好</v>
      </c>
      <c r="C5" s="337" t="s">
        <v>2020</v>
      </c>
      <c r="D5" s="338">
        <f t="shared" ref="D5:D12" si="1">SUMIF($I$3:$M$3,C5,I5:M5)</f>
        <v>0</v>
      </c>
      <c r="E5" s="339">
        <v>0.25</v>
      </c>
      <c r="F5" s="344"/>
      <c r="G5" s="345"/>
      <c r="H5" s="342">
        <v>0.01</v>
      </c>
      <c r="I5" s="366">
        <f t="shared" ref="I5:I12" si="2">J5+$H5</f>
        <v>0.02</v>
      </c>
      <c r="J5" s="366">
        <f t="shared" ref="J5:J12" si="3">$K5+$H5</f>
        <v>0.01</v>
      </c>
      <c r="K5" s="367">
        <v>0</v>
      </c>
      <c r="L5" s="366">
        <f t="shared" si="0"/>
        <v>-0.01</v>
      </c>
      <c r="M5" s="366">
        <f t="shared" si="0"/>
        <v>-0.02</v>
      </c>
    </row>
    <row r="6" spans="1:20" ht="14.25">
      <c r="A6" s="246" t="s">
        <v>2021</v>
      </c>
      <c r="B6" s="247">
        <f>估价对象房地状况!C19</f>
        <v>0</v>
      </c>
      <c r="C6" s="337" t="s">
        <v>1268</v>
      </c>
      <c r="D6" s="338">
        <f t="shared" si="1"/>
        <v>0.02</v>
      </c>
      <c r="E6" s="339">
        <v>0.05</v>
      </c>
      <c r="F6" s="344"/>
      <c r="G6" s="345"/>
      <c r="H6" s="342">
        <v>0.02</v>
      </c>
      <c r="I6" s="366">
        <f t="shared" si="2"/>
        <v>0.04</v>
      </c>
      <c r="J6" s="366">
        <f t="shared" si="3"/>
        <v>0.02</v>
      </c>
      <c r="K6" s="367">
        <v>0</v>
      </c>
      <c r="L6" s="366">
        <f t="shared" si="0"/>
        <v>-0.02</v>
      </c>
      <c r="M6" s="366">
        <f t="shared" si="0"/>
        <v>-0.04</v>
      </c>
    </row>
    <row r="7" spans="1:20" ht="24">
      <c r="A7" s="246" t="s">
        <v>2022</v>
      </c>
      <c r="B7" s="346" t="s">
        <v>2023</v>
      </c>
      <c r="C7" s="337" t="s">
        <v>2024</v>
      </c>
      <c r="D7" s="338">
        <f t="shared" si="1"/>
        <v>-0.02</v>
      </c>
      <c r="E7" s="339">
        <v>0.05</v>
      </c>
      <c r="F7" s="344"/>
      <c r="G7" s="345"/>
      <c r="H7" s="342">
        <v>0.01</v>
      </c>
      <c r="I7" s="366">
        <f t="shared" si="2"/>
        <v>0.02</v>
      </c>
      <c r="J7" s="366">
        <f t="shared" si="3"/>
        <v>0.01</v>
      </c>
      <c r="K7" s="367">
        <v>0</v>
      </c>
      <c r="L7" s="366">
        <f t="shared" si="0"/>
        <v>-0.01</v>
      </c>
      <c r="M7" s="366">
        <f t="shared" si="0"/>
        <v>-0.02</v>
      </c>
    </row>
    <row r="8" spans="1:20" ht="14.25">
      <c r="A8" s="246" t="s">
        <v>2025</v>
      </c>
      <c r="B8" s="247">
        <f>估价对象房地状况!C10</f>
        <v>0</v>
      </c>
      <c r="C8" s="337" t="s">
        <v>1268</v>
      </c>
      <c r="D8" s="338">
        <f t="shared" si="1"/>
        <v>0.02</v>
      </c>
      <c r="E8" s="339">
        <v>0.08</v>
      </c>
      <c r="F8" s="344"/>
      <c r="G8" s="345"/>
      <c r="H8" s="342">
        <v>0.02</v>
      </c>
      <c r="I8" s="366">
        <f t="shared" si="2"/>
        <v>0.04</v>
      </c>
      <c r="J8" s="366">
        <f t="shared" si="3"/>
        <v>0.02</v>
      </c>
      <c r="K8" s="367">
        <v>0</v>
      </c>
      <c r="L8" s="366">
        <f t="shared" si="0"/>
        <v>-0.02</v>
      </c>
      <c r="M8" s="366">
        <f t="shared" si="0"/>
        <v>-0.04</v>
      </c>
    </row>
    <row r="9" spans="1:20" ht="14.25">
      <c r="A9" s="246" t="s">
        <v>2026</v>
      </c>
      <c r="B9" s="347" t="s">
        <v>2027</v>
      </c>
      <c r="C9" s="337" t="s">
        <v>1268</v>
      </c>
      <c r="D9" s="338">
        <f t="shared" si="1"/>
        <v>0.01</v>
      </c>
      <c r="E9" s="339">
        <v>0.03</v>
      </c>
      <c r="F9" s="344"/>
      <c r="G9" s="345"/>
      <c r="H9" s="342">
        <v>0.01</v>
      </c>
      <c r="I9" s="366">
        <f t="shared" si="2"/>
        <v>0.02</v>
      </c>
      <c r="J9" s="366">
        <f t="shared" si="3"/>
        <v>0.01</v>
      </c>
      <c r="K9" s="367">
        <v>0</v>
      </c>
      <c r="L9" s="366">
        <f t="shared" si="0"/>
        <v>-0.01</v>
      </c>
      <c r="M9" s="366">
        <f t="shared" si="0"/>
        <v>-0.02</v>
      </c>
    </row>
    <row r="10" spans="1:20" ht="14.25">
      <c r="A10" s="348" t="s">
        <v>2028</v>
      </c>
      <c r="B10" s="249" t="str">
        <f>估价对象房地状况!C7</f>
        <v>估价对象所在区域公共配套设施齐备情况</v>
      </c>
      <c r="C10" s="337" t="s">
        <v>1269</v>
      </c>
      <c r="D10" s="338">
        <f t="shared" si="1"/>
        <v>0.04</v>
      </c>
      <c r="E10" s="339">
        <v>0.05</v>
      </c>
      <c r="F10" s="344"/>
      <c r="G10" s="345"/>
      <c r="H10" s="342">
        <v>0.02</v>
      </c>
      <c r="I10" s="366">
        <f t="shared" si="2"/>
        <v>0.04</v>
      </c>
      <c r="J10" s="366">
        <f t="shared" si="3"/>
        <v>0.02</v>
      </c>
      <c r="K10" s="367">
        <v>0</v>
      </c>
      <c r="L10" s="366">
        <f t="shared" si="0"/>
        <v>-0.02</v>
      </c>
      <c r="M10" s="366">
        <f t="shared" si="0"/>
        <v>-0.04</v>
      </c>
    </row>
    <row r="11" spans="1:20" ht="14.25">
      <c r="A11" s="348" t="s">
        <v>2029</v>
      </c>
      <c r="B11" s="349"/>
      <c r="C11" s="337" t="s">
        <v>2020</v>
      </c>
      <c r="D11" s="338">
        <f t="shared" si="1"/>
        <v>0</v>
      </c>
      <c r="E11" s="339">
        <v>0.1</v>
      </c>
      <c r="F11" s="344"/>
      <c r="G11" s="345"/>
      <c r="H11" s="342">
        <v>0.01</v>
      </c>
      <c r="I11" s="366">
        <f t="shared" si="2"/>
        <v>0.02</v>
      </c>
      <c r="J11" s="366">
        <f t="shared" si="3"/>
        <v>0.01</v>
      </c>
      <c r="K11" s="367">
        <v>0</v>
      </c>
      <c r="L11" s="366">
        <f t="shared" si="0"/>
        <v>-0.01</v>
      </c>
      <c r="M11" s="366">
        <f t="shared" si="0"/>
        <v>-0.02</v>
      </c>
    </row>
    <row r="12" spans="1:20" ht="14.25">
      <c r="A12" s="350" t="s">
        <v>2030</v>
      </c>
      <c r="B12" s="351" t="str">
        <f>估价对象房地状况!C9</f>
        <v>区域自然环境：；人文环境；综合评价环境状况一般</v>
      </c>
      <c r="C12" s="337" t="s">
        <v>1269</v>
      </c>
      <c r="D12" s="338">
        <f t="shared" si="1"/>
        <v>0.04</v>
      </c>
      <c r="E12" s="352">
        <v>0.06</v>
      </c>
      <c r="F12" s="353"/>
      <c r="G12" s="345"/>
      <c r="H12" s="342">
        <v>0.02</v>
      </c>
      <c r="I12" s="366">
        <f t="shared" si="2"/>
        <v>0.04</v>
      </c>
      <c r="J12" s="366">
        <f t="shared" si="3"/>
        <v>0.02</v>
      </c>
      <c r="K12" s="367">
        <v>0</v>
      </c>
      <c r="L12" s="366">
        <f t="shared" si="0"/>
        <v>-0.02</v>
      </c>
      <c r="M12" s="366">
        <f t="shared" si="0"/>
        <v>-0.04</v>
      </c>
    </row>
    <row r="13" spans="1:20" ht="18" customHeight="1">
      <c r="A13" s="326" t="s">
        <v>470</v>
      </c>
      <c r="B13" s="327">
        <f>1+F15</f>
        <v>1.0148999999999999</v>
      </c>
      <c r="C13" s="354"/>
      <c r="D13" s="329"/>
      <c r="E13" s="329"/>
      <c r="F13" s="330"/>
      <c r="G13" s="331"/>
      <c r="H13" s="324"/>
      <c r="I13" s="279"/>
      <c r="J13" s="279"/>
      <c r="K13" s="279"/>
      <c r="L13" s="279"/>
      <c r="M13" s="279"/>
    </row>
    <row r="14" spans="1:20" ht="18" customHeight="1">
      <c r="A14" s="246" t="s">
        <v>2006</v>
      </c>
      <c r="B14" s="247"/>
      <c r="C14" s="332" t="s">
        <v>2008</v>
      </c>
      <c r="D14" s="333" t="s">
        <v>2009</v>
      </c>
      <c r="E14" s="333" t="s">
        <v>2010</v>
      </c>
      <c r="F14" s="334" t="s">
        <v>2011</v>
      </c>
      <c r="G14" s="335" t="s">
        <v>2012</v>
      </c>
      <c r="H14" s="333" t="s">
        <v>1334</v>
      </c>
      <c r="I14" s="365" t="s">
        <v>2013</v>
      </c>
      <c r="J14" s="365" t="s">
        <v>2014</v>
      </c>
      <c r="K14" s="365" t="s">
        <v>2015</v>
      </c>
      <c r="L14" s="365" t="s">
        <v>2016</v>
      </c>
      <c r="M14" s="365" t="s">
        <v>2017</v>
      </c>
    </row>
    <row r="15" spans="1:20" ht="24">
      <c r="A15" s="246" t="s">
        <v>2031</v>
      </c>
      <c r="B15" s="336" t="str">
        <f>估价对象房地状况!C5</f>
        <v>估价对象位于XX商圈，周边办公楼项目较多，入驻率高，办公集聚程度较好</v>
      </c>
      <c r="C15" s="337" t="s">
        <v>1268</v>
      </c>
      <c r="D15" s="338">
        <f t="shared" ref="D15:D23" si="4">SUMIF($I$3:$M$3,C15,I15:M15)</f>
        <v>0.02</v>
      </c>
      <c r="E15" s="339">
        <v>0.24</v>
      </c>
      <c r="F15" s="340">
        <f>D15*E15+D16*E16+D17*E17+D18*E18+D19*E19+D20*E20+D21*E21+D22*E22+D23*E23</f>
        <v>1.49E-2</v>
      </c>
      <c r="G15" s="341" t="str">
        <f>IF(基准地价修正!E2="办公",SUMIF(基准地价修正!L1:L12,基准地价修正!G2,基准地价修正!N1:N12),"——")</f>
        <v>——</v>
      </c>
      <c r="H15" s="342">
        <v>0.02</v>
      </c>
      <c r="I15" s="366">
        <f>J15+$H15</f>
        <v>0.04</v>
      </c>
      <c r="J15" s="366">
        <f>$K15+$H15</f>
        <v>0.02</v>
      </c>
      <c r="K15" s="367">
        <v>0</v>
      </c>
      <c r="L15" s="366">
        <f t="shared" ref="L15:M23" si="5">K15-$H15</f>
        <v>-0.02</v>
      </c>
      <c r="M15" s="366">
        <f t="shared" si="5"/>
        <v>-0.04</v>
      </c>
    </row>
    <row r="16" spans="1:20" ht="24">
      <c r="A16" s="246" t="s">
        <v>2019</v>
      </c>
      <c r="B16" s="247" t="str">
        <f>估价对象房地状况!C6</f>
        <v>估价对象周边道路状况、公共交通通达情况、停车便捷程度，综合评价交通便捷度较好</v>
      </c>
      <c r="C16" s="337" t="s">
        <v>1268</v>
      </c>
      <c r="D16" s="338">
        <f t="shared" si="4"/>
        <v>0.01</v>
      </c>
      <c r="E16" s="339">
        <v>0.3</v>
      </c>
      <c r="F16" s="344"/>
      <c r="G16" s="345"/>
      <c r="H16" s="342">
        <v>0.01</v>
      </c>
      <c r="I16" s="366">
        <f t="shared" ref="I16:I23" si="6">J16+$H16</f>
        <v>0.02</v>
      </c>
      <c r="J16" s="366">
        <f t="shared" ref="J16:J23" si="7">$K16+$H16</f>
        <v>0.01</v>
      </c>
      <c r="K16" s="367">
        <v>0</v>
      </c>
      <c r="L16" s="366">
        <f t="shared" si="5"/>
        <v>-0.01</v>
      </c>
      <c r="M16" s="366">
        <f t="shared" si="5"/>
        <v>-0.02</v>
      </c>
    </row>
    <row r="17" spans="1:20" ht="14.25">
      <c r="A17" s="246" t="s">
        <v>2021</v>
      </c>
      <c r="B17" s="247">
        <f>估价对象房地状况!C19</f>
        <v>0</v>
      </c>
      <c r="C17" s="337" t="s">
        <v>1268</v>
      </c>
      <c r="D17" s="338">
        <f t="shared" si="4"/>
        <v>0.02</v>
      </c>
      <c r="E17" s="339">
        <v>0.08</v>
      </c>
      <c r="F17" s="344"/>
      <c r="G17" s="345"/>
      <c r="H17" s="342">
        <v>0.02</v>
      </c>
      <c r="I17" s="366">
        <f t="shared" si="6"/>
        <v>0.04</v>
      </c>
      <c r="J17" s="366">
        <f t="shared" si="7"/>
        <v>0.02</v>
      </c>
      <c r="K17" s="367">
        <v>0</v>
      </c>
      <c r="L17" s="366">
        <f t="shared" si="5"/>
        <v>-0.02</v>
      </c>
      <c r="M17" s="366">
        <f t="shared" si="5"/>
        <v>-0.04</v>
      </c>
    </row>
    <row r="18" spans="1:20" ht="24">
      <c r="A18" s="246" t="s">
        <v>2022</v>
      </c>
      <c r="B18" s="346" t="s">
        <v>2023</v>
      </c>
      <c r="C18" s="337" t="s">
        <v>1268</v>
      </c>
      <c r="D18" s="338">
        <f t="shared" si="4"/>
        <v>0.01</v>
      </c>
      <c r="E18" s="339">
        <v>0.04</v>
      </c>
      <c r="F18" s="344"/>
      <c r="G18" s="345"/>
      <c r="H18" s="342">
        <v>0.01</v>
      </c>
      <c r="I18" s="366">
        <f t="shared" si="6"/>
        <v>0.02</v>
      </c>
      <c r="J18" s="366">
        <f t="shared" si="7"/>
        <v>0.01</v>
      </c>
      <c r="K18" s="367">
        <v>0</v>
      </c>
      <c r="L18" s="366">
        <f t="shared" si="5"/>
        <v>-0.01</v>
      </c>
      <c r="M18" s="366">
        <f t="shared" si="5"/>
        <v>-0.02</v>
      </c>
    </row>
    <row r="19" spans="1:20" ht="14.25">
      <c r="A19" s="246" t="s">
        <v>2025</v>
      </c>
      <c r="B19" s="247">
        <f>估价对象房地状况!C10</f>
        <v>0</v>
      </c>
      <c r="C19" s="337" t="s">
        <v>1268</v>
      </c>
      <c r="D19" s="338">
        <f t="shared" si="4"/>
        <v>0.02</v>
      </c>
      <c r="E19" s="339">
        <v>0.05</v>
      </c>
      <c r="F19" s="344"/>
      <c r="G19" s="345"/>
      <c r="H19" s="342">
        <v>0.02</v>
      </c>
      <c r="I19" s="366">
        <f t="shared" si="6"/>
        <v>0.04</v>
      </c>
      <c r="J19" s="366">
        <f t="shared" si="7"/>
        <v>0.02</v>
      </c>
      <c r="K19" s="367">
        <v>0</v>
      </c>
      <c r="L19" s="366">
        <f t="shared" si="5"/>
        <v>-0.02</v>
      </c>
      <c r="M19" s="366">
        <f t="shared" si="5"/>
        <v>-0.04</v>
      </c>
    </row>
    <row r="20" spans="1:20" ht="14.25">
      <c r="A20" s="246" t="s">
        <v>2026</v>
      </c>
      <c r="B20" s="347" t="s">
        <v>2027</v>
      </c>
      <c r="C20" s="337" t="s">
        <v>1268</v>
      </c>
      <c r="D20" s="338">
        <f t="shared" si="4"/>
        <v>0.01</v>
      </c>
      <c r="E20" s="339">
        <v>0.05</v>
      </c>
      <c r="F20" s="344"/>
      <c r="G20" s="345"/>
      <c r="H20" s="342">
        <v>0.01</v>
      </c>
      <c r="I20" s="366">
        <f t="shared" si="6"/>
        <v>0.02</v>
      </c>
      <c r="J20" s="366">
        <f t="shared" si="7"/>
        <v>0.01</v>
      </c>
      <c r="K20" s="367">
        <v>0</v>
      </c>
      <c r="L20" s="366">
        <f t="shared" si="5"/>
        <v>-0.01</v>
      </c>
      <c r="M20" s="366">
        <f t="shared" si="5"/>
        <v>-0.02</v>
      </c>
    </row>
    <row r="21" spans="1:20" ht="14.25">
      <c r="A21" s="246" t="s">
        <v>2028</v>
      </c>
      <c r="B21" s="249" t="str">
        <f>估价对象房地状况!C7</f>
        <v>估价对象所在区域公共配套设施齐备情况</v>
      </c>
      <c r="C21" s="337" t="s">
        <v>1268</v>
      </c>
      <c r="D21" s="338">
        <f t="shared" si="4"/>
        <v>0.02</v>
      </c>
      <c r="E21" s="339">
        <v>0.06</v>
      </c>
      <c r="F21" s="344"/>
      <c r="G21" s="345"/>
      <c r="H21" s="342">
        <v>0.02</v>
      </c>
      <c r="I21" s="366">
        <f t="shared" si="6"/>
        <v>0.04</v>
      </c>
      <c r="J21" s="366">
        <f t="shared" si="7"/>
        <v>0.02</v>
      </c>
      <c r="K21" s="367">
        <v>0</v>
      </c>
      <c r="L21" s="366">
        <f t="shared" si="5"/>
        <v>-0.02</v>
      </c>
      <c r="M21" s="366">
        <f t="shared" si="5"/>
        <v>-0.04</v>
      </c>
    </row>
    <row r="22" spans="1:20" ht="14.25">
      <c r="A22" s="246" t="s">
        <v>2029</v>
      </c>
      <c r="B22" s="349"/>
      <c r="C22" s="337" t="s">
        <v>1268</v>
      </c>
      <c r="D22" s="338">
        <f t="shared" si="4"/>
        <v>0.01</v>
      </c>
      <c r="E22" s="339">
        <v>0.12</v>
      </c>
      <c r="F22" s="344"/>
      <c r="G22" s="345"/>
      <c r="H22" s="342">
        <v>0.01</v>
      </c>
      <c r="I22" s="366">
        <f t="shared" si="6"/>
        <v>0.02</v>
      </c>
      <c r="J22" s="366">
        <f t="shared" si="7"/>
        <v>0.01</v>
      </c>
      <c r="K22" s="367">
        <v>0</v>
      </c>
      <c r="L22" s="366">
        <f t="shared" si="5"/>
        <v>-0.01</v>
      </c>
      <c r="M22" s="366">
        <f t="shared" si="5"/>
        <v>-0.02</v>
      </c>
    </row>
    <row r="23" spans="1:20" ht="14.25">
      <c r="A23" s="350" t="s">
        <v>2030</v>
      </c>
      <c r="B23" s="355" t="str">
        <f>估价对象房地状况!C9</f>
        <v>区域自然环境：；人文环境；综合评价环境状况一般</v>
      </c>
      <c r="C23" s="337" t="s">
        <v>1268</v>
      </c>
      <c r="D23" s="338">
        <f t="shared" si="4"/>
        <v>0.02</v>
      </c>
      <c r="E23" s="352">
        <v>0.06</v>
      </c>
      <c r="F23" s="353"/>
      <c r="G23" s="345"/>
      <c r="H23" s="342">
        <v>0.02</v>
      </c>
      <c r="I23" s="366">
        <f t="shared" si="6"/>
        <v>0.04</v>
      </c>
      <c r="J23" s="366">
        <f t="shared" si="7"/>
        <v>0.02</v>
      </c>
      <c r="K23" s="367">
        <v>0</v>
      </c>
      <c r="L23" s="366">
        <f t="shared" si="5"/>
        <v>-0.02</v>
      </c>
      <c r="M23" s="366">
        <f t="shared" si="5"/>
        <v>-0.04</v>
      </c>
    </row>
    <row r="24" spans="1:20" ht="18" customHeight="1">
      <c r="A24" s="326" t="s">
        <v>1651</v>
      </c>
      <c r="B24" s="327">
        <f>1+F26</f>
        <v>1.0597000000000001</v>
      </c>
      <c r="C24" s="354"/>
      <c r="D24" s="329"/>
      <c r="E24" s="329"/>
      <c r="F24" s="330"/>
      <c r="G24" s="331"/>
      <c r="H24" s="324"/>
      <c r="I24" s="279"/>
      <c r="J24" s="279"/>
      <c r="K24" s="279"/>
      <c r="L24" s="279"/>
      <c r="M24" s="279"/>
    </row>
    <row r="25" spans="1:20" ht="13.5">
      <c r="A25" s="246" t="s">
        <v>2006</v>
      </c>
      <c r="B25" s="247"/>
      <c r="C25" s="332" t="s">
        <v>2008</v>
      </c>
      <c r="D25" s="333" t="s">
        <v>2009</v>
      </c>
      <c r="E25" s="333" t="s">
        <v>2010</v>
      </c>
      <c r="F25" s="334" t="s">
        <v>2011</v>
      </c>
      <c r="G25" s="335" t="s">
        <v>2012</v>
      </c>
      <c r="H25" s="333" t="s">
        <v>1334</v>
      </c>
      <c r="I25" s="365" t="s">
        <v>2013</v>
      </c>
      <c r="J25" s="365" t="s">
        <v>2014</v>
      </c>
      <c r="K25" s="365" t="s">
        <v>2015</v>
      </c>
      <c r="L25" s="365" t="s">
        <v>2016</v>
      </c>
      <c r="M25" s="365" t="s">
        <v>2017</v>
      </c>
    </row>
    <row r="26" spans="1:20" ht="24">
      <c r="A26" s="246" t="s">
        <v>2032</v>
      </c>
      <c r="B26" s="336" t="str">
        <f>估价对象房地状况!C3</f>
        <v>估价对象周边居住用地比例、居住小区规模和社区发展完善程度，综合评价居住社区成熟度一般</v>
      </c>
      <c r="C26" s="337" t="s">
        <v>1268</v>
      </c>
      <c r="D26" s="338">
        <f t="shared" ref="D26:D34" si="8">SUMIF($I$3:$M$3,C26,I26:M26)</f>
        <v>0.08</v>
      </c>
      <c r="E26" s="339">
        <v>0.14000000000000001</v>
      </c>
      <c r="F26" s="340">
        <f>D26*E26+D27*E27+D28*E28+D29*E29+D30*E30+D32*E32+D31*E31+D33*E33+D34*E34</f>
        <v>5.9700000000000003E-2</v>
      </c>
      <c r="G26" s="341" t="str">
        <f>IF(基准地价修正!E2="住宅",SUMIF(基准地价修正!L1:L12,基准地价修正!G2,基准地价修正!N1:N12),"——")</f>
        <v>——</v>
      </c>
      <c r="H26" s="342">
        <v>0.08</v>
      </c>
      <c r="I26" s="366">
        <f>J26+$H26</f>
        <v>0.16</v>
      </c>
      <c r="J26" s="366">
        <f>$K26+$H26</f>
        <v>0.08</v>
      </c>
      <c r="K26" s="367">
        <v>0</v>
      </c>
      <c r="L26" s="366">
        <f t="shared" ref="L26:M34" si="9">K26-$H26</f>
        <v>-0.08</v>
      </c>
      <c r="M26" s="366">
        <f t="shared" si="9"/>
        <v>-0.16</v>
      </c>
    </row>
    <row r="27" spans="1:20" ht="24">
      <c r="A27" s="246" t="s">
        <v>2019</v>
      </c>
      <c r="B27" s="247" t="str">
        <f>估价对象房地状况!C6</f>
        <v>估价对象周边道路状况、公共交通通达情况、停车便捷程度，综合评价交通便捷度较好</v>
      </c>
      <c r="C27" s="337" t="s">
        <v>1268</v>
      </c>
      <c r="D27" s="338">
        <f t="shared" si="8"/>
        <v>0.08</v>
      </c>
      <c r="E27" s="339">
        <v>0.3</v>
      </c>
      <c r="F27" s="356"/>
      <c r="G27" s="357"/>
      <c r="H27" s="342">
        <v>0.08</v>
      </c>
      <c r="I27" s="366">
        <f t="shared" ref="I27:I34" si="10">J27+$H27</f>
        <v>0.16</v>
      </c>
      <c r="J27" s="366">
        <f t="shared" ref="J27:J34" si="11">$K27+$H27</f>
        <v>0.08</v>
      </c>
      <c r="K27" s="367">
        <v>0</v>
      </c>
      <c r="L27" s="366">
        <f t="shared" si="9"/>
        <v>-0.08</v>
      </c>
      <c r="M27" s="366">
        <f t="shared" si="9"/>
        <v>-0.16</v>
      </c>
    </row>
    <row r="28" spans="1:20" ht="14.25">
      <c r="A28" s="246" t="s">
        <v>2021</v>
      </c>
      <c r="B28" s="247">
        <f>估价对象房地状况!C19</f>
        <v>0</v>
      </c>
      <c r="C28" s="337" t="s">
        <v>1268</v>
      </c>
      <c r="D28" s="338">
        <f t="shared" si="8"/>
        <v>0.03</v>
      </c>
      <c r="E28" s="339">
        <v>0.08</v>
      </c>
      <c r="F28" s="356"/>
      <c r="G28" s="357"/>
      <c r="H28" s="342">
        <v>0.03</v>
      </c>
      <c r="I28" s="366">
        <f t="shared" si="10"/>
        <v>0.06</v>
      </c>
      <c r="J28" s="366">
        <f t="shared" si="11"/>
        <v>0.03</v>
      </c>
      <c r="K28" s="367">
        <v>0</v>
      </c>
      <c r="L28" s="366">
        <f t="shared" si="9"/>
        <v>-0.03</v>
      </c>
      <c r="M28" s="366">
        <f t="shared" si="9"/>
        <v>-0.06</v>
      </c>
    </row>
    <row r="29" spans="1:20" ht="14.25">
      <c r="A29" s="246" t="s">
        <v>2033</v>
      </c>
      <c r="B29" s="247">
        <f>估价对象房地状况!C10</f>
        <v>0</v>
      </c>
      <c r="C29" s="337" t="s">
        <v>1269</v>
      </c>
      <c r="D29" s="338">
        <f t="shared" si="8"/>
        <v>0.05</v>
      </c>
      <c r="E29" s="339">
        <v>0.04</v>
      </c>
      <c r="F29" s="356"/>
      <c r="G29" s="357"/>
      <c r="H29" s="342">
        <v>2.5000000000000001E-2</v>
      </c>
      <c r="I29" s="366">
        <f t="shared" si="10"/>
        <v>0.05</v>
      </c>
      <c r="J29" s="366">
        <f t="shared" si="11"/>
        <v>2.5000000000000001E-2</v>
      </c>
      <c r="K29" s="367">
        <v>0</v>
      </c>
      <c r="L29" s="366">
        <f t="shared" si="9"/>
        <v>-2.5000000000000001E-2</v>
      </c>
      <c r="M29" s="366">
        <f t="shared" si="9"/>
        <v>-0.05</v>
      </c>
    </row>
    <row r="30" spans="1:20" s="313" customFormat="1" ht="14.25">
      <c r="A30" s="246" t="s">
        <v>2028</v>
      </c>
      <c r="B30" s="249" t="str">
        <f>估价对象房地状况!C7</f>
        <v>估价对象所在区域公共配套设施齐备情况</v>
      </c>
      <c r="C30" s="337" t="s">
        <v>1268</v>
      </c>
      <c r="D30" s="338">
        <f t="shared" si="8"/>
        <v>0.03</v>
      </c>
      <c r="E30" s="339">
        <v>0.08</v>
      </c>
      <c r="F30" s="356"/>
      <c r="G30" s="357"/>
      <c r="H30" s="342">
        <v>0.03</v>
      </c>
      <c r="I30" s="366">
        <f t="shared" si="10"/>
        <v>0.06</v>
      </c>
      <c r="J30" s="366">
        <f t="shared" si="11"/>
        <v>0.03</v>
      </c>
      <c r="K30" s="367">
        <v>0</v>
      </c>
      <c r="L30" s="366">
        <f t="shared" si="9"/>
        <v>-0.03</v>
      </c>
      <c r="M30" s="366">
        <f t="shared" si="9"/>
        <v>-0.06</v>
      </c>
      <c r="N30" s="314"/>
      <c r="O30" s="314"/>
      <c r="P30" s="314"/>
      <c r="Q30" s="314"/>
      <c r="R30" s="314"/>
      <c r="S30" s="314"/>
      <c r="T30" s="314"/>
    </row>
    <row r="31" spans="1:20" ht="14.25">
      <c r="A31" s="246" t="s">
        <v>2029</v>
      </c>
      <c r="B31" s="349"/>
      <c r="C31" s="337" t="s">
        <v>1269</v>
      </c>
      <c r="D31" s="338">
        <f t="shared" si="8"/>
        <v>0.06</v>
      </c>
      <c r="E31" s="339">
        <v>0.12</v>
      </c>
      <c r="F31" s="356"/>
      <c r="G31" s="357"/>
      <c r="H31" s="342">
        <v>0.03</v>
      </c>
      <c r="I31" s="366">
        <f t="shared" si="10"/>
        <v>0.06</v>
      </c>
      <c r="J31" s="366">
        <f t="shared" si="11"/>
        <v>0.03</v>
      </c>
      <c r="K31" s="367">
        <v>0</v>
      </c>
      <c r="L31" s="366">
        <f t="shared" si="9"/>
        <v>-0.03</v>
      </c>
      <c r="M31" s="366">
        <f t="shared" si="9"/>
        <v>-0.06</v>
      </c>
    </row>
    <row r="32" spans="1:20" ht="14.25">
      <c r="A32" s="246" t="s">
        <v>2026</v>
      </c>
      <c r="B32" s="347" t="s">
        <v>2027</v>
      </c>
      <c r="C32" s="337" t="s">
        <v>1268</v>
      </c>
      <c r="D32" s="338">
        <f t="shared" si="8"/>
        <v>0.03</v>
      </c>
      <c r="E32" s="339">
        <v>0.05</v>
      </c>
      <c r="F32" s="356"/>
      <c r="G32" s="357"/>
      <c r="H32" s="342">
        <v>0.03</v>
      </c>
      <c r="I32" s="366">
        <f t="shared" si="10"/>
        <v>0.06</v>
      </c>
      <c r="J32" s="366">
        <f t="shared" si="11"/>
        <v>0.03</v>
      </c>
      <c r="K32" s="367">
        <v>0</v>
      </c>
      <c r="L32" s="366">
        <f t="shared" si="9"/>
        <v>-0.03</v>
      </c>
      <c r="M32" s="366">
        <f t="shared" si="9"/>
        <v>-0.06</v>
      </c>
    </row>
    <row r="33" spans="1:13" ht="14.25">
      <c r="A33" s="246" t="s">
        <v>2030</v>
      </c>
      <c r="B33" s="336" t="str">
        <f>估价对象房地状况!C9</f>
        <v>区域自然环境：；人文环境；综合评价环境状况一般</v>
      </c>
      <c r="C33" s="337" t="s">
        <v>1268</v>
      </c>
      <c r="D33" s="338">
        <f t="shared" si="8"/>
        <v>0.06</v>
      </c>
      <c r="E33" s="339">
        <v>0.15</v>
      </c>
      <c r="F33" s="356"/>
      <c r="G33" s="357"/>
      <c r="H33" s="342">
        <v>0.06</v>
      </c>
      <c r="I33" s="366">
        <f t="shared" si="10"/>
        <v>0.12</v>
      </c>
      <c r="J33" s="366">
        <f t="shared" si="11"/>
        <v>0.06</v>
      </c>
      <c r="K33" s="367">
        <v>0</v>
      </c>
      <c r="L33" s="366">
        <f t="shared" si="9"/>
        <v>-0.06</v>
      </c>
      <c r="M33" s="366">
        <f t="shared" si="9"/>
        <v>-0.12</v>
      </c>
    </row>
    <row r="34" spans="1:13" ht="14.25">
      <c r="A34" s="350" t="s">
        <v>2034</v>
      </c>
      <c r="B34" s="358" t="s">
        <v>2035</v>
      </c>
      <c r="C34" s="337" t="s">
        <v>2020</v>
      </c>
      <c r="D34" s="338">
        <f t="shared" si="8"/>
        <v>0</v>
      </c>
      <c r="E34" s="352">
        <v>0.04</v>
      </c>
      <c r="F34" s="359"/>
      <c r="G34" s="357"/>
      <c r="H34" s="342">
        <v>0.03</v>
      </c>
      <c r="I34" s="366">
        <f t="shared" si="10"/>
        <v>0.06</v>
      </c>
      <c r="J34" s="366">
        <f t="shared" si="11"/>
        <v>0.03</v>
      </c>
      <c r="K34" s="367">
        <v>0</v>
      </c>
      <c r="L34" s="366">
        <f t="shared" si="9"/>
        <v>-0.03</v>
      </c>
      <c r="M34" s="366">
        <f t="shared" si="9"/>
        <v>-0.06</v>
      </c>
    </row>
    <row r="35" spans="1:13" ht="15">
      <c r="A35" s="326" t="s">
        <v>1652</v>
      </c>
      <c r="B35" s="327">
        <f>1+F37</f>
        <v>1.0127999999999999</v>
      </c>
      <c r="C35" s="354"/>
      <c r="D35" s="329"/>
      <c r="E35" s="329"/>
      <c r="F35" s="330"/>
      <c r="G35" s="331"/>
      <c r="H35" s="324"/>
      <c r="I35" s="279"/>
      <c r="J35" s="279"/>
      <c r="K35" s="279"/>
      <c r="L35" s="279"/>
      <c r="M35" s="279"/>
    </row>
    <row r="36" spans="1:13" ht="13.5">
      <c r="A36" s="246" t="s">
        <v>2006</v>
      </c>
      <c r="B36" s="247"/>
      <c r="C36" s="332" t="s">
        <v>2008</v>
      </c>
      <c r="D36" s="333" t="s">
        <v>2009</v>
      </c>
      <c r="E36" s="333" t="s">
        <v>2010</v>
      </c>
      <c r="F36" s="334" t="s">
        <v>2011</v>
      </c>
      <c r="G36" s="335" t="s">
        <v>2012</v>
      </c>
      <c r="H36" s="333" t="s">
        <v>1334</v>
      </c>
      <c r="I36" s="365" t="s">
        <v>2013</v>
      </c>
      <c r="J36" s="365" t="s">
        <v>2014</v>
      </c>
      <c r="K36" s="365" t="s">
        <v>2015</v>
      </c>
      <c r="L36" s="365" t="s">
        <v>2016</v>
      </c>
      <c r="M36" s="365" t="s">
        <v>2017</v>
      </c>
    </row>
    <row r="37" spans="1:13" ht="24">
      <c r="A37" s="246" t="s">
        <v>2036</v>
      </c>
      <c r="B37" s="247" t="str">
        <f>估价对象房地状况!G3</f>
        <v>估价对象位于XX开发区，园区建设成熟度XX，产业集聚程度XX</v>
      </c>
      <c r="C37" s="337" t="s">
        <v>1268</v>
      </c>
      <c r="D37" s="338">
        <f t="shared" ref="D37:D44" si="12">SUMIF($I$3:$M$3,C37,I37:M37)</f>
        <v>0.02</v>
      </c>
      <c r="E37" s="339">
        <v>0.26</v>
      </c>
      <c r="F37" s="340">
        <f>D37*E37+D38*E38+D39*E39+D40*E40+D41*E41+D43*E43+D42*E42+D44*E44</f>
        <v>1.2800000000000001E-2</v>
      </c>
      <c r="G37" s="341" t="str">
        <f>IF(基准地价修正!E2="工业",SUMIF(基准地价修正!L1:L12,基准地价修正!G2,基准地价修正!N1:N12),"——")</f>
        <v>——</v>
      </c>
      <c r="H37" s="342">
        <v>0.02</v>
      </c>
      <c r="I37" s="366">
        <f>J37+$H37</f>
        <v>0.04</v>
      </c>
      <c r="J37" s="366">
        <f>$K37+$H37</f>
        <v>0.02</v>
      </c>
      <c r="K37" s="367">
        <v>0</v>
      </c>
      <c r="L37" s="366">
        <f t="shared" ref="L37:M44" si="13">K37-$H37</f>
        <v>-0.02</v>
      </c>
      <c r="M37" s="366">
        <f t="shared" si="13"/>
        <v>-0.04</v>
      </c>
    </row>
    <row r="38" spans="1:13" ht="24">
      <c r="A38" s="246" t="s">
        <v>2019</v>
      </c>
      <c r="B38" s="247" t="str">
        <f>估价对象房地状况!G4</f>
        <v>估价对象周边道路状况、公共交通通达情况、停车便捷程度，综合评价交通便捷度较好</v>
      </c>
      <c r="C38" s="337" t="s">
        <v>1268</v>
      </c>
      <c r="D38" s="338">
        <f t="shared" si="12"/>
        <v>0.01</v>
      </c>
      <c r="E38" s="339">
        <v>0.33</v>
      </c>
      <c r="F38" s="356"/>
      <c r="G38" s="357"/>
      <c r="H38" s="342">
        <v>0.01</v>
      </c>
      <c r="I38" s="366">
        <f t="shared" ref="I38:I44" si="14">J38+$H38</f>
        <v>0.02</v>
      </c>
      <c r="J38" s="366">
        <f t="shared" ref="J38:J44" si="15">$K38+$H38</f>
        <v>0.01</v>
      </c>
      <c r="K38" s="367">
        <v>0</v>
      </c>
      <c r="L38" s="366">
        <f t="shared" si="13"/>
        <v>-0.01</v>
      </c>
      <c r="M38" s="366">
        <f t="shared" si="13"/>
        <v>-0.02</v>
      </c>
    </row>
    <row r="39" spans="1:13" ht="14.25">
      <c r="A39" s="246" t="s">
        <v>2021</v>
      </c>
      <c r="B39" s="247">
        <f>估价对象房地状况!G17</f>
        <v>0</v>
      </c>
      <c r="C39" s="337" t="s">
        <v>1268</v>
      </c>
      <c r="D39" s="338">
        <f t="shared" si="12"/>
        <v>0.02</v>
      </c>
      <c r="E39" s="339">
        <v>0.05</v>
      </c>
      <c r="F39" s="356"/>
      <c r="G39" s="357"/>
      <c r="H39" s="342">
        <v>0.02</v>
      </c>
      <c r="I39" s="366">
        <f t="shared" si="14"/>
        <v>0.04</v>
      </c>
      <c r="J39" s="366">
        <f t="shared" si="15"/>
        <v>0.02</v>
      </c>
      <c r="K39" s="367">
        <v>0</v>
      </c>
      <c r="L39" s="366">
        <f t="shared" si="13"/>
        <v>-0.02</v>
      </c>
      <c r="M39" s="366">
        <f t="shared" si="13"/>
        <v>-0.04</v>
      </c>
    </row>
    <row r="40" spans="1:13" ht="14.25">
      <c r="A40" s="246" t="s">
        <v>2033</v>
      </c>
      <c r="B40" s="247">
        <f>估价对象房地状况!G22</f>
        <v>0</v>
      </c>
      <c r="C40" s="337" t="s">
        <v>1268</v>
      </c>
      <c r="D40" s="338">
        <f t="shared" si="12"/>
        <v>0.01</v>
      </c>
      <c r="E40" s="339">
        <v>0.04</v>
      </c>
      <c r="F40" s="356"/>
      <c r="G40" s="357"/>
      <c r="H40" s="342">
        <v>0.01</v>
      </c>
      <c r="I40" s="366">
        <f t="shared" si="14"/>
        <v>0.02</v>
      </c>
      <c r="J40" s="366">
        <f t="shared" si="15"/>
        <v>0.01</v>
      </c>
      <c r="K40" s="367">
        <v>0</v>
      </c>
      <c r="L40" s="366">
        <f t="shared" si="13"/>
        <v>-0.01</v>
      </c>
      <c r="M40" s="366">
        <f t="shared" si="13"/>
        <v>-0.02</v>
      </c>
    </row>
    <row r="41" spans="1:13" ht="14.25">
      <c r="A41" s="246" t="s">
        <v>2028</v>
      </c>
      <c r="B41" s="249" t="str">
        <f>估价对象房地状况!G19</f>
        <v>估价对象所在区域公共配套设施齐备情况</v>
      </c>
      <c r="C41" s="337" t="s">
        <v>1268</v>
      </c>
      <c r="D41" s="338">
        <f t="shared" si="12"/>
        <v>0.02</v>
      </c>
      <c r="E41" s="339">
        <v>0.06</v>
      </c>
      <c r="F41" s="356"/>
      <c r="G41" s="357"/>
      <c r="H41" s="342">
        <v>0.02</v>
      </c>
      <c r="I41" s="366">
        <f t="shared" si="14"/>
        <v>0.04</v>
      </c>
      <c r="J41" s="366">
        <f t="shared" si="15"/>
        <v>0.02</v>
      </c>
      <c r="K41" s="367">
        <v>0</v>
      </c>
      <c r="L41" s="366">
        <f t="shared" si="13"/>
        <v>-0.02</v>
      </c>
      <c r="M41" s="366">
        <f t="shared" si="13"/>
        <v>-0.04</v>
      </c>
    </row>
    <row r="42" spans="1:13" ht="14.25">
      <c r="A42" s="246" t="s">
        <v>2029</v>
      </c>
      <c r="B42" s="349"/>
      <c r="C42" s="337" t="s">
        <v>1268</v>
      </c>
      <c r="D42" s="338">
        <f t="shared" si="12"/>
        <v>0.01</v>
      </c>
      <c r="E42" s="339">
        <v>0.15</v>
      </c>
      <c r="F42" s="356"/>
      <c r="G42" s="357"/>
      <c r="H42" s="342">
        <v>0.01</v>
      </c>
      <c r="I42" s="366">
        <f t="shared" si="14"/>
        <v>0.02</v>
      </c>
      <c r="J42" s="366">
        <f t="shared" si="15"/>
        <v>0.01</v>
      </c>
      <c r="K42" s="367">
        <v>0</v>
      </c>
      <c r="L42" s="366">
        <f t="shared" si="13"/>
        <v>-0.01</v>
      </c>
      <c r="M42" s="366">
        <f t="shared" si="13"/>
        <v>-0.02</v>
      </c>
    </row>
    <row r="43" spans="1:13" ht="14.25">
      <c r="A43" s="246" t="s">
        <v>2026</v>
      </c>
      <c r="B43" s="347" t="s">
        <v>2027</v>
      </c>
      <c r="C43" s="337" t="s">
        <v>2037</v>
      </c>
      <c r="D43" s="338">
        <f t="shared" si="12"/>
        <v>-0.02</v>
      </c>
      <c r="E43" s="339">
        <v>0.05</v>
      </c>
      <c r="F43" s="356"/>
      <c r="G43" s="357"/>
      <c r="H43" s="342">
        <v>0.02</v>
      </c>
      <c r="I43" s="366">
        <f t="shared" si="14"/>
        <v>0.04</v>
      </c>
      <c r="J43" s="366">
        <f t="shared" si="15"/>
        <v>0.02</v>
      </c>
      <c r="K43" s="367">
        <v>0</v>
      </c>
      <c r="L43" s="366">
        <f t="shared" si="13"/>
        <v>-0.02</v>
      </c>
      <c r="M43" s="366">
        <f t="shared" si="13"/>
        <v>-0.04</v>
      </c>
    </row>
    <row r="44" spans="1:13" ht="24">
      <c r="A44" s="350" t="s">
        <v>2038</v>
      </c>
      <c r="B44" s="360" t="str">
        <f>估价对象房地状况!G18</f>
        <v>该园区内是否有污染型企业，绿化情况，卫生条件，整体环境状况判断</v>
      </c>
      <c r="C44" s="337" t="s">
        <v>1269</v>
      </c>
      <c r="D44" s="338">
        <f t="shared" si="12"/>
        <v>0.02</v>
      </c>
      <c r="E44" s="352">
        <v>0.06</v>
      </c>
      <c r="F44" s="359"/>
      <c r="G44" s="357"/>
      <c r="H44" s="342">
        <v>0.01</v>
      </c>
      <c r="I44" s="366">
        <f t="shared" si="14"/>
        <v>0.02</v>
      </c>
      <c r="J44" s="366">
        <f t="shared" si="15"/>
        <v>0.01</v>
      </c>
      <c r="K44" s="367">
        <v>0</v>
      </c>
      <c r="L44" s="366">
        <f t="shared" si="13"/>
        <v>-0.01</v>
      </c>
      <c r="M44" s="366">
        <f t="shared" si="13"/>
        <v>-0.02</v>
      </c>
    </row>
    <row r="45" spans="1:13" s="314" customFormat="1" ht="18" customHeight="1">
      <c r="B45" s="361"/>
      <c r="C45" s="362"/>
      <c r="D45" s="363"/>
      <c r="E45" s="363"/>
      <c r="F45" s="364"/>
      <c r="H45" s="364"/>
    </row>
    <row r="46" spans="1:13" s="314" customFormat="1" ht="18" customHeight="1">
      <c r="B46" s="361"/>
      <c r="C46" s="362"/>
      <c r="D46" s="363"/>
      <c r="E46" s="363"/>
      <c r="F46" s="364"/>
      <c r="H46" s="364"/>
    </row>
    <row r="47" spans="1:13" s="314" customFormat="1" ht="18" customHeight="1">
      <c r="B47" s="361"/>
      <c r="C47" s="362"/>
      <c r="D47" s="363"/>
      <c r="E47" s="363"/>
      <c r="F47" s="364"/>
      <c r="H47" s="364"/>
    </row>
    <row r="48" spans="1:13" s="314" customFormat="1" ht="18" customHeight="1">
      <c r="B48" s="361"/>
      <c r="C48" s="362"/>
      <c r="D48" s="363"/>
      <c r="E48" s="363"/>
      <c r="F48" s="364"/>
      <c r="H48" s="364"/>
    </row>
    <row r="49" spans="2:8" s="314" customFormat="1" ht="18" customHeight="1">
      <c r="B49" s="361"/>
      <c r="C49" s="362"/>
      <c r="D49" s="363"/>
      <c r="E49" s="363"/>
      <c r="F49" s="364"/>
      <c r="H49" s="364"/>
    </row>
    <row r="50" spans="2:8" s="314" customFormat="1" ht="18" customHeight="1">
      <c r="B50" s="361"/>
      <c r="C50" s="362"/>
      <c r="D50" s="363"/>
      <c r="E50" s="363"/>
      <c r="F50" s="364"/>
      <c r="H50" s="364"/>
    </row>
    <row r="51" spans="2:8" s="314" customFormat="1" ht="18" customHeight="1">
      <c r="B51" s="361"/>
      <c r="C51" s="362"/>
      <c r="D51" s="363"/>
      <c r="E51" s="363"/>
      <c r="F51" s="364"/>
      <c r="H51" s="364"/>
    </row>
    <row r="52" spans="2:8" s="314" customFormat="1" ht="18" customHeight="1">
      <c r="B52" s="361"/>
      <c r="C52" s="362"/>
      <c r="D52" s="363"/>
      <c r="E52" s="363"/>
      <c r="F52" s="364"/>
      <c r="H52" s="364"/>
    </row>
    <row r="53" spans="2:8" s="314" customFormat="1" ht="18" customHeight="1">
      <c r="B53" s="361"/>
      <c r="C53" s="362"/>
      <c r="D53" s="363"/>
      <c r="E53" s="363"/>
      <c r="F53" s="364"/>
      <c r="H53" s="364"/>
    </row>
    <row r="54" spans="2:8" s="314" customFormat="1" ht="18" customHeight="1">
      <c r="B54" s="361"/>
      <c r="C54" s="362"/>
      <c r="D54" s="363"/>
      <c r="E54" s="363"/>
      <c r="F54" s="364"/>
      <c r="H54" s="364"/>
    </row>
    <row r="55" spans="2:8" s="314" customFormat="1" ht="18" customHeight="1">
      <c r="B55" s="361"/>
      <c r="C55" s="362"/>
      <c r="D55" s="363"/>
      <c r="E55" s="363"/>
      <c r="F55" s="364"/>
      <c r="H55" s="364"/>
    </row>
    <row r="56" spans="2:8" s="314" customFormat="1" ht="18" customHeight="1">
      <c r="B56" s="361"/>
      <c r="C56" s="362"/>
      <c r="D56" s="363"/>
      <c r="E56" s="363"/>
      <c r="F56" s="364"/>
      <c r="H56" s="364"/>
    </row>
    <row r="57" spans="2:8" s="314" customFormat="1" ht="18" customHeight="1">
      <c r="B57" s="361"/>
      <c r="C57" s="362"/>
      <c r="D57" s="363"/>
      <c r="E57" s="363"/>
      <c r="F57" s="364"/>
      <c r="H57" s="364"/>
    </row>
    <row r="58" spans="2:8" s="314" customFormat="1" ht="18" customHeight="1">
      <c r="B58" s="361"/>
      <c r="C58" s="362"/>
      <c r="D58" s="363"/>
      <c r="E58" s="363"/>
      <c r="F58" s="364"/>
      <c r="H58" s="364"/>
    </row>
    <row r="59" spans="2:8" s="314" customFormat="1" ht="18" customHeight="1">
      <c r="B59" s="361"/>
      <c r="C59" s="362"/>
      <c r="D59" s="363"/>
      <c r="E59" s="363"/>
      <c r="F59" s="364"/>
      <c r="H59" s="364"/>
    </row>
    <row r="60" spans="2:8" s="314" customFormat="1" ht="18" customHeight="1">
      <c r="B60" s="361"/>
      <c r="C60" s="362"/>
      <c r="D60" s="363"/>
      <c r="E60" s="363"/>
      <c r="F60" s="364"/>
      <c r="H60" s="364"/>
    </row>
    <row r="61" spans="2:8" s="314" customFormat="1" ht="18" customHeight="1">
      <c r="B61" s="361"/>
      <c r="C61" s="362"/>
      <c r="D61" s="363"/>
      <c r="E61" s="363"/>
      <c r="F61" s="364"/>
      <c r="H61" s="364"/>
    </row>
    <row r="62" spans="2:8" s="314" customFormat="1" ht="18" customHeight="1">
      <c r="B62" s="361"/>
      <c r="C62" s="362"/>
      <c r="D62" s="363"/>
      <c r="E62" s="363"/>
      <c r="F62" s="364"/>
      <c r="H62" s="364"/>
    </row>
    <row r="63" spans="2:8" s="314" customFormat="1" ht="18" customHeight="1">
      <c r="B63" s="361"/>
      <c r="C63" s="362"/>
      <c r="D63" s="363"/>
      <c r="E63" s="363"/>
      <c r="F63" s="364"/>
      <c r="H63" s="364"/>
    </row>
    <row r="64" spans="2:8" s="314" customFormat="1" ht="18" customHeight="1">
      <c r="B64" s="361"/>
      <c r="C64" s="362"/>
      <c r="D64" s="363"/>
      <c r="E64" s="363"/>
      <c r="F64" s="364"/>
      <c r="H64" s="364"/>
    </row>
    <row r="65" spans="2:8" s="314" customFormat="1" ht="18" customHeight="1">
      <c r="B65" s="361"/>
      <c r="C65" s="362"/>
      <c r="D65" s="363"/>
      <c r="E65" s="363"/>
      <c r="F65" s="364"/>
      <c r="H65" s="364"/>
    </row>
    <row r="66" spans="2:8" s="314" customFormat="1" ht="18" customHeight="1">
      <c r="B66" s="361"/>
      <c r="C66" s="362"/>
      <c r="D66" s="363"/>
      <c r="E66" s="363"/>
      <c r="F66" s="364"/>
      <c r="H66" s="364"/>
    </row>
    <row r="67" spans="2:8" s="314" customFormat="1" ht="18" customHeight="1">
      <c r="B67" s="361"/>
      <c r="C67" s="362"/>
      <c r="D67" s="363"/>
      <c r="E67" s="363"/>
      <c r="F67" s="364"/>
      <c r="H67" s="364"/>
    </row>
    <row r="68" spans="2:8" s="314" customFormat="1" ht="18" customHeight="1">
      <c r="B68" s="361"/>
      <c r="C68" s="362"/>
      <c r="D68" s="363"/>
      <c r="E68" s="363"/>
      <c r="F68" s="364"/>
      <c r="H68" s="364"/>
    </row>
    <row r="69" spans="2:8" s="314" customFormat="1" ht="18" customHeight="1">
      <c r="B69" s="361"/>
      <c r="C69" s="362"/>
      <c r="D69" s="363"/>
      <c r="E69" s="363"/>
      <c r="F69" s="364"/>
      <c r="H69" s="364"/>
    </row>
    <row r="70" spans="2:8" s="314" customFormat="1" ht="18" customHeight="1">
      <c r="B70" s="361"/>
      <c r="C70" s="362"/>
      <c r="D70" s="363"/>
      <c r="E70" s="363"/>
      <c r="F70" s="364"/>
      <c r="H70" s="364"/>
    </row>
    <row r="71" spans="2:8" s="314" customFormat="1" ht="18" customHeight="1">
      <c r="B71" s="361"/>
      <c r="C71" s="362"/>
      <c r="D71" s="363"/>
      <c r="E71" s="363"/>
      <c r="F71" s="364"/>
      <c r="H71" s="364"/>
    </row>
    <row r="72" spans="2:8" s="314" customFormat="1" ht="18" customHeight="1">
      <c r="B72" s="361"/>
      <c r="C72" s="362"/>
      <c r="D72" s="363"/>
      <c r="E72" s="363"/>
      <c r="F72" s="364"/>
      <c r="H72" s="364"/>
    </row>
    <row r="73" spans="2:8" s="314" customFormat="1" ht="18" customHeight="1">
      <c r="B73" s="361"/>
      <c r="C73" s="362"/>
      <c r="D73" s="363"/>
      <c r="E73" s="363"/>
      <c r="F73" s="364"/>
      <c r="H73" s="364"/>
    </row>
    <row r="74" spans="2:8" s="314" customFormat="1" ht="18" customHeight="1">
      <c r="B74" s="361"/>
      <c r="C74" s="362"/>
      <c r="D74" s="363"/>
      <c r="E74" s="363"/>
      <c r="F74" s="364"/>
      <c r="H74" s="364"/>
    </row>
    <row r="75" spans="2:8" s="314" customFormat="1" ht="18" customHeight="1">
      <c r="B75" s="361"/>
      <c r="C75" s="362"/>
      <c r="D75" s="363"/>
      <c r="E75" s="363"/>
      <c r="F75" s="364"/>
      <c r="H75" s="364"/>
    </row>
    <row r="76" spans="2:8" s="314" customFormat="1" ht="18" customHeight="1">
      <c r="B76" s="361"/>
      <c r="C76" s="362"/>
      <c r="D76" s="363"/>
      <c r="E76" s="363"/>
      <c r="F76" s="364"/>
      <c r="H76" s="364"/>
    </row>
    <row r="77" spans="2:8" s="314" customFormat="1" ht="18" customHeight="1">
      <c r="B77" s="361"/>
      <c r="C77" s="362"/>
      <c r="D77" s="363"/>
      <c r="E77" s="363"/>
      <c r="F77" s="364"/>
      <c r="H77" s="364"/>
    </row>
    <row r="78" spans="2:8" s="314" customFormat="1" ht="18" customHeight="1">
      <c r="B78" s="361"/>
      <c r="C78" s="362"/>
      <c r="D78" s="363"/>
      <c r="E78" s="363"/>
      <c r="F78" s="364"/>
      <c r="H78" s="364"/>
    </row>
    <row r="79" spans="2:8" s="314" customFormat="1" ht="18" customHeight="1">
      <c r="B79" s="361"/>
      <c r="C79" s="362"/>
      <c r="D79" s="363"/>
      <c r="E79" s="363"/>
      <c r="F79" s="364"/>
      <c r="H79" s="364"/>
    </row>
    <row r="80" spans="2:8" s="314" customFormat="1" ht="18" customHeight="1">
      <c r="B80" s="361"/>
      <c r="C80" s="362"/>
      <c r="D80" s="363"/>
      <c r="E80" s="363"/>
      <c r="F80" s="364"/>
      <c r="H80" s="364"/>
    </row>
    <row r="81" spans="2:8" s="314" customFormat="1" ht="18" customHeight="1">
      <c r="B81" s="361"/>
      <c r="C81" s="362"/>
      <c r="D81" s="363"/>
      <c r="E81" s="363"/>
      <c r="F81" s="364"/>
      <c r="H81" s="364"/>
    </row>
    <row r="82" spans="2:8" s="314" customFormat="1" ht="18" customHeight="1">
      <c r="B82" s="361"/>
      <c r="C82" s="362"/>
      <c r="D82" s="363"/>
      <c r="E82" s="363"/>
      <c r="F82" s="364"/>
      <c r="H82" s="364"/>
    </row>
    <row r="83" spans="2:8" s="314" customFormat="1" ht="18" customHeight="1">
      <c r="B83" s="361"/>
      <c r="C83" s="362"/>
      <c r="D83" s="363"/>
      <c r="E83" s="363"/>
      <c r="F83" s="364"/>
      <c r="H83" s="364"/>
    </row>
    <row r="84" spans="2:8" s="314" customFormat="1" ht="18" customHeight="1">
      <c r="B84" s="361"/>
      <c r="C84" s="362"/>
      <c r="D84" s="363"/>
      <c r="E84" s="363"/>
      <c r="F84" s="364"/>
      <c r="H84" s="364"/>
    </row>
    <row r="85" spans="2:8" s="314" customFormat="1" ht="18" customHeight="1">
      <c r="B85" s="361"/>
      <c r="C85" s="362"/>
      <c r="D85" s="363"/>
      <c r="E85" s="363"/>
      <c r="F85" s="364"/>
      <c r="H85" s="364"/>
    </row>
    <row r="86" spans="2:8" s="314" customFormat="1" ht="18" customHeight="1">
      <c r="B86" s="361"/>
      <c r="C86" s="362"/>
      <c r="D86" s="363"/>
      <c r="E86" s="363"/>
      <c r="F86" s="364"/>
      <c r="H86" s="364"/>
    </row>
    <row r="87" spans="2:8" s="314" customFormat="1" ht="18" customHeight="1">
      <c r="B87" s="361"/>
      <c r="C87" s="362"/>
      <c r="D87" s="363"/>
      <c r="E87" s="363"/>
      <c r="F87" s="364"/>
      <c r="H87" s="364"/>
    </row>
    <row r="88" spans="2:8" s="314" customFormat="1" ht="18" customHeight="1">
      <c r="B88" s="361"/>
      <c r="C88" s="362"/>
      <c r="D88" s="363"/>
      <c r="E88" s="363"/>
      <c r="F88" s="364"/>
      <c r="H88" s="364"/>
    </row>
    <row r="89" spans="2:8" s="314" customFormat="1" ht="18" customHeight="1">
      <c r="B89" s="361"/>
      <c r="C89" s="362"/>
      <c r="D89" s="363"/>
      <c r="E89" s="363"/>
      <c r="F89" s="364"/>
      <c r="H89" s="364"/>
    </row>
    <row r="90" spans="2:8" s="314" customFormat="1" ht="18" customHeight="1">
      <c r="B90" s="361"/>
      <c r="C90" s="362"/>
      <c r="D90" s="363"/>
      <c r="E90" s="363"/>
      <c r="F90" s="364"/>
      <c r="H90" s="364"/>
    </row>
    <row r="91" spans="2:8" s="314" customFormat="1" ht="18" customHeight="1">
      <c r="B91" s="361"/>
      <c r="C91" s="362"/>
      <c r="D91" s="363"/>
      <c r="E91" s="363"/>
      <c r="F91" s="364"/>
      <c r="H91" s="364"/>
    </row>
    <row r="92" spans="2:8" s="314" customFormat="1" ht="18" customHeight="1">
      <c r="B92" s="361"/>
      <c r="C92" s="362"/>
      <c r="D92" s="363"/>
      <c r="E92" s="363"/>
      <c r="F92" s="364"/>
      <c r="H92" s="364"/>
    </row>
    <row r="93" spans="2:8" s="314" customFormat="1" ht="18" customHeight="1">
      <c r="B93" s="361"/>
      <c r="C93" s="362"/>
      <c r="D93" s="363"/>
      <c r="E93" s="363"/>
      <c r="F93" s="364"/>
      <c r="H93" s="364"/>
    </row>
    <row r="94" spans="2:8" s="314" customFormat="1" ht="18" customHeight="1">
      <c r="B94" s="361"/>
      <c r="C94" s="362"/>
      <c r="D94" s="363"/>
      <c r="E94" s="363"/>
      <c r="F94" s="364"/>
      <c r="H94" s="364"/>
    </row>
    <row r="95" spans="2:8" s="314" customFormat="1" ht="18" customHeight="1">
      <c r="B95" s="361"/>
      <c r="C95" s="362"/>
      <c r="D95" s="363"/>
      <c r="E95" s="363"/>
      <c r="F95" s="364"/>
      <c r="H95" s="364"/>
    </row>
    <row r="96" spans="2:8" s="314" customFormat="1" ht="18" customHeight="1">
      <c r="B96" s="361"/>
      <c r="C96" s="362"/>
      <c r="D96" s="363"/>
      <c r="E96" s="363"/>
      <c r="F96" s="364"/>
      <c r="H96" s="364"/>
    </row>
    <row r="97" spans="2:8" s="314" customFormat="1" ht="18" customHeight="1">
      <c r="B97" s="361"/>
      <c r="C97" s="362"/>
      <c r="D97" s="363"/>
      <c r="E97" s="363"/>
      <c r="F97" s="364"/>
      <c r="H97" s="364"/>
    </row>
    <row r="98" spans="2:8" s="314" customFormat="1" ht="18" customHeight="1">
      <c r="B98" s="361"/>
      <c r="C98" s="362"/>
      <c r="D98" s="363"/>
      <c r="E98" s="363"/>
      <c r="F98" s="364"/>
      <c r="H98" s="364"/>
    </row>
  </sheetData>
  <sheetProtection password="C66D" sheet="1" objects="1" scenarios="1" formatCells="0" formatColumns="0" formatRows="0"/>
  <phoneticPr fontId="20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8" customWidth="1"/>
    <col min="2" max="5" width="10.25" style="279" customWidth="1"/>
    <col min="6" max="6" width="9" style="279"/>
    <col min="7" max="7" width="9" style="277"/>
    <col min="8" max="8" width="9" style="279"/>
    <col min="9" max="9" width="9" style="277"/>
    <col min="10" max="16384" width="9" style="279"/>
  </cols>
  <sheetData>
    <row r="1" spans="1:20">
      <c r="A1" s="3097" t="s">
        <v>2039</v>
      </c>
      <c r="B1" s="3097"/>
      <c r="C1" s="3097"/>
      <c r="D1" s="3097"/>
      <c r="E1" s="3097"/>
      <c r="F1" s="3097"/>
      <c r="H1" s="276"/>
      <c r="I1" s="309" t="s">
        <v>1655</v>
      </c>
      <c r="J1" s="234" t="s">
        <v>357</v>
      </c>
      <c r="K1" s="234" t="s">
        <v>1679</v>
      </c>
      <c r="L1" s="234" t="s">
        <v>1700</v>
      </c>
      <c r="M1" s="234" t="s">
        <v>1728</v>
      </c>
      <c r="N1" s="234" t="s">
        <v>1763</v>
      </c>
      <c r="O1" s="234" t="s">
        <v>1812</v>
      </c>
      <c r="P1" s="234" t="s">
        <v>1861</v>
      </c>
      <c r="Q1" s="234" t="s">
        <v>1901</v>
      </c>
      <c r="R1" s="234" t="s">
        <v>1947</v>
      </c>
      <c r="S1" s="234" t="s">
        <v>1975</v>
      </c>
      <c r="T1" s="269" t="s">
        <v>1997</v>
      </c>
    </row>
    <row r="2" spans="1:20">
      <c r="A2" s="3098" t="s">
        <v>2040</v>
      </c>
      <c r="B2" s="3098"/>
      <c r="C2" s="3098"/>
      <c r="D2" s="3098"/>
      <c r="E2" s="3098"/>
      <c r="F2" s="3098"/>
      <c r="I2" s="310" t="s">
        <v>1656</v>
      </c>
      <c r="J2" s="291" t="s">
        <v>1661</v>
      </c>
      <c r="K2" s="291" t="s">
        <v>1680</v>
      </c>
      <c r="L2" s="291" t="s">
        <v>1701</v>
      </c>
      <c r="M2" s="291" t="s">
        <v>1729</v>
      </c>
      <c r="N2" s="291" t="s">
        <v>1764</v>
      </c>
      <c r="O2" s="291" t="s">
        <v>1813</v>
      </c>
      <c r="P2" s="291" t="s">
        <v>1862</v>
      </c>
      <c r="Q2" s="291" t="s">
        <v>1902</v>
      </c>
      <c r="R2" s="291" t="s">
        <v>1948</v>
      </c>
      <c r="S2" s="291" t="s">
        <v>1976</v>
      </c>
      <c r="T2" s="291" t="s">
        <v>1998</v>
      </c>
    </row>
    <row r="3" spans="1:20" s="276" customFormat="1" ht="19.5" customHeight="1">
      <c r="A3" s="3099" t="s">
        <v>1653</v>
      </c>
      <c r="B3" s="281"/>
      <c r="C3" s="282" t="s">
        <v>1650</v>
      </c>
      <c r="D3" s="282" t="s">
        <v>470</v>
      </c>
      <c r="E3" s="282" t="s">
        <v>1651</v>
      </c>
      <c r="F3" s="282" t="s">
        <v>1652</v>
      </c>
      <c r="G3" s="283"/>
      <c r="I3" s="310" t="s">
        <v>1657</v>
      </c>
      <c r="J3" s="291" t="s">
        <v>1662</v>
      </c>
      <c r="K3" s="291" t="s">
        <v>1681</v>
      </c>
      <c r="L3" s="291" t="s">
        <v>1702</v>
      </c>
      <c r="M3" s="291" t="s">
        <v>1730</v>
      </c>
      <c r="N3" s="291" t="s">
        <v>1765</v>
      </c>
      <c r="O3" s="291" t="s">
        <v>1814</v>
      </c>
      <c r="P3" s="291" t="s">
        <v>1863</v>
      </c>
      <c r="Q3" s="291" t="s">
        <v>1903</v>
      </c>
      <c r="R3" s="291" t="s">
        <v>1949</v>
      </c>
      <c r="S3" s="291" t="s">
        <v>1977</v>
      </c>
      <c r="T3" s="291" t="s">
        <v>1999</v>
      </c>
    </row>
    <row r="4" spans="1:20" s="276" customFormat="1" ht="19.5" customHeight="1">
      <c r="A4" s="3100"/>
      <c r="B4" s="284" t="s">
        <v>1654</v>
      </c>
      <c r="C4" s="284" t="s">
        <v>2041</v>
      </c>
      <c r="D4" s="284" t="s">
        <v>2041</v>
      </c>
      <c r="E4" s="284" t="s">
        <v>2041</v>
      </c>
      <c r="F4" s="285" t="s">
        <v>2041</v>
      </c>
      <c r="G4" s="283"/>
      <c r="I4" s="310" t="s">
        <v>1658</v>
      </c>
      <c r="J4" s="291" t="s">
        <v>1663</v>
      </c>
      <c r="K4" s="291" t="s">
        <v>1682</v>
      </c>
      <c r="L4" s="291" t="s">
        <v>1703</v>
      </c>
      <c r="M4" s="291" t="s">
        <v>1731</v>
      </c>
      <c r="N4" s="291" t="s">
        <v>1766</v>
      </c>
      <c r="O4" s="291" t="s">
        <v>1815</v>
      </c>
      <c r="P4" s="291" t="s">
        <v>1864</v>
      </c>
      <c r="Q4" s="291" t="s">
        <v>1904</v>
      </c>
      <c r="R4" s="291" t="s">
        <v>1950</v>
      </c>
      <c r="S4" s="291" t="s">
        <v>1978</v>
      </c>
      <c r="T4" s="291" t="s">
        <v>2000</v>
      </c>
    </row>
    <row r="5" spans="1:20" ht="14.25" customHeight="1">
      <c r="A5" s="286" t="s">
        <v>1655</v>
      </c>
      <c r="B5" s="287" t="s">
        <v>1656</v>
      </c>
      <c r="C5" s="287">
        <v>29530</v>
      </c>
      <c r="D5" s="287">
        <v>28130</v>
      </c>
      <c r="E5" s="287">
        <v>27930</v>
      </c>
      <c r="F5" s="288">
        <v>11300</v>
      </c>
      <c r="G5" s="289" t="s">
        <v>1655</v>
      </c>
      <c r="H5" s="290">
        <f>SUMPRODUCT((B5:B9=基准地价修正!I2)*(C3:F3=基准地价修正!E2)*(C5:F9))</f>
        <v>0</v>
      </c>
      <c r="I5" s="310" t="s">
        <v>1659</v>
      </c>
      <c r="J5" s="291" t="s">
        <v>1664</v>
      </c>
      <c r="K5" s="291" t="s">
        <v>1683</v>
      </c>
      <c r="L5" s="291" t="s">
        <v>1704</v>
      </c>
      <c r="M5" s="291" t="s">
        <v>1732</v>
      </c>
      <c r="N5" s="291" t="s">
        <v>1767</v>
      </c>
      <c r="O5" s="291" t="s">
        <v>1816</v>
      </c>
      <c r="P5" s="291" t="s">
        <v>1865</v>
      </c>
      <c r="Q5" s="291" t="s">
        <v>1905</v>
      </c>
      <c r="R5" s="291" t="s">
        <v>1952</v>
      </c>
      <c r="S5" s="291" t="s">
        <v>1979</v>
      </c>
      <c r="T5" s="291" t="s">
        <v>2001</v>
      </c>
    </row>
    <row r="6" spans="1:20" ht="14.25" customHeight="1">
      <c r="A6" s="286" t="s">
        <v>1655</v>
      </c>
      <c r="B6" s="291" t="s">
        <v>1657</v>
      </c>
      <c r="C6" s="291">
        <v>30290</v>
      </c>
      <c r="D6" s="291">
        <v>29210</v>
      </c>
      <c r="E6" s="291">
        <v>28860</v>
      </c>
      <c r="F6" s="292">
        <v>12600</v>
      </c>
      <c r="G6" s="293" t="s">
        <v>357</v>
      </c>
      <c r="H6" s="294">
        <f>SUMPRODUCT((B10:B28=基准地价修正!I2)*(C3:F3=基准地价修正!E2)*(C10:F28))</f>
        <v>0</v>
      </c>
      <c r="I6" s="310" t="s">
        <v>1660</v>
      </c>
      <c r="J6" s="291" t="s">
        <v>1665</v>
      </c>
      <c r="K6" s="291" t="s">
        <v>1684</v>
      </c>
      <c r="L6" s="291" t="s">
        <v>1705</v>
      </c>
      <c r="M6" s="291" t="s">
        <v>1733</v>
      </c>
      <c r="N6" s="291" t="s">
        <v>1768</v>
      </c>
      <c r="O6" s="291" t="s">
        <v>1817</v>
      </c>
      <c r="P6" s="291" t="s">
        <v>1866</v>
      </c>
      <c r="Q6" s="291" t="s">
        <v>1906</v>
      </c>
      <c r="R6" s="291" t="s">
        <v>1953</v>
      </c>
      <c r="S6" s="291" t="s">
        <v>1980</v>
      </c>
      <c r="T6" s="291" t="s">
        <v>2002</v>
      </c>
    </row>
    <row r="7" spans="1:20" ht="14.25" customHeight="1">
      <c r="A7" s="286" t="s">
        <v>1655</v>
      </c>
      <c r="B7" s="295" t="s">
        <v>1658</v>
      </c>
      <c r="C7" s="291">
        <v>29350</v>
      </c>
      <c r="D7" s="291">
        <v>28410</v>
      </c>
      <c r="E7" s="291">
        <v>27990</v>
      </c>
      <c r="F7" s="292">
        <v>12300</v>
      </c>
      <c r="G7" s="293" t="s">
        <v>1679</v>
      </c>
      <c r="H7" s="294">
        <f>SUMPRODUCT((B29:B48=基准地价修正!I2)*(C3:F3=基准地价修正!E2)*(C29:F48))</f>
        <v>0</v>
      </c>
      <c r="J7" s="291" t="s">
        <v>1666</v>
      </c>
      <c r="K7" s="291" t="s">
        <v>1685</v>
      </c>
      <c r="L7" s="291" t="s">
        <v>1706</v>
      </c>
      <c r="M7" s="291" t="s">
        <v>1734</v>
      </c>
      <c r="N7" s="291" t="s">
        <v>1769</v>
      </c>
      <c r="O7" s="291" t="s">
        <v>1818</v>
      </c>
      <c r="P7" s="291" t="s">
        <v>1867</v>
      </c>
      <c r="Q7" s="291" t="s">
        <v>1907</v>
      </c>
      <c r="R7" s="291" t="s">
        <v>1954</v>
      </c>
      <c r="S7" s="291" t="s">
        <v>1981</v>
      </c>
      <c r="T7" s="295" t="s">
        <v>2003</v>
      </c>
    </row>
    <row r="8" spans="1:20" ht="14.25" customHeight="1">
      <c r="A8" s="286" t="s">
        <v>1655</v>
      </c>
      <c r="B8" s="291" t="s">
        <v>1659</v>
      </c>
      <c r="C8" s="291">
        <v>30890</v>
      </c>
      <c r="D8" s="291">
        <v>29780</v>
      </c>
      <c r="E8" s="291">
        <v>29270</v>
      </c>
      <c r="F8" s="292">
        <v>11600</v>
      </c>
      <c r="G8" s="293" t="s">
        <v>1700</v>
      </c>
      <c r="H8" s="294">
        <f>SUMPRODUCT((B49:B75=基准地价修正!I2)*(C3:F3=基准地价修正!E2)*(C49:F75))</f>
        <v>0</v>
      </c>
      <c r="J8" s="291" t="s">
        <v>1667</v>
      </c>
      <c r="K8" s="291" t="s">
        <v>1686</v>
      </c>
      <c r="L8" s="291" t="s">
        <v>1707</v>
      </c>
      <c r="M8" s="291" t="s">
        <v>1735</v>
      </c>
      <c r="N8" s="291" t="s">
        <v>1770</v>
      </c>
      <c r="O8" s="291" t="s">
        <v>1819</v>
      </c>
      <c r="P8" s="291" t="s">
        <v>1868</v>
      </c>
      <c r="Q8" s="291" t="s">
        <v>1908</v>
      </c>
      <c r="R8" s="291" t="s">
        <v>1955</v>
      </c>
      <c r="S8" s="291" t="s">
        <v>1982</v>
      </c>
      <c r="T8" s="291" t="s">
        <v>2004</v>
      </c>
    </row>
    <row r="9" spans="1:20" ht="14.25" customHeight="1">
      <c r="A9" s="286" t="s">
        <v>1655</v>
      </c>
      <c r="B9" s="296" t="s">
        <v>1660</v>
      </c>
      <c r="C9" s="297">
        <v>28140</v>
      </c>
      <c r="D9" s="297"/>
      <c r="E9" s="297"/>
      <c r="F9" s="298"/>
      <c r="G9" s="293" t="s">
        <v>1728</v>
      </c>
      <c r="H9" s="294">
        <f>SUMPRODUCT((B76:B109=基准地价修正!I2)*(C3:F3=基准地价修正!E2)*(C76:F109))</f>
        <v>0</v>
      </c>
      <c r="J9" s="291" t="s">
        <v>1668</v>
      </c>
      <c r="K9" s="291" t="s">
        <v>1687</v>
      </c>
      <c r="L9" s="291" t="s">
        <v>1708</v>
      </c>
      <c r="M9" s="291" t="s">
        <v>1736</v>
      </c>
      <c r="N9" s="291" t="s">
        <v>1771</v>
      </c>
      <c r="O9" s="291" t="s">
        <v>1820</v>
      </c>
      <c r="P9" s="291" t="s">
        <v>1869</v>
      </c>
      <c r="Q9" s="291" t="s">
        <v>1909</v>
      </c>
      <c r="R9" s="291" t="s">
        <v>1956</v>
      </c>
      <c r="S9" s="291" t="s">
        <v>1983</v>
      </c>
    </row>
    <row r="10" spans="1:20" ht="14.25" customHeight="1">
      <c r="A10" s="286" t="s">
        <v>357</v>
      </c>
      <c r="B10" s="287" t="s">
        <v>1661</v>
      </c>
      <c r="C10" s="287">
        <v>27450</v>
      </c>
      <c r="D10" s="287">
        <v>26180</v>
      </c>
      <c r="E10" s="287">
        <v>25980</v>
      </c>
      <c r="F10" s="288">
        <v>8910</v>
      </c>
      <c r="G10" s="293" t="s">
        <v>1763</v>
      </c>
      <c r="H10" s="294">
        <f>SUMPRODUCT((B110:B157=基准地价修正!I2)*(C3:F3=基准地价修正!E2)*(C110:F157))</f>
        <v>0</v>
      </c>
      <c r="J10" s="291" t="s">
        <v>360</v>
      </c>
      <c r="K10" s="291" t="s">
        <v>1688</v>
      </c>
      <c r="L10" s="291" t="s">
        <v>1709</v>
      </c>
      <c r="M10" s="291" t="s">
        <v>1737</v>
      </c>
      <c r="N10" s="291" t="s">
        <v>1772</v>
      </c>
      <c r="O10" s="291" t="s">
        <v>1821</v>
      </c>
      <c r="P10" s="291" t="s">
        <v>1870</v>
      </c>
      <c r="Q10" s="291" t="s">
        <v>1910</v>
      </c>
      <c r="R10" s="291" t="s">
        <v>1957</v>
      </c>
      <c r="S10" s="291" t="s">
        <v>1984</v>
      </c>
    </row>
    <row r="11" spans="1:20" ht="14.25" customHeight="1">
      <c r="A11" s="286" t="s">
        <v>357</v>
      </c>
      <c r="B11" s="295" t="s">
        <v>1662</v>
      </c>
      <c r="C11" s="291">
        <v>22950</v>
      </c>
      <c r="D11" s="291">
        <v>22630</v>
      </c>
      <c r="E11" s="291">
        <v>22030</v>
      </c>
      <c r="F11" s="299">
        <v>8330</v>
      </c>
      <c r="G11" s="293" t="s">
        <v>1812</v>
      </c>
      <c r="H11" s="294">
        <f>SUMPRODUCT((B158:B205=基准地价修正!I2)*(C3:F3=基准地价修正!E2)*(C158:F205))</f>
        <v>0</v>
      </c>
      <c r="J11" s="291" t="s">
        <v>1669</v>
      </c>
      <c r="K11" s="291" t="s">
        <v>1689</v>
      </c>
      <c r="L11" s="291" t="s">
        <v>1710</v>
      </c>
      <c r="M11" s="291" t="s">
        <v>1738</v>
      </c>
      <c r="N11" s="291" t="s">
        <v>1773</v>
      </c>
      <c r="O11" s="291" t="s">
        <v>1822</v>
      </c>
      <c r="P11" s="291" t="s">
        <v>1871</v>
      </c>
      <c r="Q11" s="291" t="s">
        <v>1911</v>
      </c>
      <c r="R11" s="291" t="s">
        <v>1958</v>
      </c>
      <c r="S11" s="291" t="s">
        <v>1985</v>
      </c>
    </row>
    <row r="12" spans="1:20" ht="14.25" customHeight="1">
      <c r="A12" s="286" t="s">
        <v>357</v>
      </c>
      <c r="B12" s="295" t="s">
        <v>1663</v>
      </c>
      <c r="C12" s="291">
        <v>24940</v>
      </c>
      <c r="D12" s="291">
        <v>23180</v>
      </c>
      <c r="E12" s="291">
        <v>22910</v>
      </c>
      <c r="F12" s="299">
        <v>7180</v>
      </c>
      <c r="G12" s="293" t="s">
        <v>1861</v>
      </c>
      <c r="H12" s="294">
        <f>SUMPRODUCT((B206:B244=基准地价修正!I2)*(C3:F3=基准地价修正!E2)*(C206:F244))</f>
        <v>0</v>
      </c>
      <c r="J12" s="291" t="s">
        <v>1670</v>
      </c>
      <c r="K12" s="291" t="s">
        <v>1690</v>
      </c>
      <c r="L12" s="291" t="s">
        <v>1711</v>
      </c>
      <c r="M12" s="291" t="s">
        <v>1739</v>
      </c>
      <c r="N12" s="291" t="s">
        <v>1774</v>
      </c>
      <c r="O12" s="291" t="s">
        <v>1823</v>
      </c>
      <c r="P12" s="291" t="s">
        <v>1872</v>
      </c>
      <c r="Q12" s="291" t="s">
        <v>1912</v>
      </c>
      <c r="R12" s="291" t="s">
        <v>1959</v>
      </c>
      <c r="S12" s="291" t="s">
        <v>1986</v>
      </c>
    </row>
    <row r="13" spans="1:20" ht="14.25" customHeight="1">
      <c r="A13" s="286" t="s">
        <v>357</v>
      </c>
      <c r="B13" s="295" t="s">
        <v>1664</v>
      </c>
      <c r="C13" s="291">
        <v>24140</v>
      </c>
      <c r="D13" s="291">
        <v>22270</v>
      </c>
      <c r="E13" s="291">
        <v>21950</v>
      </c>
      <c r="F13" s="299">
        <v>7600</v>
      </c>
      <c r="G13" s="293" t="s">
        <v>1901</v>
      </c>
      <c r="H13" s="294">
        <f>SUMPRODUCT((B245:B289=基准地价修正!I2)*(C3:F3=基准地价修正!E2)*(C245:F289))</f>
        <v>0</v>
      </c>
      <c r="J13" s="291" t="s">
        <v>1671</v>
      </c>
      <c r="K13" s="291" t="s">
        <v>1691</v>
      </c>
      <c r="L13" s="291" t="s">
        <v>1712</v>
      </c>
      <c r="M13" s="291" t="s">
        <v>1740</v>
      </c>
      <c r="N13" s="291" t="s">
        <v>1775</v>
      </c>
      <c r="O13" s="291" t="s">
        <v>1824</v>
      </c>
      <c r="P13" s="291" t="s">
        <v>1873</v>
      </c>
      <c r="Q13" s="291" t="s">
        <v>1913</v>
      </c>
      <c r="R13" s="291" t="s">
        <v>1960</v>
      </c>
      <c r="S13" s="291" t="s">
        <v>1987</v>
      </c>
    </row>
    <row r="14" spans="1:20" ht="14.25" customHeight="1">
      <c r="A14" s="286" t="s">
        <v>357</v>
      </c>
      <c r="B14" s="295" t="s">
        <v>1665</v>
      </c>
      <c r="C14" s="291">
        <v>25600</v>
      </c>
      <c r="D14" s="291">
        <v>22260</v>
      </c>
      <c r="E14" s="291">
        <v>22110</v>
      </c>
      <c r="F14" s="299">
        <v>7630</v>
      </c>
      <c r="G14" s="293" t="s">
        <v>1947</v>
      </c>
      <c r="H14" s="294">
        <f>SUMPRODUCT((B290:B316=基准地价修正!I2)*(C3:F3=基准地价修正!E2)*(C290:F316))</f>
        <v>0</v>
      </c>
      <c r="J14" s="291" t="s">
        <v>1672</v>
      </c>
      <c r="K14" s="291" t="s">
        <v>1692</v>
      </c>
      <c r="L14" s="291" t="s">
        <v>1713</v>
      </c>
      <c r="M14" s="291" t="s">
        <v>1741</v>
      </c>
      <c r="N14" s="291" t="s">
        <v>1776</v>
      </c>
      <c r="O14" s="291" t="s">
        <v>1825</v>
      </c>
      <c r="P14" s="291" t="s">
        <v>1874</v>
      </c>
      <c r="Q14" s="291" t="s">
        <v>1914</v>
      </c>
      <c r="R14" s="291" t="s">
        <v>1961</v>
      </c>
      <c r="S14" s="291" t="s">
        <v>1988</v>
      </c>
    </row>
    <row r="15" spans="1:20" ht="14.25" customHeight="1">
      <c r="A15" s="286" t="s">
        <v>357</v>
      </c>
      <c r="B15" s="295" t="s">
        <v>1666</v>
      </c>
      <c r="C15" s="291">
        <v>24760</v>
      </c>
      <c r="D15" s="291">
        <v>24440</v>
      </c>
      <c r="E15" s="291">
        <v>24130</v>
      </c>
      <c r="F15" s="299">
        <v>9480</v>
      </c>
      <c r="G15" s="293" t="s">
        <v>1975</v>
      </c>
      <c r="H15" s="294">
        <f>SUMPRODUCT((B317:B337=基准地价修正!I2)*(C3:F3=基准地价修正!E2)*(C317:F337))</f>
        <v>0</v>
      </c>
      <c r="J15" s="291" t="s">
        <v>1673</v>
      </c>
      <c r="K15" s="291" t="s">
        <v>1693</v>
      </c>
      <c r="L15" s="291" t="s">
        <v>1714</v>
      </c>
      <c r="M15" s="291" t="s">
        <v>1742</v>
      </c>
      <c r="N15" s="291" t="s">
        <v>1777</v>
      </c>
      <c r="O15" s="291" t="s">
        <v>1826</v>
      </c>
      <c r="P15" s="291" t="s">
        <v>1875</v>
      </c>
      <c r="Q15" s="291" t="s">
        <v>1915</v>
      </c>
      <c r="R15" s="291" t="s">
        <v>1962</v>
      </c>
      <c r="S15" s="291" t="s">
        <v>1989</v>
      </c>
    </row>
    <row r="16" spans="1:20" ht="14.25" customHeight="1">
      <c r="A16" s="286" t="s">
        <v>357</v>
      </c>
      <c r="B16" s="295" t="s">
        <v>1667</v>
      </c>
      <c r="C16" s="291">
        <v>22220</v>
      </c>
      <c r="D16" s="291">
        <v>22310</v>
      </c>
      <c r="E16" s="291">
        <v>22000</v>
      </c>
      <c r="F16" s="299">
        <v>8900</v>
      </c>
      <c r="G16" s="300" t="s">
        <v>1997</v>
      </c>
      <c r="H16" s="301">
        <f>SUMPRODUCT((B338:B344=基准地价修正!I2)*(C3:F3=基准地价修正!E2)*(C338:F344))</f>
        <v>0</v>
      </c>
      <c r="J16" s="291" t="s">
        <v>1674</v>
      </c>
      <c r="K16" s="291" t="s">
        <v>1694</v>
      </c>
      <c r="L16" s="291" t="s">
        <v>1715</v>
      </c>
      <c r="M16" s="291" t="s">
        <v>1743</v>
      </c>
      <c r="N16" s="291" t="s">
        <v>1778</v>
      </c>
      <c r="O16" s="291" t="s">
        <v>1827</v>
      </c>
      <c r="P16" s="291" t="s">
        <v>1876</v>
      </c>
      <c r="Q16" s="291" t="s">
        <v>1916</v>
      </c>
      <c r="R16" s="291" t="s">
        <v>1963</v>
      </c>
      <c r="S16" s="291" t="s">
        <v>1990</v>
      </c>
    </row>
    <row r="17" spans="1:19" ht="14.25" customHeight="1">
      <c r="A17" s="286" t="s">
        <v>357</v>
      </c>
      <c r="B17" s="295" t="s">
        <v>1668</v>
      </c>
      <c r="C17" s="291">
        <v>24700</v>
      </c>
      <c r="D17" s="291">
        <v>25150</v>
      </c>
      <c r="E17" s="291">
        <v>24700</v>
      </c>
      <c r="F17" s="302"/>
      <c r="H17" s="303"/>
      <c r="J17" s="291" t="s">
        <v>1675</v>
      </c>
      <c r="K17" s="291" t="s">
        <v>1695</v>
      </c>
      <c r="L17" s="291" t="s">
        <v>1716</v>
      </c>
      <c r="M17" s="291" t="s">
        <v>1744</v>
      </c>
      <c r="N17" s="291" t="s">
        <v>1779</v>
      </c>
      <c r="O17" s="291" t="s">
        <v>1828</v>
      </c>
      <c r="P17" s="291" t="s">
        <v>1877</v>
      </c>
      <c r="Q17" s="291" t="s">
        <v>1917</v>
      </c>
      <c r="R17" s="291" t="s">
        <v>1964</v>
      </c>
      <c r="S17" s="291" t="s">
        <v>1991</v>
      </c>
    </row>
    <row r="18" spans="1:19" ht="14.25" customHeight="1">
      <c r="A18" s="286" t="s">
        <v>357</v>
      </c>
      <c r="B18" s="295" t="s">
        <v>360</v>
      </c>
      <c r="C18" s="291">
        <v>22350</v>
      </c>
      <c r="D18" s="291">
        <v>24340</v>
      </c>
      <c r="E18" s="291">
        <v>24100</v>
      </c>
      <c r="F18" s="302"/>
      <c r="H18" s="303"/>
      <c r="J18" s="291" t="s">
        <v>1676</v>
      </c>
      <c r="K18" s="291" t="s">
        <v>1696</v>
      </c>
      <c r="L18" s="291" t="s">
        <v>1717</v>
      </c>
      <c r="M18" s="291" t="s">
        <v>1745</v>
      </c>
      <c r="N18" s="291" t="s">
        <v>1780</v>
      </c>
      <c r="O18" s="291" t="s">
        <v>1829</v>
      </c>
      <c r="P18" s="291" t="s">
        <v>1878</v>
      </c>
      <c r="Q18" s="291" t="s">
        <v>1918</v>
      </c>
      <c r="R18" s="291" t="s">
        <v>1965</v>
      </c>
      <c r="S18" s="291" t="s">
        <v>1992</v>
      </c>
    </row>
    <row r="19" spans="1:19" ht="14.25" customHeight="1">
      <c r="A19" s="286" t="s">
        <v>357</v>
      </c>
      <c r="B19" s="295" t="s">
        <v>1669</v>
      </c>
      <c r="C19" s="291">
        <v>23430</v>
      </c>
      <c r="D19" s="291">
        <v>21580</v>
      </c>
      <c r="E19" s="291">
        <v>21350</v>
      </c>
      <c r="F19" s="302"/>
      <c r="H19" s="303"/>
      <c r="J19" s="291" t="s">
        <v>1677</v>
      </c>
      <c r="K19" s="291" t="s">
        <v>1697</v>
      </c>
      <c r="L19" s="291" t="s">
        <v>1718</v>
      </c>
      <c r="M19" s="291" t="s">
        <v>1746</v>
      </c>
      <c r="N19" s="291" t="s">
        <v>1781</v>
      </c>
      <c r="O19" s="291" t="s">
        <v>1830</v>
      </c>
      <c r="P19" s="291" t="s">
        <v>1879</v>
      </c>
      <c r="Q19" s="291" t="s">
        <v>1919</v>
      </c>
      <c r="R19" s="291" t="s">
        <v>1966</v>
      </c>
      <c r="S19" s="291" t="s">
        <v>1993</v>
      </c>
    </row>
    <row r="20" spans="1:19" ht="14.25" customHeight="1">
      <c r="A20" s="286" t="s">
        <v>357</v>
      </c>
      <c r="B20" s="295" t="s">
        <v>1670</v>
      </c>
      <c r="C20" s="291">
        <v>27660</v>
      </c>
      <c r="D20" s="291">
        <v>24240</v>
      </c>
      <c r="E20" s="291">
        <v>24020</v>
      </c>
      <c r="F20" s="302"/>
      <c r="J20" s="291" t="s">
        <v>1678</v>
      </c>
      <c r="K20" s="291" t="s">
        <v>1698</v>
      </c>
      <c r="L20" s="291" t="s">
        <v>1719</v>
      </c>
      <c r="M20" s="291" t="s">
        <v>1747</v>
      </c>
      <c r="N20" s="291" t="s">
        <v>1782</v>
      </c>
      <c r="O20" s="291" t="s">
        <v>1831</v>
      </c>
      <c r="P20" s="291" t="s">
        <v>1880</v>
      </c>
      <c r="Q20" s="291" t="s">
        <v>1920</v>
      </c>
      <c r="R20" s="291" t="s">
        <v>1967</v>
      </c>
      <c r="S20" s="291" t="s">
        <v>1994</v>
      </c>
    </row>
    <row r="21" spans="1:19" ht="14.25" customHeight="1">
      <c r="A21" s="286" t="s">
        <v>357</v>
      </c>
      <c r="B21" s="295" t="s">
        <v>1671</v>
      </c>
      <c r="C21" s="291">
        <v>24720</v>
      </c>
      <c r="D21" s="291">
        <v>21670</v>
      </c>
      <c r="E21" s="291">
        <v>21510</v>
      </c>
      <c r="F21" s="302"/>
      <c r="K21" s="291" t="s">
        <v>1699</v>
      </c>
      <c r="L21" s="291" t="s">
        <v>1720</v>
      </c>
      <c r="M21" s="291" t="s">
        <v>1748</v>
      </c>
      <c r="N21" s="291" t="s">
        <v>1783</v>
      </c>
      <c r="O21" s="291" t="s">
        <v>1832</v>
      </c>
      <c r="P21" s="291" t="s">
        <v>1881</v>
      </c>
      <c r="Q21" s="291" t="s">
        <v>1921</v>
      </c>
      <c r="R21" s="291" t="s">
        <v>1968</v>
      </c>
      <c r="S21" s="291" t="s">
        <v>1995</v>
      </c>
    </row>
    <row r="22" spans="1:19" ht="14.25" customHeight="1">
      <c r="A22" s="286" t="s">
        <v>357</v>
      </c>
      <c r="B22" s="295" t="s">
        <v>1672</v>
      </c>
      <c r="C22" s="291">
        <v>26530</v>
      </c>
      <c r="D22" s="291">
        <v>22980</v>
      </c>
      <c r="E22" s="291">
        <v>22650</v>
      </c>
      <c r="F22" s="302"/>
      <c r="L22" s="291" t="s">
        <v>1721</v>
      </c>
      <c r="M22" s="291" t="s">
        <v>1749</v>
      </c>
      <c r="N22" s="291" t="s">
        <v>1784</v>
      </c>
      <c r="O22" s="291" t="s">
        <v>1833</v>
      </c>
      <c r="P22" s="291" t="s">
        <v>1882</v>
      </c>
      <c r="Q22" s="291" t="s">
        <v>1922</v>
      </c>
      <c r="R22" s="291" t="s">
        <v>1969</v>
      </c>
      <c r="S22" s="295" t="s">
        <v>1996</v>
      </c>
    </row>
    <row r="23" spans="1:19" ht="14.25" customHeight="1">
      <c r="A23" s="286" t="s">
        <v>357</v>
      </c>
      <c r="B23" s="295" t="s">
        <v>1673</v>
      </c>
      <c r="C23" s="291">
        <v>24700</v>
      </c>
      <c r="D23" s="291">
        <v>27290</v>
      </c>
      <c r="E23" s="291">
        <v>26710</v>
      </c>
      <c r="F23" s="302"/>
      <c r="L23" s="291" t="s">
        <v>1722</v>
      </c>
      <c r="M23" s="291" t="s">
        <v>1750</v>
      </c>
      <c r="N23" s="291" t="s">
        <v>1785</v>
      </c>
      <c r="O23" s="291" t="s">
        <v>1834</v>
      </c>
      <c r="P23" s="291" t="s">
        <v>1883</v>
      </c>
      <c r="Q23" s="291" t="s">
        <v>1923</v>
      </c>
      <c r="R23" s="291" t="s">
        <v>1970</v>
      </c>
    </row>
    <row r="24" spans="1:19" ht="14.25" customHeight="1">
      <c r="A24" s="286" t="s">
        <v>357</v>
      </c>
      <c r="B24" s="295" t="s">
        <v>1674</v>
      </c>
      <c r="C24" s="291">
        <v>23070</v>
      </c>
      <c r="D24" s="291">
        <v>24130</v>
      </c>
      <c r="E24" s="291">
        <v>23860</v>
      </c>
      <c r="F24" s="302"/>
      <c r="L24" s="291" t="s">
        <v>1723</v>
      </c>
      <c r="M24" s="291" t="s">
        <v>1751</v>
      </c>
      <c r="N24" s="291" t="s">
        <v>1786</v>
      </c>
      <c r="O24" s="291" t="s">
        <v>1835</v>
      </c>
      <c r="P24" s="291" t="s">
        <v>1884</v>
      </c>
      <c r="Q24" s="291" t="s">
        <v>1924</v>
      </c>
      <c r="R24" s="291" t="s">
        <v>1971</v>
      </c>
    </row>
    <row r="25" spans="1:19" ht="14.25" customHeight="1">
      <c r="A25" s="286" t="s">
        <v>357</v>
      </c>
      <c r="B25" s="295" t="s">
        <v>1675</v>
      </c>
      <c r="C25" s="291">
        <v>27550</v>
      </c>
      <c r="D25" s="291">
        <v>25850</v>
      </c>
      <c r="E25" s="291">
        <v>25340</v>
      </c>
      <c r="F25" s="302"/>
      <c r="L25" s="291" t="s">
        <v>1724</v>
      </c>
      <c r="M25" s="291" t="s">
        <v>1752</v>
      </c>
      <c r="N25" s="291" t="s">
        <v>1787</v>
      </c>
      <c r="O25" s="291" t="s">
        <v>1836</v>
      </c>
      <c r="P25" s="291" t="s">
        <v>1885</v>
      </c>
      <c r="Q25" s="291" t="s">
        <v>1925</v>
      </c>
      <c r="R25" s="291" t="s">
        <v>1972</v>
      </c>
    </row>
    <row r="26" spans="1:19" ht="14.25" customHeight="1">
      <c r="A26" s="286" t="s">
        <v>357</v>
      </c>
      <c r="B26" s="295" t="s">
        <v>1676</v>
      </c>
      <c r="C26" s="291"/>
      <c r="D26" s="291">
        <v>23900</v>
      </c>
      <c r="E26" s="291">
        <v>23590</v>
      </c>
      <c r="F26" s="302"/>
      <c r="L26" s="291" t="s">
        <v>1725</v>
      </c>
      <c r="M26" s="291" t="s">
        <v>1753</v>
      </c>
      <c r="N26" s="291" t="s">
        <v>1788</v>
      </c>
      <c r="O26" s="291" t="s">
        <v>1837</v>
      </c>
      <c r="P26" s="291" t="s">
        <v>1886</v>
      </c>
      <c r="Q26" s="291" t="s">
        <v>1926</v>
      </c>
      <c r="R26" s="291" t="s">
        <v>1973</v>
      </c>
    </row>
    <row r="27" spans="1:19" ht="14.25" customHeight="1">
      <c r="A27" s="286" t="s">
        <v>357</v>
      </c>
      <c r="B27" s="295" t="s">
        <v>1677</v>
      </c>
      <c r="C27" s="291"/>
      <c r="D27" s="291">
        <v>22850</v>
      </c>
      <c r="E27" s="291">
        <v>21920</v>
      </c>
      <c r="F27" s="302"/>
      <c r="L27" s="291" t="s">
        <v>1726</v>
      </c>
      <c r="M27" s="291" t="s">
        <v>1754</v>
      </c>
      <c r="N27" s="291" t="s">
        <v>1789</v>
      </c>
      <c r="O27" s="291" t="s">
        <v>1838</v>
      </c>
      <c r="P27" s="291" t="s">
        <v>1887</v>
      </c>
      <c r="Q27" s="291" t="s">
        <v>1927</v>
      </c>
      <c r="R27" s="291" t="s">
        <v>1974</v>
      </c>
    </row>
    <row r="28" spans="1:19" ht="14.25" customHeight="1">
      <c r="A28" s="304" t="s">
        <v>357</v>
      </c>
      <c r="B28" s="296" t="s">
        <v>1678</v>
      </c>
      <c r="C28" s="297"/>
      <c r="D28" s="297">
        <v>26610</v>
      </c>
      <c r="E28" s="297">
        <v>26370</v>
      </c>
      <c r="F28" s="298"/>
      <c r="L28" s="291" t="s">
        <v>1727</v>
      </c>
      <c r="M28" s="291" t="s">
        <v>1755</v>
      </c>
      <c r="N28" s="291" t="s">
        <v>1790</v>
      </c>
      <c r="O28" s="291" t="s">
        <v>1839</v>
      </c>
      <c r="P28" s="291" t="s">
        <v>1888</v>
      </c>
      <c r="Q28" s="291" t="s">
        <v>1928</v>
      </c>
    </row>
    <row r="29" spans="1:19" ht="14.25" customHeight="1">
      <c r="A29" s="286" t="s">
        <v>1679</v>
      </c>
      <c r="B29" s="287" t="s">
        <v>1680</v>
      </c>
      <c r="C29" s="287">
        <v>22090</v>
      </c>
      <c r="D29" s="287">
        <v>21860</v>
      </c>
      <c r="E29" s="287">
        <v>19380</v>
      </c>
      <c r="F29" s="288">
        <v>6610</v>
      </c>
      <c r="M29" s="291" t="s">
        <v>1756</v>
      </c>
      <c r="N29" s="291" t="s">
        <v>1791</v>
      </c>
      <c r="O29" s="291" t="s">
        <v>1840</v>
      </c>
      <c r="P29" s="291" t="s">
        <v>1889</v>
      </c>
      <c r="Q29" s="291" t="s">
        <v>1929</v>
      </c>
    </row>
    <row r="30" spans="1:19" ht="14.25" customHeight="1">
      <c r="A30" s="286" t="s">
        <v>1679</v>
      </c>
      <c r="B30" s="295" t="s">
        <v>1681</v>
      </c>
      <c r="C30" s="291">
        <v>21380</v>
      </c>
      <c r="D30" s="291">
        <v>19930</v>
      </c>
      <c r="E30" s="291">
        <v>19860</v>
      </c>
      <c r="F30" s="299">
        <v>6010</v>
      </c>
      <c r="H30" s="303"/>
      <c r="M30" s="291" t="s">
        <v>1757</v>
      </c>
      <c r="N30" s="291" t="s">
        <v>1792</v>
      </c>
      <c r="O30" s="291" t="s">
        <v>1841</v>
      </c>
      <c r="P30" s="291" t="s">
        <v>2042</v>
      </c>
      <c r="Q30" s="291" t="s">
        <v>1930</v>
      </c>
    </row>
    <row r="31" spans="1:19" ht="14.25" customHeight="1">
      <c r="A31" s="286" t="s">
        <v>1679</v>
      </c>
      <c r="B31" s="295" t="s">
        <v>1682</v>
      </c>
      <c r="C31" s="291">
        <v>21670</v>
      </c>
      <c r="D31" s="291">
        <v>20660</v>
      </c>
      <c r="E31" s="291">
        <v>20290</v>
      </c>
      <c r="F31" s="299">
        <v>5840</v>
      </c>
      <c r="H31" s="303"/>
      <c r="M31" s="291" t="s">
        <v>1758</v>
      </c>
      <c r="N31" s="291" t="s">
        <v>1793</v>
      </c>
      <c r="O31" s="291" t="s">
        <v>1842</v>
      </c>
      <c r="P31" s="291" t="s">
        <v>1891</v>
      </c>
      <c r="Q31" s="291" t="s">
        <v>1931</v>
      </c>
    </row>
    <row r="32" spans="1:19" ht="14.25" customHeight="1">
      <c r="A32" s="286" t="s">
        <v>1679</v>
      </c>
      <c r="B32" s="295" t="s">
        <v>1683</v>
      </c>
      <c r="C32" s="291">
        <v>22280</v>
      </c>
      <c r="D32" s="291">
        <v>21800</v>
      </c>
      <c r="E32" s="291">
        <v>17650</v>
      </c>
      <c r="F32" s="299">
        <v>4690</v>
      </c>
      <c r="H32" s="303"/>
      <c r="M32" s="291" t="s">
        <v>1759</v>
      </c>
      <c r="N32" s="291" t="s">
        <v>1794</v>
      </c>
      <c r="O32" s="291" t="s">
        <v>1843</v>
      </c>
      <c r="P32" s="291" t="s">
        <v>1892</v>
      </c>
      <c r="Q32" s="291" t="s">
        <v>1932</v>
      </c>
    </row>
    <row r="33" spans="1:17" ht="14.25" customHeight="1">
      <c r="A33" s="286" t="s">
        <v>1679</v>
      </c>
      <c r="B33" s="295" t="s">
        <v>1684</v>
      </c>
      <c r="C33" s="291">
        <v>22130</v>
      </c>
      <c r="D33" s="291">
        <v>20460</v>
      </c>
      <c r="E33" s="291">
        <v>18500</v>
      </c>
      <c r="F33" s="299">
        <v>5340</v>
      </c>
      <c r="H33" s="303"/>
      <c r="M33" s="291" t="s">
        <v>1760</v>
      </c>
      <c r="N33" s="291" t="s">
        <v>1795</v>
      </c>
      <c r="O33" s="291" t="s">
        <v>1844</v>
      </c>
      <c r="P33" s="291" t="s">
        <v>1893</v>
      </c>
      <c r="Q33" s="291" t="s">
        <v>1933</v>
      </c>
    </row>
    <row r="34" spans="1:17" ht="14.25" customHeight="1">
      <c r="A34" s="286" t="s">
        <v>1679</v>
      </c>
      <c r="B34" s="295" t="s">
        <v>1685</v>
      </c>
      <c r="C34" s="291">
        <v>22070</v>
      </c>
      <c r="D34" s="291">
        <v>20110</v>
      </c>
      <c r="E34" s="291">
        <v>18830</v>
      </c>
      <c r="F34" s="299">
        <v>5190</v>
      </c>
      <c r="H34" s="303"/>
      <c r="M34" s="291" t="s">
        <v>1761</v>
      </c>
      <c r="N34" s="291" t="s">
        <v>1796</v>
      </c>
      <c r="O34" s="291" t="s">
        <v>1845</v>
      </c>
      <c r="P34" s="291" t="s">
        <v>1894</v>
      </c>
      <c r="Q34" s="291" t="s">
        <v>1934</v>
      </c>
    </row>
    <row r="35" spans="1:17" ht="14.25" customHeight="1">
      <c r="A35" s="286" t="s">
        <v>1679</v>
      </c>
      <c r="B35" s="295" t="s">
        <v>1686</v>
      </c>
      <c r="C35" s="291">
        <v>22240</v>
      </c>
      <c r="D35" s="291">
        <v>19550</v>
      </c>
      <c r="E35" s="291">
        <v>19220</v>
      </c>
      <c r="F35" s="299">
        <v>5800</v>
      </c>
      <c r="H35" s="303"/>
      <c r="M35" s="291" t="s">
        <v>1762</v>
      </c>
      <c r="N35" s="291" t="s">
        <v>1797</v>
      </c>
      <c r="O35" s="291" t="s">
        <v>1846</v>
      </c>
      <c r="P35" s="291" t="s">
        <v>1895</v>
      </c>
      <c r="Q35" s="291" t="s">
        <v>1935</v>
      </c>
    </row>
    <row r="36" spans="1:17" ht="14.25" customHeight="1">
      <c r="A36" s="286" t="s">
        <v>1679</v>
      </c>
      <c r="B36" s="295" t="s">
        <v>1687</v>
      </c>
      <c r="C36" s="291">
        <v>19750</v>
      </c>
      <c r="D36" s="291">
        <v>19790</v>
      </c>
      <c r="E36" s="291">
        <v>18510</v>
      </c>
      <c r="F36" s="299">
        <v>6520</v>
      </c>
      <c r="H36" s="303"/>
      <c r="N36" s="291" t="s">
        <v>1798</v>
      </c>
      <c r="O36" s="291" t="s">
        <v>1847</v>
      </c>
      <c r="P36" s="291" t="s">
        <v>1896</v>
      </c>
      <c r="Q36" s="291" t="s">
        <v>1936</v>
      </c>
    </row>
    <row r="37" spans="1:17" ht="14.25" customHeight="1">
      <c r="A37" s="286" t="s">
        <v>1679</v>
      </c>
      <c r="B37" s="295" t="s">
        <v>1688</v>
      </c>
      <c r="C37" s="291">
        <v>22380</v>
      </c>
      <c r="D37" s="291">
        <v>18530</v>
      </c>
      <c r="E37" s="291">
        <v>17930</v>
      </c>
      <c r="F37" s="299">
        <v>6270</v>
      </c>
      <c r="H37" s="305"/>
      <c r="N37" s="291" t="s">
        <v>1799</v>
      </c>
      <c r="O37" s="291" t="s">
        <v>1848</v>
      </c>
      <c r="P37" s="291" t="s">
        <v>1897</v>
      </c>
      <c r="Q37" s="291" t="s">
        <v>1937</v>
      </c>
    </row>
    <row r="38" spans="1:17" ht="14.25" customHeight="1">
      <c r="A38" s="286" t="s">
        <v>1679</v>
      </c>
      <c r="B38" s="295" t="s">
        <v>1689</v>
      </c>
      <c r="C38" s="291">
        <v>20200</v>
      </c>
      <c r="D38" s="291">
        <v>20070</v>
      </c>
      <c r="E38" s="291">
        <v>19950</v>
      </c>
      <c r="F38" s="299"/>
      <c r="H38" s="306"/>
      <c r="N38" s="291" t="s">
        <v>1800</v>
      </c>
      <c r="O38" s="291" t="s">
        <v>1849</v>
      </c>
      <c r="P38" s="291" t="s">
        <v>1898</v>
      </c>
      <c r="Q38" s="291" t="s">
        <v>1938</v>
      </c>
    </row>
    <row r="39" spans="1:17" ht="14.25" customHeight="1">
      <c r="A39" s="286" t="s">
        <v>1679</v>
      </c>
      <c r="B39" s="295" t="s">
        <v>1690</v>
      </c>
      <c r="C39" s="291">
        <v>19300</v>
      </c>
      <c r="D39" s="291">
        <v>20360</v>
      </c>
      <c r="E39" s="291">
        <v>20230</v>
      </c>
      <c r="F39" s="299"/>
      <c r="H39" s="306"/>
      <c r="N39" s="291" t="s">
        <v>1801</v>
      </c>
      <c r="O39" s="291" t="s">
        <v>1850</v>
      </c>
      <c r="P39" s="291" t="s">
        <v>1899</v>
      </c>
      <c r="Q39" s="291" t="s">
        <v>1939</v>
      </c>
    </row>
    <row r="40" spans="1:17" ht="14.25" customHeight="1">
      <c r="A40" s="286" t="s">
        <v>1679</v>
      </c>
      <c r="B40" s="295" t="s">
        <v>1691</v>
      </c>
      <c r="C40" s="291">
        <v>20210</v>
      </c>
      <c r="D40" s="291">
        <v>19060</v>
      </c>
      <c r="E40" s="291">
        <v>18890</v>
      </c>
      <c r="F40" s="299"/>
      <c r="H40" s="306"/>
      <c r="N40" s="291" t="s">
        <v>1802</v>
      </c>
      <c r="O40" s="291" t="s">
        <v>1851</v>
      </c>
      <c r="P40" s="291" t="s">
        <v>1900</v>
      </c>
      <c r="Q40" s="291" t="s">
        <v>1940</v>
      </c>
    </row>
    <row r="41" spans="1:17" ht="14.25" customHeight="1">
      <c r="A41" s="286" t="s">
        <v>1679</v>
      </c>
      <c r="B41" s="295" t="s">
        <v>1692</v>
      </c>
      <c r="C41" s="291">
        <v>20560</v>
      </c>
      <c r="D41" s="291">
        <v>21040</v>
      </c>
      <c r="E41" s="291">
        <v>20740</v>
      </c>
      <c r="F41" s="299"/>
      <c r="H41" s="306"/>
      <c r="N41" s="295" t="s">
        <v>1803</v>
      </c>
      <c r="O41" s="295" t="s">
        <v>1852</v>
      </c>
      <c r="Q41" s="295" t="s">
        <v>1941</v>
      </c>
    </row>
    <row r="42" spans="1:17" ht="14.25" customHeight="1">
      <c r="A42" s="286" t="s">
        <v>1679</v>
      </c>
      <c r="B42" s="295" t="s">
        <v>1693</v>
      </c>
      <c r="C42" s="291">
        <v>19280</v>
      </c>
      <c r="D42" s="291">
        <v>22940</v>
      </c>
      <c r="E42" s="291">
        <v>22500</v>
      </c>
      <c r="F42" s="299"/>
      <c r="H42" s="306"/>
      <c r="N42" s="291" t="s">
        <v>1804</v>
      </c>
      <c r="O42" s="291" t="s">
        <v>1853</v>
      </c>
      <c r="Q42" s="291" t="s">
        <v>1942</v>
      </c>
    </row>
    <row r="43" spans="1:17" ht="14.25" customHeight="1">
      <c r="A43" s="286" t="s">
        <v>1679</v>
      </c>
      <c r="B43" s="295" t="s">
        <v>1694</v>
      </c>
      <c r="C43" s="291">
        <v>21520</v>
      </c>
      <c r="D43" s="291">
        <v>19230</v>
      </c>
      <c r="E43" s="291">
        <v>18540</v>
      </c>
      <c r="F43" s="299"/>
      <c r="H43" s="306"/>
      <c r="N43" s="291" t="s">
        <v>1805</v>
      </c>
      <c r="O43" s="291" t="s">
        <v>1854</v>
      </c>
      <c r="Q43" s="291" t="s">
        <v>1943</v>
      </c>
    </row>
    <row r="44" spans="1:17" ht="14.25" customHeight="1">
      <c r="A44" s="286" t="s">
        <v>1679</v>
      </c>
      <c r="B44" s="295" t="s">
        <v>1695</v>
      </c>
      <c r="C44" s="291">
        <v>23260</v>
      </c>
      <c r="D44" s="291">
        <v>21180</v>
      </c>
      <c r="E44" s="291">
        <v>20730</v>
      </c>
      <c r="F44" s="299"/>
      <c r="H44" s="306"/>
      <c r="N44" s="291" t="s">
        <v>1806</v>
      </c>
      <c r="O44" s="291" t="s">
        <v>1855</v>
      </c>
      <c r="Q44" s="291" t="s">
        <v>1944</v>
      </c>
    </row>
    <row r="45" spans="1:17" ht="14.25" customHeight="1">
      <c r="A45" s="286" t="s">
        <v>1679</v>
      </c>
      <c r="B45" s="295" t="s">
        <v>1696</v>
      </c>
      <c r="C45" s="291">
        <v>19610</v>
      </c>
      <c r="D45" s="291">
        <v>18090</v>
      </c>
      <c r="E45" s="291">
        <v>17970</v>
      </c>
      <c r="F45" s="299"/>
      <c r="H45" s="303"/>
      <c r="N45" s="291" t="s">
        <v>1807</v>
      </c>
      <c r="O45" s="291" t="s">
        <v>1856</v>
      </c>
      <c r="Q45" s="291" t="s">
        <v>1945</v>
      </c>
    </row>
    <row r="46" spans="1:17" ht="14.25" customHeight="1">
      <c r="A46" s="286" t="s">
        <v>1679</v>
      </c>
      <c r="B46" s="295" t="s">
        <v>1697</v>
      </c>
      <c r="C46" s="291">
        <v>21660</v>
      </c>
      <c r="D46" s="291">
        <v>19190</v>
      </c>
      <c r="E46" s="291">
        <v>19790</v>
      </c>
      <c r="F46" s="299"/>
      <c r="H46" s="306"/>
      <c r="N46" s="291" t="s">
        <v>1808</v>
      </c>
      <c r="O46" s="291" t="s">
        <v>1857</v>
      </c>
      <c r="Q46" s="291" t="s">
        <v>1946</v>
      </c>
    </row>
    <row r="47" spans="1:17" ht="14.25" customHeight="1">
      <c r="A47" s="286" t="s">
        <v>1679</v>
      </c>
      <c r="B47" s="295" t="s">
        <v>1698</v>
      </c>
      <c r="C47" s="291">
        <v>18220</v>
      </c>
      <c r="D47" s="291"/>
      <c r="E47" s="291">
        <v>17220</v>
      </c>
      <c r="F47" s="299"/>
      <c r="H47" s="306"/>
      <c r="N47" s="291" t="s">
        <v>1809</v>
      </c>
      <c r="O47" s="291" t="s">
        <v>1858</v>
      </c>
    </row>
    <row r="48" spans="1:17" ht="14.25" customHeight="1">
      <c r="A48" s="286" t="s">
        <v>1679</v>
      </c>
      <c r="B48" s="296" t="s">
        <v>1699</v>
      </c>
      <c r="C48" s="297">
        <v>19430</v>
      </c>
      <c r="D48" s="297"/>
      <c r="E48" s="297">
        <v>17830</v>
      </c>
      <c r="F48" s="307"/>
      <c r="H48" s="303"/>
      <c r="N48" s="291" t="s">
        <v>1810</v>
      </c>
      <c r="O48" s="291" t="s">
        <v>1859</v>
      </c>
    </row>
    <row r="49" spans="1:15" ht="14.25" customHeight="1">
      <c r="A49" s="286" t="s">
        <v>1700</v>
      </c>
      <c r="B49" s="287" t="s">
        <v>1701</v>
      </c>
      <c r="C49" s="287">
        <v>17090</v>
      </c>
      <c r="D49" s="287">
        <v>16950</v>
      </c>
      <c r="E49" s="287">
        <v>16310</v>
      </c>
      <c r="F49" s="288">
        <v>4540</v>
      </c>
      <c r="H49" s="306"/>
      <c r="N49" s="291" t="s">
        <v>1811</v>
      </c>
      <c r="O49" s="291" t="s">
        <v>1860</v>
      </c>
    </row>
    <row r="50" spans="1:15" ht="14.25" customHeight="1">
      <c r="A50" s="286" t="s">
        <v>1700</v>
      </c>
      <c r="B50" s="291" t="s">
        <v>1702</v>
      </c>
      <c r="C50" s="291">
        <v>19040</v>
      </c>
      <c r="D50" s="291">
        <v>16960</v>
      </c>
      <c r="E50" s="291">
        <v>14800</v>
      </c>
      <c r="F50" s="299">
        <v>3940</v>
      </c>
      <c r="H50" s="306"/>
    </row>
    <row r="51" spans="1:15" ht="14.25" customHeight="1">
      <c r="A51" s="286" t="s">
        <v>1700</v>
      </c>
      <c r="B51" s="291" t="s">
        <v>1703</v>
      </c>
      <c r="C51" s="291">
        <v>17040</v>
      </c>
      <c r="D51" s="291">
        <v>16930</v>
      </c>
      <c r="E51" s="291">
        <v>15030</v>
      </c>
      <c r="F51" s="299">
        <v>4120</v>
      </c>
      <c r="H51" s="306"/>
    </row>
    <row r="52" spans="1:15" ht="14.25" customHeight="1">
      <c r="A52" s="286" t="s">
        <v>1700</v>
      </c>
      <c r="B52" s="291" t="s">
        <v>1704</v>
      </c>
      <c r="C52" s="291">
        <v>17110</v>
      </c>
      <c r="D52" s="291">
        <v>17750</v>
      </c>
      <c r="E52" s="291">
        <v>17310</v>
      </c>
      <c r="F52" s="299">
        <v>3220</v>
      </c>
      <c r="H52" s="306"/>
    </row>
    <row r="53" spans="1:15" ht="14.25" customHeight="1">
      <c r="A53" s="286" t="s">
        <v>1700</v>
      </c>
      <c r="B53" s="291" t="s">
        <v>1705</v>
      </c>
      <c r="C53" s="291">
        <v>17810</v>
      </c>
      <c r="D53" s="291">
        <v>17260</v>
      </c>
      <c r="E53" s="291">
        <v>17090</v>
      </c>
      <c r="F53" s="299">
        <v>3520</v>
      </c>
      <c r="H53" s="306"/>
    </row>
    <row r="54" spans="1:15" ht="14.25" customHeight="1">
      <c r="A54" s="286" t="s">
        <v>1700</v>
      </c>
      <c r="B54" s="291" t="s">
        <v>1706</v>
      </c>
      <c r="C54" s="291">
        <v>17410</v>
      </c>
      <c r="D54" s="291">
        <v>16780</v>
      </c>
      <c r="E54" s="291">
        <v>16370</v>
      </c>
      <c r="F54" s="299">
        <v>3410</v>
      </c>
      <c r="H54" s="306"/>
    </row>
    <row r="55" spans="1:15" ht="14.25" customHeight="1">
      <c r="A55" s="286" t="s">
        <v>1700</v>
      </c>
      <c r="B55" s="291" t="s">
        <v>1707</v>
      </c>
      <c r="C55" s="291">
        <v>16930</v>
      </c>
      <c r="D55" s="291">
        <v>14720</v>
      </c>
      <c r="E55" s="291">
        <v>15000</v>
      </c>
      <c r="F55" s="299">
        <v>3710</v>
      </c>
      <c r="H55" s="306"/>
    </row>
    <row r="56" spans="1:15" ht="14.25" customHeight="1">
      <c r="A56" s="286" t="s">
        <v>1700</v>
      </c>
      <c r="B56" s="291" t="s">
        <v>1708</v>
      </c>
      <c r="C56" s="291">
        <v>14930</v>
      </c>
      <c r="D56" s="291">
        <v>15850</v>
      </c>
      <c r="E56" s="291">
        <v>14320</v>
      </c>
      <c r="F56" s="299">
        <v>3960</v>
      </c>
      <c r="H56" s="306"/>
    </row>
    <row r="57" spans="1:15" ht="14.25" customHeight="1">
      <c r="A57" s="286" t="s">
        <v>1700</v>
      </c>
      <c r="B57" s="291" t="s">
        <v>1709</v>
      </c>
      <c r="C57" s="291">
        <v>16160</v>
      </c>
      <c r="D57" s="291">
        <v>16190</v>
      </c>
      <c r="E57" s="291">
        <v>15650</v>
      </c>
      <c r="F57" s="299">
        <v>4200</v>
      </c>
      <c r="H57" s="306"/>
    </row>
    <row r="58" spans="1:15" ht="14.25" customHeight="1">
      <c r="A58" s="286" t="s">
        <v>1700</v>
      </c>
      <c r="B58" s="291" t="s">
        <v>1710</v>
      </c>
      <c r="C58" s="291">
        <v>16360</v>
      </c>
      <c r="D58" s="291">
        <v>14050</v>
      </c>
      <c r="E58" s="291">
        <v>16070</v>
      </c>
      <c r="F58" s="299">
        <v>3990</v>
      </c>
      <c r="H58" s="306"/>
    </row>
    <row r="59" spans="1:15" ht="14.25" customHeight="1">
      <c r="A59" s="286" t="s">
        <v>1700</v>
      </c>
      <c r="B59" s="291" t="s">
        <v>1711</v>
      </c>
      <c r="C59" s="291">
        <v>14160</v>
      </c>
      <c r="D59" s="291">
        <v>16620</v>
      </c>
      <c r="E59" s="291">
        <v>13940</v>
      </c>
      <c r="F59" s="299">
        <v>4260</v>
      </c>
      <c r="H59" s="306"/>
    </row>
    <row r="60" spans="1:15" ht="14.25" customHeight="1">
      <c r="A60" s="286" t="s">
        <v>1700</v>
      </c>
      <c r="B60" s="291" t="s">
        <v>1712</v>
      </c>
      <c r="C60" s="291">
        <v>16750</v>
      </c>
      <c r="D60" s="291">
        <v>13910</v>
      </c>
      <c r="E60" s="291">
        <v>16550</v>
      </c>
      <c r="F60" s="299">
        <v>4550</v>
      </c>
      <c r="H60" s="306"/>
    </row>
    <row r="61" spans="1:15" ht="14.25" customHeight="1">
      <c r="A61" s="286" t="s">
        <v>1700</v>
      </c>
      <c r="B61" s="291" t="s">
        <v>1713</v>
      </c>
      <c r="C61" s="291">
        <v>14000</v>
      </c>
      <c r="D61" s="291">
        <v>14550</v>
      </c>
      <c r="E61" s="291">
        <v>13860</v>
      </c>
      <c r="F61" s="308"/>
      <c r="H61" s="306"/>
    </row>
    <row r="62" spans="1:15" ht="14.25" customHeight="1">
      <c r="A62" s="286" t="s">
        <v>1700</v>
      </c>
      <c r="B62" s="291" t="s">
        <v>1714</v>
      </c>
      <c r="C62" s="291">
        <v>14660</v>
      </c>
      <c r="D62" s="291">
        <v>17450</v>
      </c>
      <c r="E62" s="291">
        <v>14470</v>
      </c>
      <c r="F62" s="308"/>
      <c r="H62" s="306"/>
    </row>
    <row r="63" spans="1:15" ht="14.25" customHeight="1">
      <c r="A63" s="286" t="s">
        <v>1700</v>
      </c>
      <c r="B63" s="291" t="s">
        <v>1715</v>
      </c>
      <c r="C63" s="291">
        <v>17610</v>
      </c>
      <c r="D63" s="291">
        <v>16500</v>
      </c>
      <c r="E63" s="291">
        <v>17330</v>
      </c>
      <c r="F63" s="308"/>
      <c r="H63" s="306"/>
    </row>
    <row r="64" spans="1:15" ht="14.25" customHeight="1">
      <c r="A64" s="286" t="s">
        <v>1700</v>
      </c>
      <c r="B64" s="291" t="s">
        <v>1716</v>
      </c>
      <c r="C64" s="291">
        <v>16590</v>
      </c>
      <c r="D64" s="291">
        <v>15130</v>
      </c>
      <c r="E64" s="291">
        <v>16420</v>
      </c>
      <c r="F64" s="308"/>
      <c r="H64" s="306"/>
    </row>
    <row r="65" spans="1:8" s="277" customFormat="1" ht="14.25" customHeight="1">
      <c r="A65" s="286" t="s">
        <v>1700</v>
      </c>
      <c r="B65" s="291" t="s">
        <v>1717</v>
      </c>
      <c r="C65" s="291">
        <v>15220</v>
      </c>
      <c r="D65" s="291">
        <v>14660</v>
      </c>
      <c r="E65" s="291">
        <v>15060</v>
      </c>
      <c r="F65" s="299"/>
      <c r="H65" s="306"/>
    </row>
    <row r="66" spans="1:8" s="277" customFormat="1" ht="14.25" customHeight="1">
      <c r="A66" s="286" t="s">
        <v>1700</v>
      </c>
      <c r="B66" s="291" t="s">
        <v>1718</v>
      </c>
      <c r="C66" s="291">
        <v>14720</v>
      </c>
      <c r="D66" s="291">
        <v>15970</v>
      </c>
      <c r="E66" s="291">
        <v>14610</v>
      </c>
      <c r="F66" s="299"/>
      <c r="H66" s="306"/>
    </row>
    <row r="67" spans="1:8" s="277" customFormat="1" ht="14.25" customHeight="1">
      <c r="A67" s="286" t="s">
        <v>1700</v>
      </c>
      <c r="B67" s="291" t="s">
        <v>1719</v>
      </c>
      <c r="C67" s="291">
        <v>16080</v>
      </c>
      <c r="D67" s="291">
        <v>14840</v>
      </c>
      <c r="E67" s="291">
        <v>15630</v>
      </c>
      <c r="F67" s="299"/>
      <c r="H67" s="306"/>
    </row>
    <row r="68" spans="1:8" s="277" customFormat="1" ht="14.25" customHeight="1">
      <c r="A68" s="286" t="s">
        <v>1700</v>
      </c>
      <c r="B68" s="291" t="s">
        <v>1720</v>
      </c>
      <c r="C68" s="291">
        <v>14940</v>
      </c>
      <c r="D68" s="291">
        <v>18000</v>
      </c>
      <c r="E68" s="291">
        <v>14040</v>
      </c>
      <c r="F68" s="299"/>
      <c r="H68" s="306"/>
    </row>
    <row r="69" spans="1:8" s="277" customFormat="1" ht="14.25" customHeight="1">
      <c r="A69" s="286" t="s">
        <v>1700</v>
      </c>
      <c r="B69" s="291" t="s">
        <v>1721</v>
      </c>
      <c r="C69" s="291">
        <v>18810</v>
      </c>
      <c r="D69" s="291">
        <v>15100</v>
      </c>
      <c r="E69" s="291">
        <v>14710</v>
      </c>
      <c r="F69" s="299"/>
      <c r="H69" s="306"/>
    </row>
    <row r="70" spans="1:8" s="277" customFormat="1" ht="14.25" customHeight="1">
      <c r="A70" s="286" t="s">
        <v>1700</v>
      </c>
      <c r="B70" s="291" t="s">
        <v>1722</v>
      </c>
      <c r="C70" s="291">
        <v>18270</v>
      </c>
      <c r="D70" s="291"/>
      <c r="E70" s="291"/>
      <c r="F70" s="299"/>
      <c r="H70" s="306"/>
    </row>
    <row r="71" spans="1:8" s="277" customFormat="1" ht="14.25" customHeight="1">
      <c r="A71" s="286" t="s">
        <v>1700</v>
      </c>
      <c r="B71" s="291" t="s">
        <v>1723</v>
      </c>
      <c r="C71" s="291">
        <v>15230</v>
      </c>
      <c r="D71" s="291"/>
      <c r="E71" s="291"/>
      <c r="F71" s="299"/>
      <c r="H71" s="306"/>
    </row>
    <row r="72" spans="1:8" s="277" customFormat="1" ht="14.25" customHeight="1">
      <c r="A72" s="286" t="s">
        <v>1700</v>
      </c>
      <c r="B72" s="291" t="s">
        <v>1724</v>
      </c>
      <c r="C72" s="291"/>
      <c r="D72" s="291"/>
      <c r="E72" s="291"/>
      <c r="F72" s="299">
        <v>4120</v>
      </c>
      <c r="H72" s="306"/>
    </row>
    <row r="73" spans="1:8" s="277" customFormat="1" ht="14.25" customHeight="1">
      <c r="A73" s="286" t="s">
        <v>1700</v>
      </c>
      <c r="B73" s="291" t="s">
        <v>1725</v>
      </c>
      <c r="C73" s="291"/>
      <c r="D73" s="291"/>
      <c r="E73" s="291"/>
      <c r="F73" s="299">
        <v>3930</v>
      </c>
      <c r="H73" s="306"/>
    </row>
    <row r="74" spans="1:8" s="277" customFormat="1" ht="14.25" customHeight="1">
      <c r="A74" s="286" t="s">
        <v>1700</v>
      </c>
      <c r="B74" s="291" t="s">
        <v>1726</v>
      </c>
      <c r="C74" s="291"/>
      <c r="D74" s="291"/>
      <c r="E74" s="291"/>
      <c r="F74" s="299">
        <v>4060</v>
      </c>
      <c r="H74" s="306"/>
    </row>
    <row r="75" spans="1:8" s="277" customFormat="1" ht="14.25" customHeight="1">
      <c r="A75" s="286" t="s">
        <v>1700</v>
      </c>
      <c r="B75" s="297" t="s">
        <v>1727</v>
      </c>
      <c r="C75" s="297"/>
      <c r="D75" s="297"/>
      <c r="E75" s="297"/>
      <c r="F75" s="307">
        <v>3750</v>
      </c>
      <c r="H75" s="306"/>
    </row>
    <row r="76" spans="1:8" s="277" customFormat="1" ht="14.25" customHeight="1">
      <c r="A76" s="286" t="s">
        <v>1728</v>
      </c>
      <c r="B76" s="287" t="s">
        <v>1729</v>
      </c>
      <c r="C76" s="287">
        <v>14690</v>
      </c>
      <c r="D76" s="287">
        <v>14640</v>
      </c>
      <c r="E76" s="287">
        <v>14590</v>
      </c>
      <c r="F76" s="288">
        <v>3060</v>
      </c>
      <c r="H76" s="306"/>
    </row>
    <row r="77" spans="1:8" s="277" customFormat="1" ht="14.25" customHeight="1">
      <c r="A77" s="286" t="s">
        <v>1728</v>
      </c>
      <c r="B77" s="291" t="s">
        <v>1730</v>
      </c>
      <c r="C77" s="291">
        <v>12550</v>
      </c>
      <c r="D77" s="291">
        <v>12480</v>
      </c>
      <c r="E77" s="291">
        <v>12450</v>
      </c>
      <c r="F77" s="299">
        <v>2590</v>
      </c>
      <c r="H77" s="306"/>
    </row>
    <row r="78" spans="1:8" s="277" customFormat="1" ht="14.25" customHeight="1">
      <c r="A78" s="286" t="s">
        <v>1728</v>
      </c>
      <c r="B78" s="291" t="s">
        <v>1731</v>
      </c>
      <c r="C78" s="291">
        <v>14360</v>
      </c>
      <c r="D78" s="291">
        <v>14320</v>
      </c>
      <c r="E78" s="291">
        <v>12510</v>
      </c>
      <c r="F78" s="299">
        <v>2700</v>
      </c>
      <c r="H78" s="306"/>
    </row>
    <row r="79" spans="1:8" s="277" customFormat="1" ht="14.25" customHeight="1">
      <c r="A79" s="286" t="s">
        <v>1728</v>
      </c>
      <c r="B79" s="291" t="s">
        <v>1732</v>
      </c>
      <c r="C79" s="291">
        <v>12590</v>
      </c>
      <c r="D79" s="291">
        <v>12540</v>
      </c>
      <c r="E79" s="291">
        <v>12350</v>
      </c>
      <c r="F79" s="299">
        <v>2740</v>
      </c>
      <c r="H79" s="306"/>
    </row>
    <row r="80" spans="1:8" s="277" customFormat="1" ht="14.25" customHeight="1">
      <c r="A80" s="286" t="s">
        <v>1728</v>
      </c>
      <c r="B80" s="291" t="s">
        <v>1733</v>
      </c>
      <c r="C80" s="291">
        <v>12450</v>
      </c>
      <c r="D80" s="291">
        <v>12370</v>
      </c>
      <c r="E80" s="291">
        <v>10790</v>
      </c>
      <c r="F80" s="299">
        <v>2290</v>
      </c>
      <c r="H80" s="306"/>
    </row>
    <row r="81" spans="1:8" s="277" customFormat="1" ht="14.25" customHeight="1">
      <c r="A81" s="286" t="s">
        <v>1728</v>
      </c>
      <c r="B81" s="291" t="s">
        <v>1734</v>
      </c>
      <c r="C81" s="291">
        <v>14210</v>
      </c>
      <c r="D81" s="291">
        <v>14150</v>
      </c>
      <c r="E81" s="291">
        <v>12730</v>
      </c>
      <c r="F81" s="299">
        <v>2240</v>
      </c>
      <c r="H81" s="306"/>
    </row>
    <row r="82" spans="1:8" s="277" customFormat="1" ht="14.25" customHeight="1">
      <c r="A82" s="286" t="s">
        <v>1728</v>
      </c>
      <c r="B82" s="291" t="s">
        <v>1735</v>
      </c>
      <c r="C82" s="291">
        <v>10860</v>
      </c>
      <c r="D82" s="291">
        <v>10820</v>
      </c>
      <c r="E82" s="291">
        <v>14720</v>
      </c>
      <c r="F82" s="299">
        <v>2490</v>
      </c>
      <c r="H82" s="306"/>
    </row>
    <row r="83" spans="1:8" s="277" customFormat="1" ht="14.25" customHeight="1">
      <c r="A83" s="286" t="s">
        <v>1728</v>
      </c>
      <c r="B83" s="291" t="s">
        <v>1736</v>
      </c>
      <c r="C83" s="291">
        <v>12810</v>
      </c>
      <c r="D83" s="291">
        <v>12760</v>
      </c>
      <c r="E83" s="291">
        <v>14830</v>
      </c>
      <c r="F83" s="299">
        <v>2450</v>
      </c>
      <c r="H83" s="306"/>
    </row>
    <row r="84" spans="1:8" s="277" customFormat="1" ht="14.25" customHeight="1">
      <c r="A84" s="286" t="s">
        <v>1728</v>
      </c>
      <c r="B84" s="291" t="s">
        <v>1737</v>
      </c>
      <c r="C84" s="291">
        <v>14950</v>
      </c>
      <c r="D84" s="291">
        <v>14810</v>
      </c>
      <c r="E84" s="291">
        <v>12590</v>
      </c>
      <c r="F84" s="299">
        <v>2540</v>
      </c>
      <c r="H84" s="306"/>
    </row>
    <row r="85" spans="1:8" s="277" customFormat="1" ht="14.25" customHeight="1">
      <c r="A85" s="286" t="s">
        <v>1728</v>
      </c>
      <c r="B85" s="291" t="s">
        <v>1738</v>
      </c>
      <c r="C85" s="291">
        <v>14960</v>
      </c>
      <c r="D85" s="291">
        <v>14890</v>
      </c>
      <c r="E85" s="291">
        <v>12840</v>
      </c>
      <c r="F85" s="299">
        <v>2840</v>
      </c>
      <c r="H85" s="306"/>
    </row>
    <row r="86" spans="1:8" s="277" customFormat="1" ht="14.25" customHeight="1">
      <c r="A86" s="286" t="s">
        <v>1728</v>
      </c>
      <c r="B86" s="291" t="s">
        <v>1739</v>
      </c>
      <c r="C86" s="291">
        <v>12730</v>
      </c>
      <c r="D86" s="291">
        <v>12660</v>
      </c>
      <c r="E86" s="291">
        <v>13310</v>
      </c>
      <c r="F86" s="299">
        <v>3140</v>
      </c>
      <c r="H86" s="306"/>
    </row>
    <row r="87" spans="1:8" s="277" customFormat="1" ht="14.25" customHeight="1">
      <c r="A87" s="286" t="s">
        <v>1728</v>
      </c>
      <c r="B87" s="291" t="s">
        <v>1740</v>
      </c>
      <c r="C87" s="291">
        <v>12940</v>
      </c>
      <c r="D87" s="291">
        <v>12890</v>
      </c>
      <c r="E87" s="291">
        <v>11580</v>
      </c>
      <c r="F87" s="308"/>
      <c r="H87" s="306"/>
    </row>
    <row r="88" spans="1:8" s="277" customFormat="1" ht="14.25" customHeight="1">
      <c r="A88" s="286" t="s">
        <v>1728</v>
      </c>
      <c r="B88" s="291" t="s">
        <v>1741</v>
      </c>
      <c r="C88" s="291">
        <v>13430</v>
      </c>
      <c r="D88" s="291">
        <v>13360</v>
      </c>
      <c r="E88" s="291">
        <v>12790</v>
      </c>
      <c r="F88" s="308"/>
      <c r="H88" s="306"/>
    </row>
    <row r="89" spans="1:8" s="277" customFormat="1" ht="14.25" customHeight="1">
      <c r="A89" s="286" t="s">
        <v>1728</v>
      </c>
      <c r="B89" s="291" t="s">
        <v>1742</v>
      </c>
      <c r="C89" s="291">
        <v>11680</v>
      </c>
      <c r="D89" s="291">
        <v>11630</v>
      </c>
      <c r="E89" s="291">
        <v>11320</v>
      </c>
      <c r="F89" s="308"/>
      <c r="H89" s="306"/>
    </row>
    <row r="90" spans="1:8" s="277" customFormat="1" ht="14.25" customHeight="1">
      <c r="A90" s="286" t="s">
        <v>1728</v>
      </c>
      <c r="B90" s="291" t="s">
        <v>1743</v>
      </c>
      <c r="C90" s="291">
        <v>12890</v>
      </c>
      <c r="D90" s="291">
        <v>12820</v>
      </c>
      <c r="E90" s="291">
        <v>12710</v>
      </c>
      <c r="F90" s="308"/>
      <c r="H90" s="306"/>
    </row>
    <row r="91" spans="1:8" s="277" customFormat="1" ht="14.25" customHeight="1">
      <c r="A91" s="286" t="s">
        <v>1728</v>
      </c>
      <c r="B91" s="291" t="s">
        <v>1744</v>
      </c>
      <c r="C91" s="291">
        <v>11410</v>
      </c>
      <c r="D91" s="291">
        <v>11360</v>
      </c>
      <c r="E91" s="291">
        <v>12670</v>
      </c>
      <c r="F91" s="308"/>
      <c r="H91" s="306"/>
    </row>
    <row r="92" spans="1:8" s="277" customFormat="1" ht="14.25" customHeight="1">
      <c r="A92" s="286" t="s">
        <v>1728</v>
      </c>
      <c r="B92" s="291" t="s">
        <v>1745</v>
      </c>
      <c r="C92" s="291">
        <v>12770</v>
      </c>
      <c r="D92" s="291">
        <v>12740</v>
      </c>
      <c r="E92" s="291">
        <v>11970</v>
      </c>
      <c r="F92" s="308"/>
      <c r="H92" s="306"/>
    </row>
    <row r="93" spans="1:8" s="277" customFormat="1" ht="14.25" customHeight="1">
      <c r="A93" s="286" t="s">
        <v>1728</v>
      </c>
      <c r="B93" s="291" t="s">
        <v>1746</v>
      </c>
      <c r="C93" s="291">
        <v>12740</v>
      </c>
      <c r="D93" s="291">
        <v>12700</v>
      </c>
      <c r="E93" s="291">
        <v>12540</v>
      </c>
      <c r="F93" s="308"/>
      <c r="H93" s="306"/>
    </row>
    <row r="94" spans="1:8" s="277" customFormat="1" ht="14.25" customHeight="1">
      <c r="A94" s="286" t="s">
        <v>1728</v>
      </c>
      <c r="B94" s="291" t="s">
        <v>1747</v>
      </c>
      <c r="C94" s="291">
        <v>12020</v>
      </c>
      <c r="D94" s="291">
        <v>11990</v>
      </c>
      <c r="E94" s="291">
        <v>13110</v>
      </c>
      <c r="F94" s="308"/>
      <c r="H94" s="306"/>
    </row>
    <row r="95" spans="1:8" s="277" customFormat="1" ht="14.25" customHeight="1">
      <c r="A95" s="286" t="s">
        <v>1728</v>
      </c>
      <c r="B95" s="291" t="s">
        <v>1748</v>
      </c>
      <c r="C95" s="291">
        <v>12620</v>
      </c>
      <c r="D95" s="291">
        <v>12580</v>
      </c>
      <c r="E95" s="291">
        <v>13160</v>
      </c>
      <c r="F95" s="299"/>
      <c r="H95" s="306"/>
    </row>
    <row r="96" spans="1:8" s="277" customFormat="1" ht="14.25" customHeight="1">
      <c r="A96" s="286" t="s">
        <v>1728</v>
      </c>
      <c r="B96" s="291" t="s">
        <v>1749</v>
      </c>
      <c r="C96" s="291">
        <v>13200</v>
      </c>
      <c r="D96" s="291">
        <v>13150</v>
      </c>
      <c r="E96" s="291">
        <v>12900</v>
      </c>
      <c r="F96" s="299"/>
      <c r="H96" s="306"/>
    </row>
    <row r="97" spans="1:8" s="277" customFormat="1" ht="14.25" customHeight="1">
      <c r="A97" s="286" t="s">
        <v>1728</v>
      </c>
      <c r="B97" s="291" t="s">
        <v>1750</v>
      </c>
      <c r="C97" s="291">
        <v>13270</v>
      </c>
      <c r="D97" s="291">
        <v>13210</v>
      </c>
      <c r="E97" s="291">
        <v>11080</v>
      </c>
      <c r="F97" s="299"/>
      <c r="H97" s="306"/>
    </row>
    <row r="98" spans="1:8" s="277" customFormat="1" ht="14.25" customHeight="1">
      <c r="A98" s="286" t="s">
        <v>1728</v>
      </c>
      <c r="B98" s="291" t="s">
        <v>1751</v>
      </c>
      <c r="C98" s="291">
        <v>13010</v>
      </c>
      <c r="D98" s="291">
        <v>12930</v>
      </c>
      <c r="E98" s="291">
        <v>12840</v>
      </c>
      <c r="F98" s="299"/>
      <c r="H98" s="306"/>
    </row>
    <row r="99" spans="1:8" s="277" customFormat="1" ht="14.25" customHeight="1">
      <c r="A99" s="286" t="s">
        <v>1728</v>
      </c>
      <c r="B99" s="291" t="s">
        <v>1752</v>
      </c>
      <c r="C99" s="291">
        <v>11190</v>
      </c>
      <c r="D99" s="291">
        <v>11130</v>
      </c>
      <c r="E99" s="291"/>
      <c r="F99" s="299"/>
      <c r="H99" s="306"/>
    </row>
    <row r="100" spans="1:8" s="277" customFormat="1" ht="14.25" customHeight="1">
      <c r="A100" s="286" t="s">
        <v>1728</v>
      </c>
      <c r="B100" s="291" t="s">
        <v>1753</v>
      </c>
      <c r="C100" s="291">
        <v>14280</v>
      </c>
      <c r="D100" s="291">
        <v>14180</v>
      </c>
      <c r="E100" s="291"/>
      <c r="F100" s="299"/>
      <c r="H100" s="306"/>
    </row>
    <row r="101" spans="1:8" s="277" customFormat="1" ht="14.25" customHeight="1">
      <c r="A101" s="286" t="s">
        <v>1728</v>
      </c>
      <c r="B101" s="291" t="s">
        <v>1754</v>
      </c>
      <c r="C101" s="291">
        <v>12960</v>
      </c>
      <c r="D101" s="291">
        <v>12890</v>
      </c>
      <c r="E101" s="291"/>
      <c r="F101" s="299"/>
      <c r="H101" s="306"/>
    </row>
    <row r="102" spans="1:8" s="277" customFormat="1" ht="14.25" customHeight="1">
      <c r="A102" s="286" t="s">
        <v>1728</v>
      </c>
      <c r="B102" s="291" t="s">
        <v>1755</v>
      </c>
      <c r="C102" s="291"/>
      <c r="D102" s="291"/>
      <c r="E102" s="291"/>
      <c r="F102" s="299">
        <v>3100</v>
      </c>
      <c r="H102" s="306"/>
    </row>
    <row r="103" spans="1:8" s="277" customFormat="1" ht="14.25" customHeight="1">
      <c r="A103" s="286" t="s">
        <v>1728</v>
      </c>
      <c r="B103" s="291" t="s">
        <v>1756</v>
      </c>
      <c r="C103" s="291"/>
      <c r="D103" s="291"/>
      <c r="E103" s="291"/>
      <c r="F103" s="299">
        <v>2320</v>
      </c>
      <c r="H103" s="306"/>
    </row>
    <row r="104" spans="1:8" s="277" customFormat="1" ht="14.25" customHeight="1">
      <c r="A104" s="286" t="s">
        <v>1728</v>
      </c>
      <c r="B104" s="291" t="s">
        <v>1757</v>
      </c>
      <c r="C104" s="291"/>
      <c r="D104" s="291"/>
      <c r="E104" s="291"/>
      <c r="F104" s="299">
        <v>2320</v>
      </c>
      <c r="H104" s="306"/>
    </row>
    <row r="105" spans="1:8" s="277" customFormat="1" ht="14.25" customHeight="1">
      <c r="A105" s="286" t="s">
        <v>1728</v>
      </c>
      <c r="B105" s="291" t="s">
        <v>1758</v>
      </c>
      <c r="C105" s="291"/>
      <c r="D105" s="291"/>
      <c r="E105" s="291"/>
      <c r="F105" s="299">
        <v>2320</v>
      </c>
      <c r="H105" s="306"/>
    </row>
    <row r="106" spans="1:8" s="277" customFormat="1" ht="14.25" customHeight="1">
      <c r="A106" s="286" t="s">
        <v>1728</v>
      </c>
      <c r="B106" s="291" t="s">
        <v>1759</v>
      </c>
      <c r="C106" s="291"/>
      <c r="D106" s="291"/>
      <c r="E106" s="291"/>
      <c r="F106" s="299">
        <v>2320</v>
      </c>
      <c r="H106" s="306"/>
    </row>
    <row r="107" spans="1:8" s="277" customFormat="1" ht="14.25" customHeight="1">
      <c r="A107" s="286" t="s">
        <v>1728</v>
      </c>
      <c r="B107" s="291" t="s">
        <v>1760</v>
      </c>
      <c r="C107" s="291"/>
      <c r="D107" s="291"/>
      <c r="E107" s="291"/>
      <c r="F107" s="299">
        <v>2280</v>
      </c>
      <c r="H107" s="306"/>
    </row>
    <row r="108" spans="1:8" s="277" customFormat="1" ht="14.25" customHeight="1">
      <c r="A108" s="286" t="s">
        <v>1728</v>
      </c>
      <c r="B108" s="291" t="s">
        <v>1761</v>
      </c>
      <c r="C108" s="291"/>
      <c r="D108" s="291"/>
      <c r="E108" s="291"/>
      <c r="F108" s="299">
        <v>2280</v>
      </c>
      <c r="H108" s="306"/>
    </row>
    <row r="109" spans="1:8" s="277" customFormat="1" ht="14.25" customHeight="1">
      <c r="A109" s="286" t="s">
        <v>1728</v>
      </c>
      <c r="B109" s="297" t="s">
        <v>1762</v>
      </c>
      <c r="C109" s="297"/>
      <c r="D109" s="297"/>
      <c r="E109" s="297"/>
      <c r="F109" s="307">
        <v>2280</v>
      </c>
      <c r="H109" s="306"/>
    </row>
    <row r="110" spans="1:8" s="277" customFormat="1" ht="14.25" customHeight="1">
      <c r="A110" s="286" t="s">
        <v>1763</v>
      </c>
      <c r="B110" s="287" t="s">
        <v>1764</v>
      </c>
      <c r="C110" s="287">
        <v>10520</v>
      </c>
      <c r="D110" s="287">
        <v>10490</v>
      </c>
      <c r="E110" s="287">
        <v>10760</v>
      </c>
      <c r="F110" s="288">
        <v>2160</v>
      </c>
      <c r="H110" s="306"/>
    </row>
    <row r="111" spans="1:8" s="277" customFormat="1" ht="14.25" customHeight="1">
      <c r="A111" s="286" t="s">
        <v>1763</v>
      </c>
      <c r="B111" s="291" t="s">
        <v>1765</v>
      </c>
      <c r="C111" s="291">
        <v>10090</v>
      </c>
      <c r="D111" s="291">
        <v>10060</v>
      </c>
      <c r="E111" s="291">
        <v>10300</v>
      </c>
      <c r="F111" s="299">
        <v>2010</v>
      </c>
      <c r="H111" s="306"/>
    </row>
    <row r="112" spans="1:8" s="277" customFormat="1" ht="14.25" customHeight="1">
      <c r="A112" s="286" t="s">
        <v>1763</v>
      </c>
      <c r="B112" s="291" t="s">
        <v>1766</v>
      </c>
      <c r="C112" s="291">
        <v>9910</v>
      </c>
      <c r="D112" s="291">
        <v>9850</v>
      </c>
      <c r="E112" s="291">
        <v>9960</v>
      </c>
      <c r="F112" s="299">
        <v>2090</v>
      </c>
      <c r="H112" s="306"/>
    </row>
    <row r="113" spans="1:8" s="277" customFormat="1" ht="14.25" customHeight="1">
      <c r="A113" s="286" t="s">
        <v>1763</v>
      </c>
      <c r="B113" s="291" t="s">
        <v>1767</v>
      </c>
      <c r="C113" s="291">
        <v>11430</v>
      </c>
      <c r="D113" s="291">
        <v>11400</v>
      </c>
      <c r="E113" s="291">
        <v>11710</v>
      </c>
      <c r="F113" s="299">
        <v>2050</v>
      </c>
      <c r="H113" s="306"/>
    </row>
    <row r="114" spans="1:8" s="277" customFormat="1" ht="14.25" customHeight="1">
      <c r="A114" s="286" t="s">
        <v>1763</v>
      </c>
      <c r="B114" s="291" t="s">
        <v>1768</v>
      </c>
      <c r="C114" s="291">
        <v>11390</v>
      </c>
      <c r="D114" s="291">
        <v>11350</v>
      </c>
      <c r="E114" s="291">
        <v>11640</v>
      </c>
      <c r="F114" s="299">
        <v>1620</v>
      </c>
      <c r="H114" s="306"/>
    </row>
    <row r="115" spans="1:8" s="277" customFormat="1" ht="14.25" customHeight="1">
      <c r="A115" s="286" t="s">
        <v>1763</v>
      </c>
      <c r="B115" s="291" t="s">
        <v>1769</v>
      </c>
      <c r="C115" s="291">
        <v>9930</v>
      </c>
      <c r="D115" s="291">
        <v>9900</v>
      </c>
      <c r="E115" s="291">
        <v>10160</v>
      </c>
      <c r="F115" s="299">
        <v>1580</v>
      </c>
      <c r="H115" s="306"/>
    </row>
    <row r="116" spans="1:8" s="277" customFormat="1" ht="14.25" customHeight="1">
      <c r="A116" s="286" t="s">
        <v>1763</v>
      </c>
      <c r="B116" s="291" t="s">
        <v>1770</v>
      </c>
      <c r="C116" s="291">
        <v>9150</v>
      </c>
      <c r="D116" s="291">
        <v>9120</v>
      </c>
      <c r="E116" s="291">
        <v>9380</v>
      </c>
      <c r="F116" s="299">
        <v>1750</v>
      </c>
      <c r="H116" s="306"/>
    </row>
    <row r="117" spans="1:8" s="277" customFormat="1" ht="14.25" customHeight="1">
      <c r="A117" s="286" t="s">
        <v>1763</v>
      </c>
      <c r="B117" s="291" t="s">
        <v>1771</v>
      </c>
      <c r="C117" s="291">
        <v>10680</v>
      </c>
      <c r="D117" s="291">
        <v>10650</v>
      </c>
      <c r="E117" s="291">
        <v>10970</v>
      </c>
      <c r="F117" s="299">
        <v>1730</v>
      </c>
      <c r="H117" s="306"/>
    </row>
    <row r="118" spans="1:8" s="277" customFormat="1" ht="14.25" customHeight="1">
      <c r="A118" s="286" t="s">
        <v>1763</v>
      </c>
      <c r="B118" s="291" t="s">
        <v>1772</v>
      </c>
      <c r="C118" s="291">
        <v>10080</v>
      </c>
      <c r="D118" s="291">
        <v>10050</v>
      </c>
      <c r="E118" s="291">
        <v>10350</v>
      </c>
      <c r="F118" s="299">
        <v>1920</v>
      </c>
      <c r="H118" s="306"/>
    </row>
    <row r="119" spans="1:8" s="277" customFormat="1" ht="14.25" customHeight="1">
      <c r="A119" s="286" t="s">
        <v>1763</v>
      </c>
      <c r="B119" s="291" t="s">
        <v>1773</v>
      </c>
      <c r="C119" s="291">
        <v>9450</v>
      </c>
      <c r="D119" s="291">
        <v>9410</v>
      </c>
      <c r="E119" s="291">
        <v>9680</v>
      </c>
      <c r="F119" s="299">
        <v>1880</v>
      </c>
      <c r="H119" s="306"/>
    </row>
    <row r="120" spans="1:8" s="277" customFormat="1" ht="14.25" customHeight="1">
      <c r="A120" s="286" t="s">
        <v>1763</v>
      </c>
      <c r="B120" s="291" t="s">
        <v>1774</v>
      </c>
      <c r="C120" s="291">
        <v>8730</v>
      </c>
      <c r="D120" s="291">
        <v>8700</v>
      </c>
      <c r="E120" s="291">
        <v>8950</v>
      </c>
      <c r="F120" s="299">
        <v>1830</v>
      </c>
      <c r="H120" s="306"/>
    </row>
    <row r="121" spans="1:8" s="277" customFormat="1" ht="14.25" customHeight="1">
      <c r="A121" s="286" t="s">
        <v>1763</v>
      </c>
      <c r="B121" s="291" t="s">
        <v>1775</v>
      </c>
      <c r="C121" s="291">
        <v>10070</v>
      </c>
      <c r="D121" s="291">
        <v>10040</v>
      </c>
      <c r="E121" s="291">
        <v>10270</v>
      </c>
      <c r="F121" s="299">
        <v>1960</v>
      </c>
      <c r="H121" s="306"/>
    </row>
    <row r="122" spans="1:8" s="277" customFormat="1" ht="14.25" customHeight="1">
      <c r="A122" s="286" t="s">
        <v>1763</v>
      </c>
      <c r="B122" s="291" t="s">
        <v>1776</v>
      </c>
      <c r="C122" s="291">
        <v>10500</v>
      </c>
      <c r="D122" s="291">
        <v>10470</v>
      </c>
      <c r="E122" s="291">
        <v>10780</v>
      </c>
      <c r="F122" s="299">
        <v>2180</v>
      </c>
      <c r="H122" s="306"/>
    </row>
    <row r="123" spans="1:8" s="277" customFormat="1" ht="14.25" customHeight="1">
      <c r="A123" s="286" t="s">
        <v>1763</v>
      </c>
      <c r="B123" s="291" t="s">
        <v>1777</v>
      </c>
      <c r="C123" s="291">
        <v>10390</v>
      </c>
      <c r="D123" s="291">
        <v>10360</v>
      </c>
      <c r="E123" s="291">
        <v>10660</v>
      </c>
      <c r="F123" s="299">
        <v>2040</v>
      </c>
      <c r="H123" s="306"/>
    </row>
    <row r="124" spans="1:8" s="277" customFormat="1" ht="14.25" customHeight="1">
      <c r="A124" s="286" t="s">
        <v>1763</v>
      </c>
      <c r="B124" s="291" t="s">
        <v>1778</v>
      </c>
      <c r="C124" s="291">
        <v>10390</v>
      </c>
      <c r="D124" s="291">
        <v>10360</v>
      </c>
      <c r="E124" s="291">
        <v>10680</v>
      </c>
      <c r="F124" s="308"/>
      <c r="H124" s="306"/>
    </row>
    <row r="125" spans="1:8" s="277" customFormat="1" ht="14.25" customHeight="1">
      <c r="A125" s="286" t="s">
        <v>1763</v>
      </c>
      <c r="B125" s="291" t="s">
        <v>1779</v>
      </c>
      <c r="C125" s="291">
        <v>10440</v>
      </c>
      <c r="D125" s="291">
        <v>10410</v>
      </c>
      <c r="E125" s="291">
        <v>10710</v>
      </c>
      <c r="F125" s="308"/>
      <c r="H125" s="306"/>
    </row>
    <row r="126" spans="1:8" s="277" customFormat="1" ht="14.25" customHeight="1">
      <c r="A126" s="286" t="s">
        <v>1763</v>
      </c>
      <c r="B126" s="291" t="s">
        <v>1780</v>
      </c>
      <c r="C126" s="291">
        <v>10780</v>
      </c>
      <c r="D126" s="291">
        <v>10750</v>
      </c>
      <c r="E126" s="291">
        <v>11080</v>
      </c>
      <c r="F126" s="308"/>
      <c r="H126" s="306"/>
    </row>
    <row r="127" spans="1:8" s="277" customFormat="1" ht="14.25" customHeight="1">
      <c r="A127" s="286" t="s">
        <v>1763</v>
      </c>
      <c r="B127" s="291" t="s">
        <v>1781</v>
      </c>
      <c r="C127" s="291">
        <v>10100</v>
      </c>
      <c r="D127" s="291">
        <v>10070</v>
      </c>
      <c r="E127" s="291">
        <v>10350</v>
      </c>
      <c r="F127" s="308"/>
      <c r="H127" s="306"/>
    </row>
    <row r="128" spans="1:8" s="277" customFormat="1" ht="14.25" customHeight="1">
      <c r="A128" s="286" t="s">
        <v>1763</v>
      </c>
      <c r="B128" s="291" t="s">
        <v>1782</v>
      </c>
      <c r="C128" s="291">
        <v>9200</v>
      </c>
      <c r="D128" s="291">
        <v>9160</v>
      </c>
      <c r="E128" s="291">
        <v>9660</v>
      </c>
      <c r="F128" s="308"/>
      <c r="H128" s="306"/>
    </row>
    <row r="129" spans="1:8" s="277" customFormat="1" ht="14.25" customHeight="1">
      <c r="A129" s="286" t="s">
        <v>1763</v>
      </c>
      <c r="B129" s="291" t="s">
        <v>1783</v>
      </c>
      <c r="C129" s="291">
        <v>10340</v>
      </c>
      <c r="D129" s="291">
        <v>10310</v>
      </c>
      <c r="E129" s="291">
        <v>10580</v>
      </c>
      <c r="F129" s="308"/>
      <c r="H129" s="306"/>
    </row>
    <row r="130" spans="1:8" s="277" customFormat="1" ht="14.25" customHeight="1">
      <c r="A130" s="286" t="s">
        <v>1763</v>
      </c>
      <c r="B130" s="291" t="s">
        <v>1784</v>
      </c>
      <c r="C130" s="291">
        <v>9680</v>
      </c>
      <c r="D130" s="291">
        <v>9660</v>
      </c>
      <c r="E130" s="291">
        <v>9950</v>
      </c>
      <c r="F130" s="308"/>
      <c r="H130" s="306"/>
    </row>
    <row r="131" spans="1:8" s="277" customFormat="1" ht="14.25" customHeight="1">
      <c r="A131" s="286" t="s">
        <v>1763</v>
      </c>
      <c r="B131" s="291" t="s">
        <v>1785</v>
      </c>
      <c r="C131" s="291">
        <v>9540</v>
      </c>
      <c r="D131" s="291">
        <v>9510</v>
      </c>
      <c r="E131" s="291">
        <v>9790</v>
      </c>
      <c r="F131" s="308"/>
      <c r="H131" s="306"/>
    </row>
    <row r="132" spans="1:8" s="277" customFormat="1" ht="14.25" customHeight="1">
      <c r="A132" s="286" t="s">
        <v>1763</v>
      </c>
      <c r="B132" s="291" t="s">
        <v>1786</v>
      </c>
      <c r="C132" s="291">
        <v>9320</v>
      </c>
      <c r="D132" s="291">
        <v>9290</v>
      </c>
      <c r="E132" s="291">
        <v>9570</v>
      </c>
      <c r="F132" s="308"/>
      <c r="H132" s="306"/>
    </row>
    <row r="133" spans="1:8" s="277" customFormat="1" ht="14.25" customHeight="1">
      <c r="A133" s="286" t="s">
        <v>1763</v>
      </c>
      <c r="B133" s="291" t="s">
        <v>1787</v>
      </c>
      <c r="C133" s="291">
        <v>10310</v>
      </c>
      <c r="D133" s="291">
        <v>10280</v>
      </c>
      <c r="E133" s="291">
        <v>10530</v>
      </c>
      <c r="F133" s="308"/>
      <c r="H133" s="306"/>
    </row>
    <row r="134" spans="1:8" s="277" customFormat="1" ht="14.25" customHeight="1">
      <c r="A134" s="286" t="s">
        <v>1763</v>
      </c>
      <c r="B134" s="291" t="s">
        <v>1788</v>
      </c>
      <c r="C134" s="291">
        <v>10370</v>
      </c>
      <c r="D134" s="291">
        <v>10310</v>
      </c>
      <c r="E134" s="291">
        <v>10240</v>
      </c>
      <c r="F134" s="299">
        <v>2060</v>
      </c>
      <c r="H134" s="306"/>
    </row>
    <row r="135" spans="1:8" s="277" customFormat="1" ht="14.25" customHeight="1">
      <c r="A135" s="286" t="s">
        <v>1763</v>
      </c>
      <c r="B135" s="291" t="s">
        <v>1789</v>
      </c>
      <c r="C135" s="291">
        <v>9300</v>
      </c>
      <c r="D135" s="291">
        <v>9270</v>
      </c>
      <c r="E135" s="291">
        <v>9350</v>
      </c>
      <c r="F135" s="308"/>
      <c r="H135" s="306"/>
    </row>
    <row r="136" spans="1:8" s="277" customFormat="1" ht="14.25" customHeight="1">
      <c r="A136" s="286" t="s">
        <v>1763</v>
      </c>
      <c r="B136" s="291" t="s">
        <v>1790</v>
      </c>
      <c r="C136" s="291">
        <v>10160</v>
      </c>
      <c r="D136" s="291">
        <v>10110</v>
      </c>
      <c r="E136" s="291">
        <v>10080</v>
      </c>
      <c r="F136" s="308"/>
      <c r="H136" s="306"/>
    </row>
    <row r="137" spans="1:8" s="277" customFormat="1" ht="14.25" customHeight="1">
      <c r="A137" s="286" t="s">
        <v>1763</v>
      </c>
      <c r="B137" s="291" t="s">
        <v>1791</v>
      </c>
      <c r="C137" s="291">
        <v>9200</v>
      </c>
      <c r="D137" s="291">
        <v>9170</v>
      </c>
      <c r="E137" s="291">
        <v>9450</v>
      </c>
      <c r="F137" s="308"/>
      <c r="H137" s="306"/>
    </row>
    <row r="138" spans="1:8" s="277" customFormat="1" ht="14.25" customHeight="1">
      <c r="A138" s="286" t="s">
        <v>1763</v>
      </c>
      <c r="B138" s="291" t="s">
        <v>1792</v>
      </c>
      <c r="C138" s="291">
        <v>9690</v>
      </c>
      <c r="D138" s="291">
        <v>9660</v>
      </c>
      <c r="E138" s="291">
        <v>9840</v>
      </c>
      <c r="F138" s="308"/>
      <c r="H138" s="306"/>
    </row>
    <row r="139" spans="1:8" s="277" customFormat="1" ht="14.25" customHeight="1">
      <c r="A139" s="286" t="s">
        <v>1763</v>
      </c>
      <c r="B139" s="291" t="s">
        <v>1793</v>
      </c>
      <c r="C139" s="291">
        <v>10290</v>
      </c>
      <c r="D139" s="291">
        <v>10260</v>
      </c>
      <c r="E139" s="291">
        <v>10550</v>
      </c>
      <c r="F139" s="299">
        <v>1700</v>
      </c>
      <c r="H139" s="306"/>
    </row>
    <row r="140" spans="1:8" s="277" customFormat="1" ht="14.25" customHeight="1">
      <c r="A140" s="286" t="s">
        <v>1763</v>
      </c>
      <c r="B140" s="291" t="s">
        <v>1794</v>
      </c>
      <c r="C140" s="291">
        <v>9740</v>
      </c>
      <c r="D140" s="291">
        <v>9710</v>
      </c>
      <c r="E140" s="291">
        <v>10000</v>
      </c>
      <c r="F140" s="299">
        <v>2000</v>
      </c>
      <c r="H140" s="306"/>
    </row>
    <row r="141" spans="1:8" s="277" customFormat="1" ht="14.25" customHeight="1">
      <c r="A141" s="286" t="s">
        <v>1763</v>
      </c>
      <c r="B141" s="291" t="s">
        <v>1795</v>
      </c>
      <c r="C141" s="291">
        <v>9810</v>
      </c>
      <c r="D141" s="291">
        <v>9770</v>
      </c>
      <c r="E141" s="291">
        <v>10060</v>
      </c>
      <c r="F141" s="308"/>
      <c r="H141" s="306"/>
    </row>
    <row r="142" spans="1:8" s="277" customFormat="1" ht="14.25" customHeight="1">
      <c r="A142" s="286" t="s">
        <v>1763</v>
      </c>
      <c r="B142" s="291" t="s">
        <v>1796</v>
      </c>
      <c r="C142" s="291">
        <v>9300</v>
      </c>
      <c r="D142" s="291">
        <v>9270</v>
      </c>
      <c r="E142" s="291">
        <v>9530</v>
      </c>
      <c r="F142" s="308"/>
      <c r="H142" s="306"/>
    </row>
    <row r="143" spans="1:8" s="277" customFormat="1" ht="14.25" customHeight="1">
      <c r="A143" s="286" t="s">
        <v>1763</v>
      </c>
      <c r="B143" s="291" t="s">
        <v>1797</v>
      </c>
      <c r="C143" s="291">
        <v>10080</v>
      </c>
      <c r="D143" s="291">
        <v>10050</v>
      </c>
      <c r="E143" s="291">
        <v>10340</v>
      </c>
      <c r="F143" s="308"/>
      <c r="H143" s="306"/>
    </row>
    <row r="144" spans="1:8" s="277" customFormat="1" ht="14.25" customHeight="1">
      <c r="A144" s="286" t="s">
        <v>1763</v>
      </c>
      <c r="B144" s="291" t="s">
        <v>1798</v>
      </c>
      <c r="C144" s="291">
        <v>9820</v>
      </c>
      <c r="D144" s="291">
        <v>9750</v>
      </c>
      <c r="E144" s="291">
        <v>9900</v>
      </c>
      <c r="F144" s="308"/>
      <c r="H144" s="306"/>
    </row>
    <row r="145" spans="1:8" s="277" customFormat="1" ht="14.25" customHeight="1">
      <c r="A145" s="286" t="s">
        <v>1763</v>
      </c>
      <c r="B145" s="291" t="s">
        <v>1799</v>
      </c>
      <c r="C145" s="291"/>
      <c r="D145" s="291"/>
      <c r="E145" s="291"/>
      <c r="F145" s="299">
        <v>1740</v>
      </c>
      <c r="H145" s="306"/>
    </row>
    <row r="146" spans="1:8" s="277" customFormat="1" ht="14.25" customHeight="1">
      <c r="A146" s="286" t="s">
        <v>1763</v>
      </c>
      <c r="B146" s="291" t="s">
        <v>1800</v>
      </c>
      <c r="C146" s="291"/>
      <c r="D146" s="291"/>
      <c r="E146" s="291"/>
      <c r="F146" s="299">
        <v>1740</v>
      </c>
      <c r="H146" s="306"/>
    </row>
    <row r="147" spans="1:8" s="277" customFormat="1" ht="14.25" customHeight="1">
      <c r="A147" s="286" t="s">
        <v>1763</v>
      </c>
      <c r="B147" s="291" t="s">
        <v>1801</v>
      </c>
      <c r="C147" s="291"/>
      <c r="D147" s="291"/>
      <c r="E147" s="291"/>
      <c r="F147" s="299">
        <v>1740</v>
      </c>
      <c r="H147" s="306"/>
    </row>
    <row r="148" spans="1:8" s="277" customFormat="1" ht="14.25" customHeight="1">
      <c r="A148" s="286" t="s">
        <v>1763</v>
      </c>
      <c r="B148" s="291" t="s">
        <v>1802</v>
      </c>
      <c r="C148" s="291"/>
      <c r="D148" s="291"/>
      <c r="E148" s="291"/>
      <c r="F148" s="299">
        <v>1740</v>
      </c>
      <c r="H148" s="306"/>
    </row>
    <row r="149" spans="1:8" s="277" customFormat="1" ht="14.25" customHeight="1">
      <c r="A149" s="286" t="s">
        <v>1763</v>
      </c>
      <c r="B149" s="291" t="s">
        <v>1803</v>
      </c>
      <c r="C149" s="291"/>
      <c r="D149" s="291"/>
      <c r="E149" s="291"/>
      <c r="F149" s="299">
        <v>1740</v>
      </c>
      <c r="H149" s="306"/>
    </row>
    <row r="150" spans="1:8" s="277" customFormat="1" ht="14.25" customHeight="1">
      <c r="A150" s="286" t="s">
        <v>1763</v>
      </c>
      <c r="B150" s="291" t="s">
        <v>1804</v>
      </c>
      <c r="C150" s="291"/>
      <c r="D150" s="291"/>
      <c r="E150" s="291"/>
      <c r="F150" s="299">
        <v>1610</v>
      </c>
      <c r="H150" s="306"/>
    </row>
    <row r="151" spans="1:8" s="277" customFormat="1" ht="14.25" customHeight="1">
      <c r="A151" s="286" t="s">
        <v>1763</v>
      </c>
      <c r="B151" s="291" t="s">
        <v>1805</v>
      </c>
      <c r="C151" s="291"/>
      <c r="D151" s="291"/>
      <c r="E151" s="291"/>
      <c r="F151" s="299">
        <v>1610</v>
      </c>
      <c r="H151" s="306"/>
    </row>
    <row r="152" spans="1:8" s="277" customFormat="1" ht="14.25" customHeight="1">
      <c r="A152" s="286" t="s">
        <v>1763</v>
      </c>
      <c r="B152" s="291" t="s">
        <v>1806</v>
      </c>
      <c r="C152" s="291"/>
      <c r="D152" s="291"/>
      <c r="E152" s="291"/>
      <c r="F152" s="299">
        <v>1610</v>
      </c>
      <c r="H152" s="306"/>
    </row>
    <row r="153" spans="1:8" s="277" customFormat="1" ht="14.25" customHeight="1">
      <c r="A153" s="286" t="s">
        <v>1763</v>
      </c>
      <c r="B153" s="291" t="s">
        <v>1807</v>
      </c>
      <c r="C153" s="291"/>
      <c r="D153" s="291"/>
      <c r="E153" s="291"/>
      <c r="F153" s="299">
        <v>1610</v>
      </c>
      <c r="H153" s="306"/>
    </row>
    <row r="154" spans="1:8" s="277" customFormat="1" ht="14.25" customHeight="1">
      <c r="A154" s="286" t="s">
        <v>1763</v>
      </c>
      <c r="B154" s="291" t="s">
        <v>1808</v>
      </c>
      <c r="C154" s="291"/>
      <c r="D154" s="291"/>
      <c r="E154" s="291"/>
      <c r="F154" s="299">
        <v>1610</v>
      </c>
      <c r="H154" s="306"/>
    </row>
    <row r="155" spans="1:8" s="277" customFormat="1" ht="14.25" customHeight="1">
      <c r="A155" s="286" t="s">
        <v>1763</v>
      </c>
      <c r="B155" s="291" t="s">
        <v>1809</v>
      </c>
      <c r="C155" s="291"/>
      <c r="D155" s="291"/>
      <c r="E155" s="291"/>
      <c r="F155" s="299">
        <v>1800</v>
      </c>
      <c r="H155" s="306"/>
    </row>
    <row r="156" spans="1:8" s="277" customFormat="1" ht="14.25" customHeight="1">
      <c r="A156" s="286" t="s">
        <v>1763</v>
      </c>
      <c r="B156" s="291" t="s">
        <v>1810</v>
      </c>
      <c r="C156" s="291"/>
      <c r="D156" s="291"/>
      <c r="E156" s="291"/>
      <c r="F156" s="299">
        <v>1910</v>
      </c>
      <c r="H156" s="306"/>
    </row>
    <row r="157" spans="1:8" s="277" customFormat="1" ht="14.25" customHeight="1">
      <c r="A157" s="286" t="s">
        <v>1763</v>
      </c>
      <c r="B157" s="297" t="s">
        <v>1811</v>
      </c>
      <c r="C157" s="297"/>
      <c r="D157" s="297"/>
      <c r="E157" s="297"/>
      <c r="F157" s="307">
        <v>1500</v>
      </c>
      <c r="H157" s="306"/>
    </row>
    <row r="158" spans="1:8" s="277" customFormat="1" ht="14.25" customHeight="1">
      <c r="A158" s="286" t="s">
        <v>1812</v>
      </c>
      <c r="B158" s="287" t="s">
        <v>1813</v>
      </c>
      <c r="C158" s="287">
        <v>8170</v>
      </c>
      <c r="D158" s="287">
        <v>8140</v>
      </c>
      <c r="E158" s="287">
        <v>8590</v>
      </c>
      <c r="F158" s="288">
        <v>1450</v>
      </c>
      <c r="H158" s="306"/>
    </row>
    <row r="159" spans="1:8" s="277" customFormat="1" ht="14.25" customHeight="1">
      <c r="A159" s="286" t="s">
        <v>1812</v>
      </c>
      <c r="B159" s="291" t="s">
        <v>1814</v>
      </c>
      <c r="C159" s="291">
        <v>7410</v>
      </c>
      <c r="D159" s="291">
        <v>7370</v>
      </c>
      <c r="E159" s="291">
        <v>8030</v>
      </c>
      <c r="F159" s="299">
        <v>1510</v>
      </c>
      <c r="H159" s="306"/>
    </row>
    <row r="160" spans="1:8" s="277" customFormat="1" ht="14.25" customHeight="1">
      <c r="A160" s="286" t="s">
        <v>1812</v>
      </c>
      <c r="B160" s="291" t="s">
        <v>1815</v>
      </c>
      <c r="C160" s="291">
        <v>7240</v>
      </c>
      <c r="D160" s="291">
        <v>7210</v>
      </c>
      <c r="E160" s="291">
        <v>7860</v>
      </c>
      <c r="F160" s="299">
        <v>1370</v>
      </c>
      <c r="H160" s="306"/>
    </row>
    <row r="161" spans="1:8" s="277" customFormat="1" ht="14.25" customHeight="1">
      <c r="A161" s="286" t="s">
        <v>1812</v>
      </c>
      <c r="B161" s="291" t="s">
        <v>1816</v>
      </c>
      <c r="C161" s="291">
        <v>7720</v>
      </c>
      <c r="D161" s="291">
        <v>7690</v>
      </c>
      <c r="E161" s="291">
        <v>8200</v>
      </c>
      <c r="F161" s="299">
        <v>1190</v>
      </c>
      <c r="H161" s="306"/>
    </row>
    <row r="162" spans="1:8" s="277" customFormat="1" ht="14.25" customHeight="1">
      <c r="A162" s="286" t="s">
        <v>1812</v>
      </c>
      <c r="B162" s="291" t="s">
        <v>1817</v>
      </c>
      <c r="C162" s="291">
        <v>6900</v>
      </c>
      <c r="D162" s="291">
        <v>6870</v>
      </c>
      <c r="E162" s="291">
        <v>7500</v>
      </c>
      <c r="F162" s="299">
        <v>1390</v>
      </c>
      <c r="H162" s="306"/>
    </row>
    <row r="163" spans="1:8" s="277" customFormat="1" ht="14.25" customHeight="1">
      <c r="A163" s="286" t="s">
        <v>1812</v>
      </c>
      <c r="B163" s="291" t="s">
        <v>1818</v>
      </c>
      <c r="C163" s="291">
        <v>7120</v>
      </c>
      <c r="D163" s="291">
        <v>7090</v>
      </c>
      <c r="E163" s="291">
        <v>7690</v>
      </c>
      <c r="F163" s="299">
        <v>1230</v>
      </c>
      <c r="H163" s="306"/>
    </row>
    <row r="164" spans="1:8" s="277" customFormat="1" ht="14.25" customHeight="1">
      <c r="A164" s="286" t="s">
        <v>1812</v>
      </c>
      <c r="B164" s="291" t="s">
        <v>1819</v>
      </c>
      <c r="C164" s="291">
        <v>6560</v>
      </c>
      <c r="D164" s="291">
        <v>6530</v>
      </c>
      <c r="E164" s="291">
        <v>7110</v>
      </c>
      <c r="F164" s="299">
        <v>1340</v>
      </c>
      <c r="H164" s="306"/>
    </row>
    <row r="165" spans="1:8" s="277" customFormat="1" ht="14.25" customHeight="1">
      <c r="A165" s="286" t="s">
        <v>1812</v>
      </c>
      <c r="B165" s="291" t="s">
        <v>1820</v>
      </c>
      <c r="C165" s="291">
        <v>7450</v>
      </c>
      <c r="D165" s="291">
        <v>7430</v>
      </c>
      <c r="E165" s="291">
        <v>8110</v>
      </c>
      <c r="F165" s="299">
        <v>1290</v>
      </c>
      <c r="H165" s="306"/>
    </row>
    <row r="166" spans="1:8" s="277" customFormat="1" ht="14.25" customHeight="1">
      <c r="A166" s="286" t="s">
        <v>1812</v>
      </c>
      <c r="B166" s="291" t="s">
        <v>1821</v>
      </c>
      <c r="C166" s="291">
        <v>7490</v>
      </c>
      <c r="D166" s="291">
        <v>7460</v>
      </c>
      <c r="E166" s="291">
        <v>8150</v>
      </c>
      <c r="F166" s="299">
        <v>1350</v>
      </c>
      <c r="H166" s="306"/>
    </row>
    <row r="167" spans="1:8" s="277" customFormat="1" ht="14.25" customHeight="1">
      <c r="A167" s="286" t="s">
        <v>1812</v>
      </c>
      <c r="B167" s="291" t="s">
        <v>1822</v>
      </c>
      <c r="C167" s="291">
        <v>7540</v>
      </c>
      <c r="D167" s="291">
        <v>7510</v>
      </c>
      <c r="E167" s="291">
        <v>8030</v>
      </c>
      <c r="F167" s="308"/>
      <c r="H167" s="306"/>
    </row>
    <row r="168" spans="1:8" s="277" customFormat="1" ht="14.25" customHeight="1">
      <c r="A168" s="286" t="s">
        <v>1812</v>
      </c>
      <c r="B168" s="291" t="s">
        <v>1823</v>
      </c>
      <c r="C168" s="291">
        <v>7210</v>
      </c>
      <c r="D168" s="291">
        <v>7180</v>
      </c>
      <c r="E168" s="291">
        <v>7830</v>
      </c>
      <c r="F168" s="308"/>
      <c r="H168" s="306"/>
    </row>
    <row r="169" spans="1:8" s="277" customFormat="1" ht="14.25" customHeight="1">
      <c r="A169" s="286" t="s">
        <v>1812</v>
      </c>
      <c r="B169" s="291" t="s">
        <v>1824</v>
      </c>
      <c r="C169" s="291">
        <v>7040</v>
      </c>
      <c r="D169" s="291">
        <v>7020</v>
      </c>
      <c r="E169" s="291">
        <v>7670</v>
      </c>
      <c r="F169" s="308"/>
      <c r="H169" s="306"/>
    </row>
    <row r="170" spans="1:8" s="277" customFormat="1" ht="14.25" customHeight="1">
      <c r="A170" s="286" t="s">
        <v>1812</v>
      </c>
      <c r="B170" s="291" t="s">
        <v>1825</v>
      </c>
      <c r="C170" s="291">
        <v>8040</v>
      </c>
      <c r="D170" s="291">
        <v>7190</v>
      </c>
      <c r="E170" s="291">
        <v>7850</v>
      </c>
      <c r="F170" s="308"/>
      <c r="H170" s="306"/>
    </row>
    <row r="171" spans="1:8" s="277" customFormat="1" ht="14.25" customHeight="1">
      <c r="A171" s="286" t="s">
        <v>1812</v>
      </c>
      <c r="B171" s="291" t="s">
        <v>1826</v>
      </c>
      <c r="C171" s="291">
        <v>7860</v>
      </c>
      <c r="D171" s="291">
        <v>7720</v>
      </c>
      <c r="E171" s="291">
        <v>8150</v>
      </c>
      <c r="F171" s="299">
        <v>1110</v>
      </c>
      <c r="H171" s="306"/>
    </row>
    <row r="172" spans="1:8" s="277" customFormat="1" ht="14.25" customHeight="1">
      <c r="A172" s="286" t="s">
        <v>1812</v>
      </c>
      <c r="B172" s="291" t="s">
        <v>1827</v>
      </c>
      <c r="C172" s="291">
        <v>7210</v>
      </c>
      <c r="D172" s="291">
        <v>7170</v>
      </c>
      <c r="E172" s="291">
        <v>7320</v>
      </c>
      <c r="F172" s="308"/>
      <c r="H172" s="306"/>
    </row>
    <row r="173" spans="1:8" s="277" customFormat="1" ht="14.25" customHeight="1">
      <c r="A173" s="286" t="s">
        <v>1812</v>
      </c>
      <c r="B173" s="291" t="s">
        <v>1828</v>
      </c>
      <c r="C173" s="291">
        <v>6860</v>
      </c>
      <c r="D173" s="291">
        <v>6810</v>
      </c>
      <c r="E173" s="291">
        <v>7440</v>
      </c>
      <c r="F173" s="308"/>
      <c r="H173" s="306"/>
    </row>
    <row r="174" spans="1:8" s="277" customFormat="1" ht="14.25" customHeight="1">
      <c r="A174" s="286" t="s">
        <v>1812</v>
      </c>
      <c r="B174" s="291" t="s">
        <v>1829</v>
      </c>
      <c r="C174" s="291">
        <v>7120</v>
      </c>
      <c r="D174" s="291">
        <v>7090</v>
      </c>
      <c r="E174" s="291">
        <v>7500</v>
      </c>
      <c r="F174" s="299">
        <v>1490</v>
      </c>
      <c r="H174" s="306"/>
    </row>
    <row r="175" spans="1:8" s="277" customFormat="1" ht="14.25" customHeight="1">
      <c r="A175" s="286" t="s">
        <v>1812</v>
      </c>
      <c r="B175" s="291" t="s">
        <v>1830</v>
      </c>
      <c r="C175" s="291">
        <v>7850</v>
      </c>
      <c r="D175" s="291">
        <v>7820</v>
      </c>
      <c r="E175" s="291">
        <v>8120</v>
      </c>
      <c r="F175" s="299">
        <v>1530</v>
      </c>
      <c r="H175" s="306"/>
    </row>
    <row r="176" spans="1:8" s="277" customFormat="1" ht="14.25" customHeight="1">
      <c r="A176" s="286" t="s">
        <v>1812</v>
      </c>
      <c r="B176" s="291" t="s">
        <v>1831</v>
      </c>
      <c r="C176" s="291">
        <v>7620</v>
      </c>
      <c r="D176" s="291">
        <v>7570</v>
      </c>
      <c r="E176" s="291">
        <v>7990</v>
      </c>
      <c r="F176" s="299">
        <v>1480</v>
      </c>
      <c r="H176" s="306"/>
    </row>
    <row r="177" spans="1:8" s="277" customFormat="1" ht="14.25" customHeight="1">
      <c r="A177" s="286" t="s">
        <v>1812</v>
      </c>
      <c r="B177" s="291" t="s">
        <v>1832</v>
      </c>
      <c r="C177" s="291">
        <v>8590</v>
      </c>
      <c r="D177" s="291">
        <v>8570</v>
      </c>
      <c r="E177" s="291">
        <v>8740</v>
      </c>
      <c r="F177" s="299">
        <v>1540</v>
      </c>
      <c r="H177" s="306"/>
    </row>
    <row r="178" spans="1:8" s="277" customFormat="1" ht="14.25" customHeight="1">
      <c r="A178" s="286" t="s">
        <v>1812</v>
      </c>
      <c r="B178" s="291" t="s">
        <v>1833</v>
      </c>
      <c r="C178" s="291">
        <v>7510</v>
      </c>
      <c r="D178" s="291">
        <v>7470</v>
      </c>
      <c r="E178" s="291">
        <v>8090</v>
      </c>
      <c r="F178" s="299">
        <v>1320</v>
      </c>
      <c r="H178" s="306"/>
    </row>
    <row r="179" spans="1:8" s="277" customFormat="1" ht="14.25" customHeight="1">
      <c r="A179" s="286" t="s">
        <v>1812</v>
      </c>
      <c r="B179" s="291" t="s">
        <v>1834</v>
      </c>
      <c r="C179" s="291">
        <v>6380</v>
      </c>
      <c r="D179" s="291">
        <v>6340</v>
      </c>
      <c r="E179" s="291">
        <v>6810</v>
      </c>
      <c r="F179" s="308"/>
      <c r="H179" s="306"/>
    </row>
    <row r="180" spans="1:8" s="277" customFormat="1" ht="14.25" customHeight="1">
      <c r="A180" s="286" t="s">
        <v>1812</v>
      </c>
      <c r="B180" s="291" t="s">
        <v>1835</v>
      </c>
      <c r="C180" s="291">
        <v>7830</v>
      </c>
      <c r="D180" s="291">
        <v>7800</v>
      </c>
      <c r="E180" s="291">
        <v>7780</v>
      </c>
      <c r="F180" s="299">
        <v>1440</v>
      </c>
      <c r="H180" s="306"/>
    </row>
    <row r="181" spans="1:8" s="277" customFormat="1" ht="14.25" customHeight="1">
      <c r="A181" s="286" t="s">
        <v>1812</v>
      </c>
      <c r="B181" s="291" t="s">
        <v>1836</v>
      </c>
      <c r="C181" s="291">
        <v>7110</v>
      </c>
      <c r="D181" s="291">
        <v>7080</v>
      </c>
      <c r="E181" s="291">
        <v>7730</v>
      </c>
      <c r="F181" s="299">
        <v>1350</v>
      </c>
      <c r="H181" s="306"/>
    </row>
    <row r="182" spans="1:8" s="277" customFormat="1" ht="14.25" customHeight="1">
      <c r="A182" s="286" t="s">
        <v>1812</v>
      </c>
      <c r="B182" s="291" t="s">
        <v>1837</v>
      </c>
      <c r="C182" s="291">
        <v>7310</v>
      </c>
      <c r="D182" s="291">
        <v>7280</v>
      </c>
      <c r="E182" s="291">
        <v>7950</v>
      </c>
      <c r="F182" s="299">
        <v>1220</v>
      </c>
      <c r="H182" s="306"/>
    </row>
    <row r="183" spans="1:8" s="277" customFormat="1" ht="14.25" customHeight="1">
      <c r="A183" s="286" t="s">
        <v>1812</v>
      </c>
      <c r="B183" s="291" t="s">
        <v>1838</v>
      </c>
      <c r="C183" s="291">
        <v>7470</v>
      </c>
      <c r="D183" s="291">
        <v>7440</v>
      </c>
      <c r="E183" s="291">
        <v>7880</v>
      </c>
      <c r="F183" s="308"/>
      <c r="H183" s="306"/>
    </row>
    <row r="184" spans="1:8" s="277" customFormat="1" ht="14.25" customHeight="1">
      <c r="A184" s="286" t="s">
        <v>1812</v>
      </c>
      <c r="B184" s="291" t="s">
        <v>1839</v>
      </c>
      <c r="C184" s="291">
        <v>6960</v>
      </c>
      <c r="D184" s="291">
        <v>6930</v>
      </c>
      <c r="E184" s="291">
        <v>7570</v>
      </c>
      <c r="F184" s="308"/>
      <c r="H184" s="306"/>
    </row>
    <row r="185" spans="1:8" s="277" customFormat="1" ht="14.25" customHeight="1">
      <c r="A185" s="286" t="s">
        <v>1812</v>
      </c>
      <c r="B185" s="291" t="s">
        <v>1840</v>
      </c>
      <c r="C185" s="291">
        <v>7260</v>
      </c>
      <c r="D185" s="291">
        <v>7230</v>
      </c>
      <c r="E185" s="291">
        <v>7710</v>
      </c>
      <c r="F185" s="299">
        <v>1360</v>
      </c>
      <c r="H185" s="306"/>
    </row>
    <row r="186" spans="1:8" s="277" customFormat="1" ht="14.25" customHeight="1">
      <c r="A186" s="286" t="s">
        <v>1812</v>
      </c>
      <c r="B186" s="291" t="s">
        <v>1841</v>
      </c>
      <c r="C186" s="291"/>
      <c r="D186" s="291"/>
      <c r="E186" s="291"/>
      <c r="F186" s="299">
        <v>1560</v>
      </c>
      <c r="H186" s="306"/>
    </row>
    <row r="187" spans="1:8" s="277" customFormat="1" ht="14.25" customHeight="1">
      <c r="A187" s="286" t="s">
        <v>1812</v>
      </c>
      <c r="B187" s="291" t="s">
        <v>1842</v>
      </c>
      <c r="C187" s="291"/>
      <c r="D187" s="291"/>
      <c r="E187" s="291"/>
      <c r="F187" s="299">
        <v>1560</v>
      </c>
      <c r="H187" s="306"/>
    </row>
    <row r="188" spans="1:8" s="277" customFormat="1" ht="14.25" customHeight="1">
      <c r="A188" s="286" t="s">
        <v>1812</v>
      </c>
      <c r="B188" s="291" t="s">
        <v>1843</v>
      </c>
      <c r="C188" s="291"/>
      <c r="D188" s="291"/>
      <c r="E188" s="291"/>
      <c r="F188" s="299">
        <v>1560</v>
      </c>
      <c r="H188" s="306"/>
    </row>
    <row r="189" spans="1:8" s="277" customFormat="1" ht="14.25" customHeight="1">
      <c r="A189" s="286" t="s">
        <v>1812</v>
      </c>
      <c r="B189" s="291" t="s">
        <v>1844</v>
      </c>
      <c r="C189" s="291"/>
      <c r="D189" s="291"/>
      <c r="E189" s="291"/>
      <c r="F189" s="299">
        <v>1320</v>
      </c>
      <c r="H189" s="306"/>
    </row>
    <row r="190" spans="1:8" s="277" customFormat="1" ht="14.25" customHeight="1">
      <c r="A190" s="286" t="s">
        <v>1812</v>
      </c>
      <c r="B190" s="291" t="s">
        <v>1845</v>
      </c>
      <c r="C190" s="291"/>
      <c r="D190" s="291"/>
      <c r="E190" s="291"/>
      <c r="F190" s="299">
        <v>1320</v>
      </c>
      <c r="H190" s="306"/>
    </row>
    <row r="191" spans="1:8" s="277" customFormat="1" ht="14.25" customHeight="1">
      <c r="A191" s="286" t="s">
        <v>1812</v>
      </c>
      <c r="B191" s="291" t="s">
        <v>1846</v>
      </c>
      <c r="C191" s="291"/>
      <c r="D191" s="291"/>
      <c r="E191" s="291"/>
      <c r="F191" s="299">
        <v>1320</v>
      </c>
      <c r="H191" s="306"/>
    </row>
    <row r="192" spans="1:8" s="277" customFormat="1" ht="14.25" customHeight="1">
      <c r="A192" s="286" t="s">
        <v>1812</v>
      </c>
      <c r="B192" s="291" t="s">
        <v>1847</v>
      </c>
      <c r="C192" s="291"/>
      <c r="D192" s="291"/>
      <c r="E192" s="291"/>
      <c r="F192" s="299">
        <v>1100</v>
      </c>
      <c r="H192" s="306"/>
    </row>
    <row r="193" spans="1:8" s="277" customFormat="1" ht="14.25" customHeight="1">
      <c r="A193" s="286" t="s">
        <v>1812</v>
      </c>
      <c r="B193" s="291" t="s">
        <v>1848</v>
      </c>
      <c r="C193" s="291"/>
      <c r="D193" s="291"/>
      <c r="E193" s="291"/>
      <c r="F193" s="299">
        <v>1100</v>
      </c>
      <c r="H193" s="306"/>
    </row>
    <row r="194" spans="1:8" s="277" customFormat="1" ht="14.25" customHeight="1">
      <c r="A194" s="286" t="s">
        <v>1812</v>
      </c>
      <c r="B194" s="291" t="s">
        <v>1849</v>
      </c>
      <c r="C194" s="291"/>
      <c r="D194" s="291"/>
      <c r="E194" s="291"/>
      <c r="F194" s="299">
        <v>1080</v>
      </c>
      <c r="H194" s="306"/>
    </row>
    <row r="195" spans="1:8" s="277" customFormat="1" ht="14.25" customHeight="1">
      <c r="A195" s="286" t="s">
        <v>1812</v>
      </c>
      <c r="B195" s="291" t="s">
        <v>1850</v>
      </c>
      <c r="C195" s="291"/>
      <c r="D195" s="291"/>
      <c r="E195" s="291"/>
      <c r="F195" s="299">
        <v>1270</v>
      </c>
      <c r="H195" s="306"/>
    </row>
    <row r="196" spans="1:8" s="277" customFormat="1" ht="14.25" customHeight="1">
      <c r="A196" s="286" t="s">
        <v>1812</v>
      </c>
      <c r="B196" s="291" t="s">
        <v>1851</v>
      </c>
      <c r="C196" s="291"/>
      <c r="D196" s="291"/>
      <c r="E196" s="291"/>
      <c r="F196" s="299">
        <v>1150</v>
      </c>
      <c r="H196" s="306"/>
    </row>
    <row r="197" spans="1:8" s="277" customFormat="1" ht="14.25" customHeight="1">
      <c r="A197" s="286" t="s">
        <v>1812</v>
      </c>
      <c r="B197" s="291" t="s">
        <v>1852</v>
      </c>
      <c r="C197" s="291"/>
      <c r="D197" s="291"/>
      <c r="E197" s="291"/>
      <c r="F197" s="299">
        <v>1330</v>
      </c>
      <c r="H197" s="306"/>
    </row>
    <row r="198" spans="1:8" s="277" customFormat="1" ht="14.25" customHeight="1">
      <c r="A198" s="286" t="s">
        <v>1812</v>
      </c>
      <c r="B198" s="291" t="s">
        <v>1853</v>
      </c>
      <c r="C198" s="291"/>
      <c r="D198" s="291"/>
      <c r="E198" s="291"/>
      <c r="F198" s="299">
        <v>1170</v>
      </c>
      <c r="H198" s="306"/>
    </row>
    <row r="199" spans="1:8" s="277" customFormat="1" ht="14.25" customHeight="1">
      <c r="A199" s="286" t="s">
        <v>1812</v>
      </c>
      <c r="B199" s="291" t="s">
        <v>1854</v>
      </c>
      <c r="C199" s="291"/>
      <c r="D199" s="291"/>
      <c r="E199" s="291"/>
      <c r="F199" s="299">
        <v>1120</v>
      </c>
      <c r="H199" s="306"/>
    </row>
    <row r="200" spans="1:8" s="277" customFormat="1" ht="14.25" customHeight="1">
      <c r="A200" s="286" t="s">
        <v>1812</v>
      </c>
      <c r="B200" s="291" t="s">
        <v>1855</v>
      </c>
      <c r="C200" s="291"/>
      <c r="D200" s="291"/>
      <c r="E200" s="291"/>
      <c r="F200" s="299">
        <v>1120</v>
      </c>
      <c r="H200" s="306"/>
    </row>
    <row r="201" spans="1:8" s="277" customFormat="1" ht="14.25" customHeight="1">
      <c r="A201" s="286" t="s">
        <v>1812</v>
      </c>
      <c r="B201" s="291" t="s">
        <v>1856</v>
      </c>
      <c r="C201" s="291"/>
      <c r="D201" s="291"/>
      <c r="E201" s="291"/>
      <c r="F201" s="299">
        <v>1540</v>
      </c>
      <c r="H201" s="306"/>
    </row>
    <row r="202" spans="1:8" s="277" customFormat="1" ht="14.25" customHeight="1">
      <c r="A202" s="286" t="s">
        <v>1812</v>
      </c>
      <c r="B202" s="291" t="s">
        <v>1857</v>
      </c>
      <c r="C202" s="291"/>
      <c r="D202" s="291"/>
      <c r="E202" s="291"/>
      <c r="F202" s="299">
        <v>1310</v>
      </c>
      <c r="H202" s="306"/>
    </row>
    <row r="203" spans="1:8" s="277" customFormat="1" ht="14.25" customHeight="1">
      <c r="A203" s="286" t="s">
        <v>1812</v>
      </c>
      <c r="B203" s="291" t="s">
        <v>1858</v>
      </c>
      <c r="C203" s="291"/>
      <c r="D203" s="291"/>
      <c r="E203" s="291"/>
      <c r="F203" s="299">
        <v>1310</v>
      </c>
      <c r="H203" s="306"/>
    </row>
    <row r="204" spans="1:8" s="277" customFormat="1" ht="14.25" customHeight="1">
      <c r="A204" s="286" t="s">
        <v>1812</v>
      </c>
      <c r="B204" s="291" t="s">
        <v>1859</v>
      </c>
      <c r="C204" s="291"/>
      <c r="D204" s="291"/>
      <c r="E204" s="291"/>
      <c r="F204" s="299">
        <v>1080</v>
      </c>
      <c r="H204" s="306"/>
    </row>
    <row r="205" spans="1:8" s="277" customFormat="1" ht="14.25" customHeight="1">
      <c r="A205" s="286" t="s">
        <v>1812</v>
      </c>
      <c r="B205" s="291" t="s">
        <v>1860</v>
      </c>
      <c r="C205" s="291"/>
      <c r="D205" s="291"/>
      <c r="E205" s="291"/>
      <c r="F205" s="299">
        <v>1080</v>
      </c>
      <c r="H205" s="306"/>
    </row>
    <row r="206" spans="1:8" s="277" customFormat="1" ht="14.25" customHeight="1">
      <c r="A206" s="286" t="s">
        <v>1861</v>
      </c>
      <c r="B206" s="287" t="s">
        <v>1862</v>
      </c>
      <c r="C206" s="287">
        <v>5450</v>
      </c>
      <c r="D206" s="287">
        <v>5430</v>
      </c>
      <c r="E206" s="287">
        <v>5700</v>
      </c>
      <c r="F206" s="288">
        <v>1020</v>
      </c>
      <c r="H206" s="306"/>
    </row>
    <row r="207" spans="1:8" s="277" customFormat="1" ht="14.25" customHeight="1">
      <c r="A207" s="286" t="s">
        <v>1861</v>
      </c>
      <c r="B207" s="291" t="s">
        <v>1863</v>
      </c>
      <c r="C207" s="291">
        <v>5860</v>
      </c>
      <c r="D207" s="291">
        <v>5820</v>
      </c>
      <c r="E207" s="291">
        <v>6050</v>
      </c>
      <c r="F207" s="299">
        <v>1080</v>
      </c>
      <c r="H207" s="306"/>
    </row>
    <row r="208" spans="1:8" s="277" customFormat="1" ht="14.25" customHeight="1">
      <c r="A208" s="286" t="s">
        <v>1861</v>
      </c>
      <c r="B208" s="291" t="s">
        <v>1864</v>
      </c>
      <c r="C208" s="291">
        <v>4630</v>
      </c>
      <c r="D208" s="291">
        <v>4600</v>
      </c>
      <c r="E208" s="291">
        <v>4840</v>
      </c>
      <c r="F208" s="299">
        <v>900</v>
      </c>
      <c r="H208" s="306"/>
    </row>
    <row r="209" spans="1:8" s="277" customFormat="1" ht="14.25" customHeight="1">
      <c r="A209" s="286" t="s">
        <v>1861</v>
      </c>
      <c r="B209" s="291" t="s">
        <v>1865</v>
      </c>
      <c r="C209" s="291">
        <v>5320</v>
      </c>
      <c r="D209" s="291">
        <v>5270</v>
      </c>
      <c r="E209" s="291">
        <v>5540</v>
      </c>
      <c r="F209" s="299">
        <v>980</v>
      </c>
      <c r="H209" s="306"/>
    </row>
    <row r="210" spans="1:8" s="277" customFormat="1" ht="14.25" customHeight="1">
      <c r="A210" s="286" t="s">
        <v>1861</v>
      </c>
      <c r="B210" s="291" t="s">
        <v>1866</v>
      </c>
      <c r="C210" s="291">
        <v>5760</v>
      </c>
      <c r="D210" s="291">
        <v>5710</v>
      </c>
      <c r="E210" s="291">
        <v>6010</v>
      </c>
      <c r="F210" s="299">
        <v>870</v>
      </c>
      <c r="H210" s="306"/>
    </row>
    <row r="211" spans="1:8" s="277" customFormat="1" ht="14.25" customHeight="1">
      <c r="A211" s="286" t="s">
        <v>1861</v>
      </c>
      <c r="B211" s="291" t="s">
        <v>1867</v>
      </c>
      <c r="C211" s="291">
        <v>4160</v>
      </c>
      <c r="D211" s="291">
        <v>4100</v>
      </c>
      <c r="E211" s="291">
        <v>4270</v>
      </c>
      <c r="F211" s="299">
        <v>790</v>
      </c>
      <c r="H211" s="306"/>
    </row>
    <row r="212" spans="1:8" s="277" customFormat="1" ht="14.25" customHeight="1">
      <c r="A212" s="286" t="s">
        <v>1861</v>
      </c>
      <c r="B212" s="291" t="s">
        <v>1868</v>
      </c>
      <c r="C212" s="291">
        <v>4880</v>
      </c>
      <c r="D212" s="291">
        <v>4850</v>
      </c>
      <c r="E212" s="291">
        <v>5110</v>
      </c>
      <c r="F212" s="299">
        <v>940</v>
      </c>
      <c r="H212" s="306"/>
    </row>
    <row r="213" spans="1:8" s="277" customFormat="1" ht="14.25" customHeight="1">
      <c r="A213" s="286" t="s">
        <v>1861</v>
      </c>
      <c r="B213" s="291" t="s">
        <v>1869</v>
      </c>
      <c r="C213" s="291">
        <v>4640</v>
      </c>
      <c r="D213" s="291">
        <v>4590</v>
      </c>
      <c r="E213" s="291">
        <v>4700</v>
      </c>
      <c r="F213" s="299">
        <v>1030</v>
      </c>
      <c r="H213" s="306"/>
    </row>
    <row r="214" spans="1:8" s="277" customFormat="1" ht="14.25" customHeight="1">
      <c r="A214" s="286" t="s">
        <v>1861</v>
      </c>
      <c r="B214" s="291" t="s">
        <v>1870</v>
      </c>
      <c r="C214" s="291">
        <v>4540</v>
      </c>
      <c r="D214" s="291">
        <v>4490</v>
      </c>
      <c r="E214" s="291">
        <v>4610</v>
      </c>
      <c r="F214" s="308"/>
      <c r="H214" s="306"/>
    </row>
    <row r="215" spans="1:8" s="277" customFormat="1" ht="14.25" customHeight="1">
      <c r="A215" s="286" t="s">
        <v>1861</v>
      </c>
      <c r="B215" s="291" t="s">
        <v>1871</v>
      </c>
      <c r="C215" s="291">
        <v>5280</v>
      </c>
      <c r="D215" s="291">
        <v>5250</v>
      </c>
      <c r="E215" s="291">
        <v>5520</v>
      </c>
      <c r="F215" s="299">
        <v>1000</v>
      </c>
      <c r="H215" s="306"/>
    </row>
    <row r="216" spans="1:8" s="277" customFormat="1" ht="14.25" customHeight="1">
      <c r="A216" s="286" t="s">
        <v>1861</v>
      </c>
      <c r="B216" s="291" t="s">
        <v>1872</v>
      </c>
      <c r="C216" s="291">
        <v>5100</v>
      </c>
      <c r="D216" s="291">
        <v>5050</v>
      </c>
      <c r="E216" s="291">
        <v>5300</v>
      </c>
      <c r="F216" s="299">
        <v>950</v>
      </c>
      <c r="H216" s="306"/>
    </row>
    <row r="217" spans="1:8" s="277" customFormat="1" ht="14.25" customHeight="1">
      <c r="A217" s="286" t="s">
        <v>1861</v>
      </c>
      <c r="B217" s="291" t="s">
        <v>1873</v>
      </c>
      <c r="C217" s="291">
        <v>5370</v>
      </c>
      <c r="D217" s="291">
        <v>5320</v>
      </c>
      <c r="E217" s="291">
        <v>5410</v>
      </c>
      <c r="F217" s="299">
        <v>950</v>
      </c>
      <c r="H217" s="306"/>
    </row>
    <row r="218" spans="1:8" s="277" customFormat="1" ht="14.25" customHeight="1">
      <c r="A218" s="286" t="s">
        <v>1861</v>
      </c>
      <c r="B218" s="291" t="s">
        <v>1874</v>
      </c>
      <c r="C218" s="291">
        <v>5540</v>
      </c>
      <c r="D218" s="291">
        <v>5480</v>
      </c>
      <c r="E218" s="291">
        <v>5740</v>
      </c>
      <c r="F218" s="299">
        <v>1020</v>
      </c>
      <c r="H218" s="306"/>
    </row>
    <row r="219" spans="1:8" s="277" customFormat="1" ht="14.25" customHeight="1">
      <c r="A219" s="286" t="s">
        <v>1861</v>
      </c>
      <c r="B219" s="291" t="s">
        <v>1875</v>
      </c>
      <c r="C219" s="291">
        <v>5140</v>
      </c>
      <c r="D219" s="291">
        <v>5100</v>
      </c>
      <c r="E219" s="291">
        <v>5350</v>
      </c>
      <c r="F219" s="299">
        <v>1120</v>
      </c>
      <c r="H219" s="306"/>
    </row>
    <row r="220" spans="1:8" s="277" customFormat="1" ht="14.25" customHeight="1">
      <c r="A220" s="286" t="s">
        <v>1861</v>
      </c>
      <c r="B220" s="291" t="s">
        <v>1876</v>
      </c>
      <c r="C220" s="291">
        <v>5040</v>
      </c>
      <c r="D220" s="291">
        <v>5000</v>
      </c>
      <c r="E220" s="291">
        <v>5240</v>
      </c>
      <c r="F220" s="299">
        <v>980</v>
      </c>
      <c r="H220" s="306"/>
    </row>
    <row r="221" spans="1:8" s="277" customFormat="1" ht="14.25" customHeight="1">
      <c r="A221" s="286" t="s">
        <v>1861</v>
      </c>
      <c r="B221" s="291" t="s">
        <v>1877</v>
      </c>
      <c r="C221" s="311"/>
      <c r="D221" s="311"/>
      <c r="E221" s="311"/>
      <c r="F221" s="299">
        <v>1070</v>
      </c>
      <c r="H221" s="306"/>
    </row>
    <row r="222" spans="1:8" s="277" customFormat="1" ht="14.25" customHeight="1">
      <c r="A222" s="286" t="s">
        <v>1861</v>
      </c>
      <c r="B222" s="291" t="s">
        <v>1878</v>
      </c>
      <c r="C222" s="311"/>
      <c r="D222" s="311"/>
      <c r="E222" s="311"/>
      <c r="F222" s="299">
        <v>870</v>
      </c>
      <c r="H222" s="306"/>
    </row>
    <row r="223" spans="1:8" s="277" customFormat="1" ht="14.25" customHeight="1">
      <c r="A223" s="286" t="s">
        <v>1861</v>
      </c>
      <c r="B223" s="291" t="s">
        <v>1879</v>
      </c>
      <c r="C223" s="311"/>
      <c r="D223" s="311"/>
      <c r="E223" s="311"/>
      <c r="F223" s="299">
        <v>940</v>
      </c>
      <c r="H223" s="306"/>
    </row>
    <row r="224" spans="1:8" s="277" customFormat="1" ht="14.25" customHeight="1">
      <c r="A224" s="286" t="s">
        <v>1861</v>
      </c>
      <c r="B224" s="291" t="s">
        <v>1880</v>
      </c>
      <c r="C224" s="311"/>
      <c r="D224" s="311"/>
      <c r="E224" s="311"/>
      <c r="F224" s="299">
        <v>990</v>
      </c>
      <c r="H224" s="306"/>
    </row>
    <row r="225" spans="1:8" s="277" customFormat="1" ht="14.25" customHeight="1">
      <c r="A225" s="286" t="s">
        <v>1861</v>
      </c>
      <c r="B225" s="291" t="s">
        <v>1881</v>
      </c>
      <c r="C225" s="291">
        <v>5730</v>
      </c>
      <c r="D225" s="291">
        <v>5680</v>
      </c>
      <c r="E225" s="291">
        <v>6020</v>
      </c>
      <c r="F225" s="299">
        <v>1000</v>
      </c>
      <c r="H225" s="306"/>
    </row>
    <row r="226" spans="1:8" s="277" customFormat="1" ht="14.25" customHeight="1">
      <c r="A226" s="286" t="s">
        <v>1861</v>
      </c>
      <c r="B226" s="291" t="s">
        <v>1882</v>
      </c>
      <c r="C226" s="291">
        <v>4970</v>
      </c>
      <c r="D226" s="291">
        <v>4940</v>
      </c>
      <c r="E226" s="291">
        <v>5180</v>
      </c>
      <c r="F226" s="299">
        <v>960</v>
      </c>
      <c r="H226" s="306"/>
    </row>
    <row r="227" spans="1:8" s="277" customFormat="1" ht="14.25" customHeight="1">
      <c r="A227" s="286" t="s">
        <v>1861</v>
      </c>
      <c r="B227" s="291" t="s">
        <v>1883</v>
      </c>
      <c r="C227" s="291">
        <v>5550</v>
      </c>
      <c r="D227" s="291">
        <v>5500</v>
      </c>
      <c r="E227" s="291">
        <v>5780</v>
      </c>
      <c r="F227" s="299">
        <v>940</v>
      </c>
      <c r="H227" s="306"/>
    </row>
    <row r="228" spans="1:8" s="277" customFormat="1" ht="14.25" customHeight="1">
      <c r="A228" s="286" t="s">
        <v>1861</v>
      </c>
      <c r="B228" s="291" t="s">
        <v>1884</v>
      </c>
      <c r="C228" s="291">
        <v>5460</v>
      </c>
      <c r="D228" s="291">
        <v>5420</v>
      </c>
      <c r="E228" s="291">
        <v>5690</v>
      </c>
      <c r="F228" s="299">
        <v>910</v>
      </c>
      <c r="H228" s="306"/>
    </row>
    <row r="229" spans="1:8" s="277" customFormat="1" ht="14.25" customHeight="1">
      <c r="A229" s="286" t="s">
        <v>1861</v>
      </c>
      <c r="B229" s="291" t="s">
        <v>1885</v>
      </c>
      <c r="C229" s="291">
        <v>5310</v>
      </c>
      <c r="D229" s="291">
        <v>5270</v>
      </c>
      <c r="E229" s="291">
        <v>5510</v>
      </c>
      <c r="F229" s="308"/>
      <c r="H229" s="306"/>
    </row>
    <row r="230" spans="1:8" s="277" customFormat="1" ht="14.25" customHeight="1">
      <c r="A230" s="286" t="s">
        <v>1861</v>
      </c>
      <c r="B230" s="291" t="s">
        <v>1886</v>
      </c>
      <c r="C230" s="291">
        <v>4540</v>
      </c>
      <c r="D230" s="291">
        <v>4500</v>
      </c>
      <c r="E230" s="291">
        <v>4730</v>
      </c>
      <c r="F230" s="308"/>
      <c r="H230" s="306"/>
    </row>
    <row r="231" spans="1:8" s="277" customFormat="1" ht="14.25" customHeight="1">
      <c r="A231" s="286" t="s">
        <v>1861</v>
      </c>
      <c r="B231" s="291" t="s">
        <v>1887</v>
      </c>
      <c r="C231" s="291">
        <v>4480</v>
      </c>
      <c r="D231" s="291">
        <v>4410</v>
      </c>
      <c r="E231" s="291">
        <v>4640</v>
      </c>
      <c r="F231" s="308"/>
      <c r="H231" s="306"/>
    </row>
    <row r="232" spans="1:8" s="277" customFormat="1" ht="14.25" customHeight="1">
      <c r="A232" s="286" t="s">
        <v>1861</v>
      </c>
      <c r="B232" s="291" t="s">
        <v>1888</v>
      </c>
      <c r="C232" s="291">
        <v>5670</v>
      </c>
      <c r="D232" s="291">
        <v>5600</v>
      </c>
      <c r="E232" s="291">
        <v>5890</v>
      </c>
      <c r="F232" s="299">
        <v>1150</v>
      </c>
      <c r="H232" s="306"/>
    </row>
    <row r="233" spans="1:8" s="277" customFormat="1" ht="14.25" customHeight="1">
      <c r="A233" s="286" t="s">
        <v>1861</v>
      </c>
      <c r="B233" s="291" t="s">
        <v>1889</v>
      </c>
      <c r="C233" s="291">
        <v>4590</v>
      </c>
      <c r="D233" s="291">
        <v>4500</v>
      </c>
      <c r="E233" s="291">
        <v>4600</v>
      </c>
      <c r="F233" s="308"/>
      <c r="H233" s="306"/>
    </row>
    <row r="234" spans="1:8" s="277" customFormat="1" ht="14.25" customHeight="1">
      <c r="A234" s="286" t="s">
        <v>1861</v>
      </c>
      <c r="B234" s="291" t="s">
        <v>2042</v>
      </c>
      <c r="C234" s="291">
        <v>3990</v>
      </c>
      <c r="D234" s="291">
        <v>3950</v>
      </c>
      <c r="E234" s="291">
        <v>4180</v>
      </c>
      <c r="F234" s="308"/>
      <c r="H234" s="306"/>
    </row>
    <row r="235" spans="1:8" s="277" customFormat="1" ht="14.25" customHeight="1">
      <c r="A235" s="286" t="s">
        <v>1861</v>
      </c>
      <c r="B235" s="291" t="s">
        <v>1891</v>
      </c>
      <c r="C235" s="291">
        <v>5590</v>
      </c>
      <c r="D235" s="291">
        <v>5540</v>
      </c>
      <c r="E235" s="291">
        <v>5810</v>
      </c>
      <c r="F235" s="299">
        <v>970</v>
      </c>
      <c r="H235" s="306"/>
    </row>
    <row r="236" spans="1:8" s="277" customFormat="1" ht="14.25" customHeight="1">
      <c r="A236" s="286" t="s">
        <v>1861</v>
      </c>
      <c r="B236" s="291" t="s">
        <v>1892</v>
      </c>
      <c r="C236" s="291"/>
      <c r="D236" s="291"/>
      <c r="E236" s="291"/>
      <c r="F236" s="299">
        <v>1020</v>
      </c>
      <c r="H236" s="306"/>
    </row>
    <row r="237" spans="1:8" s="277" customFormat="1" ht="14.25" customHeight="1">
      <c r="A237" s="286" t="s">
        <v>1861</v>
      </c>
      <c r="B237" s="291" t="s">
        <v>1893</v>
      </c>
      <c r="C237" s="291"/>
      <c r="D237" s="291"/>
      <c r="E237" s="291"/>
      <c r="F237" s="299">
        <v>960</v>
      </c>
      <c r="H237" s="306"/>
    </row>
    <row r="238" spans="1:8" s="277" customFormat="1" ht="14.25" customHeight="1">
      <c r="A238" s="286" t="s">
        <v>1861</v>
      </c>
      <c r="B238" s="291" t="s">
        <v>1894</v>
      </c>
      <c r="C238" s="291"/>
      <c r="D238" s="291"/>
      <c r="E238" s="291"/>
      <c r="F238" s="299">
        <v>960</v>
      </c>
      <c r="H238" s="306"/>
    </row>
    <row r="239" spans="1:8" s="277" customFormat="1" ht="14.25" customHeight="1">
      <c r="A239" s="286" t="s">
        <v>1861</v>
      </c>
      <c r="B239" s="291" t="s">
        <v>1895</v>
      </c>
      <c r="C239" s="291"/>
      <c r="D239" s="291"/>
      <c r="E239" s="291"/>
      <c r="F239" s="299">
        <v>960</v>
      </c>
      <c r="H239" s="306"/>
    </row>
    <row r="240" spans="1:8" s="277" customFormat="1" ht="14.25" customHeight="1">
      <c r="A240" s="286" t="s">
        <v>1861</v>
      </c>
      <c r="B240" s="291" t="s">
        <v>1896</v>
      </c>
      <c r="C240" s="291"/>
      <c r="D240" s="291"/>
      <c r="E240" s="291"/>
      <c r="F240" s="299">
        <v>990</v>
      </c>
      <c r="H240" s="306"/>
    </row>
    <row r="241" spans="1:8" s="277" customFormat="1" ht="14.25" customHeight="1">
      <c r="A241" s="286" t="s">
        <v>1861</v>
      </c>
      <c r="B241" s="291" t="s">
        <v>1897</v>
      </c>
      <c r="C241" s="291"/>
      <c r="D241" s="291"/>
      <c r="E241" s="291"/>
      <c r="F241" s="299">
        <v>1000</v>
      </c>
      <c r="H241" s="306"/>
    </row>
    <row r="242" spans="1:8" s="277" customFormat="1" ht="14.25" customHeight="1">
      <c r="A242" s="286" t="s">
        <v>1861</v>
      </c>
      <c r="B242" s="291" t="s">
        <v>1898</v>
      </c>
      <c r="C242" s="291"/>
      <c r="D242" s="291"/>
      <c r="E242" s="291"/>
      <c r="F242" s="299">
        <v>980</v>
      </c>
      <c r="H242" s="306"/>
    </row>
    <row r="243" spans="1:8" s="277" customFormat="1" ht="14.25" customHeight="1">
      <c r="A243" s="286" t="s">
        <v>1861</v>
      </c>
      <c r="B243" s="291" t="s">
        <v>1899</v>
      </c>
      <c r="C243" s="291"/>
      <c r="D243" s="291"/>
      <c r="E243" s="291"/>
      <c r="F243" s="299">
        <v>970</v>
      </c>
      <c r="H243" s="306"/>
    </row>
    <row r="244" spans="1:8" s="277" customFormat="1" ht="14.25" customHeight="1">
      <c r="A244" s="286" t="s">
        <v>1861</v>
      </c>
      <c r="B244" s="297" t="s">
        <v>1900</v>
      </c>
      <c r="C244" s="297"/>
      <c r="D244" s="297"/>
      <c r="E244" s="297"/>
      <c r="F244" s="307">
        <v>970</v>
      </c>
      <c r="H244" s="306"/>
    </row>
    <row r="245" spans="1:8" s="277" customFormat="1" ht="14.25" customHeight="1">
      <c r="A245" s="286" t="s">
        <v>1901</v>
      </c>
      <c r="B245" s="287" t="s">
        <v>1902</v>
      </c>
      <c r="C245" s="287">
        <v>4050</v>
      </c>
      <c r="D245" s="287">
        <v>4020</v>
      </c>
      <c r="E245" s="287">
        <v>4160</v>
      </c>
      <c r="F245" s="288">
        <v>840</v>
      </c>
      <c r="H245" s="306"/>
    </row>
    <row r="246" spans="1:8" s="277" customFormat="1" ht="14.25" customHeight="1">
      <c r="A246" s="286" t="s">
        <v>1901</v>
      </c>
      <c r="B246" s="291" t="s">
        <v>1903</v>
      </c>
      <c r="C246" s="291">
        <v>4010</v>
      </c>
      <c r="D246" s="291">
        <v>3960</v>
      </c>
      <c r="E246" s="291">
        <v>4130</v>
      </c>
      <c r="F246" s="299">
        <v>840</v>
      </c>
      <c r="H246" s="306"/>
    </row>
    <row r="247" spans="1:8" s="277" customFormat="1" ht="14.25" customHeight="1">
      <c r="A247" s="286" t="s">
        <v>1901</v>
      </c>
      <c r="B247" s="291" t="s">
        <v>1904</v>
      </c>
      <c r="C247" s="291">
        <v>3170</v>
      </c>
      <c r="D247" s="291">
        <v>3140</v>
      </c>
      <c r="E247" s="291">
        <v>3270</v>
      </c>
      <c r="F247" s="299">
        <v>640</v>
      </c>
      <c r="H247" s="306"/>
    </row>
    <row r="248" spans="1:8" s="277" customFormat="1" ht="14.25" customHeight="1">
      <c r="A248" s="286" t="s">
        <v>1901</v>
      </c>
      <c r="B248" s="291" t="s">
        <v>1905</v>
      </c>
      <c r="C248" s="291">
        <v>3140</v>
      </c>
      <c r="D248" s="291">
        <v>3120</v>
      </c>
      <c r="E248" s="291">
        <v>3240</v>
      </c>
      <c r="F248" s="299">
        <v>620</v>
      </c>
      <c r="H248" s="306"/>
    </row>
    <row r="249" spans="1:8" s="277" customFormat="1" ht="14.25" customHeight="1">
      <c r="A249" s="286" t="s">
        <v>1901</v>
      </c>
      <c r="B249" s="291" t="s">
        <v>1906</v>
      </c>
      <c r="C249" s="291">
        <v>3200</v>
      </c>
      <c r="D249" s="291">
        <v>3100</v>
      </c>
      <c r="E249" s="291">
        <v>3230</v>
      </c>
      <c r="F249" s="299">
        <v>750</v>
      </c>
      <c r="H249" s="306"/>
    </row>
    <row r="250" spans="1:8" s="277" customFormat="1" ht="14.25" customHeight="1">
      <c r="A250" s="286" t="s">
        <v>1901</v>
      </c>
      <c r="B250" s="291" t="s">
        <v>1907</v>
      </c>
      <c r="C250" s="291">
        <v>4060</v>
      </c>
      <c r="D250" s="291">
        <v>4000</v>
      </c>
      <c r="E250" s="291">
        <v>4140</v>
      </c>
      <c r="F250" s="299">
        <v>790</v>
      </c>
      <c r="H250" s="306"/>
    </row>
    <row r="251" spans="1:8" s="277" customFormat="1" ht="14.25" customHeight="1">
      <c r="A251" s="286" t="s">
        <v>1901</v>
      </c>
      <c r="B251" s="291" t="s">
        <v>1908</v>
      </c>
      <c r="C251" s="291">
        <v>3990</v>
      </c>
      <c r="D251" s="291">
        <v>3970</v>
      </c>
      <c r="E251" s="291">
        <v>4110</v>
      </c>
      <c r="F251" s="299">
        <v>730</v>
      </c>
      <c r="H251" s="306"/>
    </row>
    <row r="252" spans="1:8" s="277" customFormat="1" ht="14.25" customHeight="1">
      <c r="A252" s="286" t="s">
        <v>1901</v>
      </c>
      <c r="B252" s="291" t="s">
        <v>1909</v>
      </c>
      <c r="C252" s="291">
        <v>3560</v>
      </c>
      <c r="D252" s="291">
        <v>3530</v>
      </c>
      <c r="E252" s="291">
        <v>3650</v>
      </c>
      <c r="F252" s="299">
        <v>750</v>
      </c>
      <c r="H252" s="306"/>
    </row>
    <row r="253" spans="1:8" s="277" customFormat="1" ht="14.25" customHeight="1">
      <c r="A253" s="286" t="s">
        <v>1901</v>
      </c>
      <c r="B253" s="291" t="s">
        <v>1910</v>
      </c>
      <c r="C253" s="291">
        <v>3780</v>
      </c>
      <c r="D253" s="291">
        <v>3750</v>
      </c>
      <c r="E253" s="291">
        <v>3870</v>
      </c>
      <c r="F253" s="299">
        <v>770</v>
      </c>
      <c r="H253" s="306"/>
    </row>
    <row r="254" spans="1:8" s="277" customFormat="1" ht="14.25" customHeight="1">
      <c r="A254" s="286" t="s">
        <v>1901</v>
      </c>
      <c r="B254" s="291" t="s">
        <v>1911</v>
      </c>
      <c r="C254" s="311"/>
      <c r="D254" s="311"/>
      <c r="E254" s="311"/>
      <c r="F254" s="299">
        <v>740</v>
      </c>
      <c r="H254" s="306"/>
    </row>
    <row r="255" spans="1:8" s="277" customFormat="1" ht="14.25" customHeight="1">
      <c r="A255" s="286" t="s">
        <v>1901</v>
      </c>
      <c r="B255" s="291" t="s">
        <v>1912</v>
      </c>
      <c r="C255" s="311"/>
      <c r="D255" s="311"/>
      <c r="E255" s="311"/>
      <c r="F255" s="299">
        <v>760</v>
      </c>
      <c r="H255" s="306"/>
    </row>
    <row r="256" spans="1:8" s="277" customFormat="1" ht="14.25" customHeight="1">
      <c r="A256" s="286" t="s">
        <v>1901</v>
      </c>
      <c r="B256" s="291" t="s">
        <v>1913</v>
      </c>
      <c r="C256" s="291">
        <v>3760</v>
      </c>
      <c r="D256" s="291">
        <v>3730</v>
      </c>
      <c r="E256" s="291">
        <v>3870</v>
      </c>
      <c r="F256" s="299">
        <v>830</v>
      </c>
      <c r="H256" s="306"/>
    </row>
    <row r="257" spans="1:8" s="277" customFormat="1" ht="14.25" customHeight="1">
      <c r="A257" s="286" t="s">
        <v>1901</v>
      </c>
      <c r="B257" s="291" t="s">
        <v>1914</v>
      </c>
      <c r="C257" s="291">
        <v>3570</v>
      </c>
      <c r="D257" s="291">
        <v>3540</v>
      </c>
      <c r="E257" s="291">
        <v>3650</v>
      </c>
      <c r="F257" s="299">
        <v>790</v>
      </c>
      <c r="H257" s="306"/>
    </row>
    <row r="258" spans="1:8" s="277" customFormat="1" ht="14.25" customHeight="1">
      <c r="A258" s="286" t="s">
        <v>1901</v>
      </c>
      <c r="B258" s="291" t="s">
        <v>1915</v>
      </c>
      <c r="C258" s="291">
        <v>3410</v>
      </c>
      <c r="D258" s="291">
        <v>3380</v>
      </c>
      <c r="E258" s="291">
        <v>3500</v>
      </c>
      <c r="F258" s="299">
        <v>830</v>
      </c>
      <c r="H258" s="306"/>
    </row>
    <row r="259" spans="1:8" s="277" customFormat="1" ht="14.25" customHeight="1">
      <c r="A259" s="286" t="s">
        <v>1901</v>
      </c>
      <c r="B259" s="291" t="s">
        <v>1916</v>
      </c>
      <c r="C259" s="291">
        <v>3870</v>
      </c>
      <c r="D259" s="291">
        <v>3840</v>
      </c>
      <c r="E259" s="291">
        <v>3970</v>
      </c>
      <c r="F259" s="299">
        <v>830</v>
      </c>
      <c r="H259" s="306"/>
    </row>
    <row r="260" spans="1:8" s="277" customFormat="1" ht="14.25" customHeight="1">
      <c r="A260" s="286" t="s">
        <v>1901</v>
      </c>
      <c r="B260" s="291" t="s">
        <v>1917</v>
      </c>
      <c r="C260" s="291">
        <v>3700</v>
      </c>
      <c r="D260" s="291">
        <v>3660</v>
      </c>
      <c r="E260" s="291">
        <v>3810</v>
      </c>
      <c r="F260" s="299">
        <v>790</v>
      </c>
      <c r="H260" s="306"/>
    </row>
    <row r="261" spans="1:8" s="277" customFormat="1" ht="14.25" customHeight="1">
      <c r="A261" s="286" t="s">
        <v>1901</v>
      </c>
      <c r="B261" s="291" t="s">
        <v>1918</v>
      </c>
      <c r="C261" s="291">
        <v>3470</v>
      </c>
      <c r="D261" s="291">
        <v>3430</v>
      </c>
      <c r="E261" s="291">
        <v>3640</v>
      </c>
      <c r="F261" s="299">
        <v>760</v>
      </c>
      <c r="H261" s="306"/>
    </row>
    <row r="262" spans="1:8" s="277" customFormat="1" ht="14.25" customHeight="1">
      <c r="A262" s="286" t="s">
        <v>1901</v>
      </c>
      <c r="B262" s="291" t="s">
        <v>1919</v>
      </c>
      <c r="C262" s="291">
        <v>3510</v>
      </c>
      <c r="D262" s="291">
        <v>3470</v>
      </c>
      <c r="E262" s="291">
        <v>3680</v>
      </c>
      <c r="F262" s="308"/>
      <c r="H262" s="306"/>
    </row>
    <row r="263" spans="1:8" s="277" customFormat="1" ht="14.25" customHeight="1">
      <c r="A263" s="286" t="s">
        <v>1901</v>
      </c>
      <c r="B263" s="291" t="s">
        <v>1920</v>
      </c>
      <c r="C263" s="291">
        <v>3960</v>
      </c>
      <c r="D263" s="291">
        <v>3930</v>
      </c>
      <c r="E263" s="291">
        <v>4070</v>
      </c>
      <c r="F263" s="299">
        <v>830</v>
      </c>
      <c r="H263" s="306"/>
    </row>
    <row r="264" spans="1:8" s="277" customFormat="1" ht="14.25" customHeight="1">
      <c r="A264" s="286" t="s">
        <v>1901</v>
      </c>
      <c r="B264" s="291" t="s">
        <v>1921</v>
      </c>
      <c r="C264" s="291">
        <v>4010</v>
      </c>
      <c r="D264" s="291">
        <v>3980</v>
      </c>
      <c r="E264" s="291">
        <v>4150</v>
      </c>
      <c r="F264" s="299">
        <v>760</v>
      </c>
      <c r="H264" s="306"/>
    </row>
    <row r="265" spans="1:8" s="277" customFormat="1" ht="14.25" customHeight="1">
      <c r="A265" s="286" t="s">
        <v>1901</v>
      </c>
      <c r="B265" s="291" t="s">
        <v>1922</v>
      </c>
      <c r="C265" s="291">
        <v>3910</v>
      </c>
      <c r="D265" s="291">
        <v>3890</v>
      </c>
      <c r="E265" s="291">
        <v>4040</v>
      </c>
      <c r="F265" s="299">
        <v>780</v>
      </c>
      <c r="H265" s="306"/>
    </row>
    <row r="266" spans="1:8" s="277" customFormat="1" ht="14.25" customHeight="1">
      <c r="A266" s="286" t="s">
        <v>1901</v>
      </c>
      <c r="B266" s="291" t="s">
        <v>1923</v>
      </c>
      <c r="C266" s="291">
        <v>3930</v>
      </c>
      <c r="D266" s="291">
        <v>3900</v>
      </c>
      <c r="E266" s="291">
        <v>4080</v>
      </c>
      <c r="F266" s="299">
        <v>770</v>
      </c>
      <c r="H266" s="306"/>
    </row>
    <row r="267" spans="1:8" s="277" customFormat="1" ht="14.25" customHeight="1">
      <c r="A267" s="286" t="s">
        <v>1901</v>
      </c>
      <c r="B267" s="291" t="s">
        <v>1924</v>
      </c>
      <c r="C267" s="291">
        <v>3800</v>
      </c>
      <c r="D267" s="291">
        <v>3780</v>
      </c>
      <c r="E267" s="291">
        <v>3930</v>
      </c>
      <c r="F267" s="308"/>
      <c r="H267" s="306"/>
    </row>
    <row r="268" spans="1:8" s="277" customFormat="1" ht="14.25" customHeight="1">
      <c r="A268" s="286" t="s">
        <v>1901</v>
      </c>
      <c r="B268" s="291" t="s">
        <v>1925</v>
      </c>
      <c r="C268" s="291">
        <v>3460</v>
      </c>
      <c r="D268" s="291">
        <v>3430</v>
      </c>
      <c r="E268" s="291">
        <v>3560</v>
      </c>
      <c r="F268" s="299">
        <v>840</v>
      </c>
      <c r="H268" s="306"/>
    </row>
    <row r="269" spans="1:8" s="277" customFormat="1" ht="14.25" customHeight="1">
      <c r="A269" s="286" t="s">
        <v>1901</v>
      </c>
      <c r="B269" s="291" t="s">
        <v>1926</v>
      </c>
      <c r="C269" s="291">
        <v>3210</v>
      </c>
      <c r="D269" s="291">
        <v>3190</v>
      </c>
      <c r="E269" s="291">
        <v>3310</v>
      </c>
      <c r="F269" s="299">
        <v>730</v>
      </c>
      <c r="H269" s="306"/>
    </row>
    <row r="270" spans="1:8" s="277" customFormat="1" ht="14.25" customHeight="1">
      <c r="A270" s="286" t="s">
        <v>1901</v>
      </c>
      <c r="B270" s="291" t="s">
        <v>1927</v>
      </c>
      <c r="C270" s="291">
        <v>3240</v>
      </c>
      <c r="D270" s="291">
        <v>3210</v>
      </c>
      <c r="E270" s="291">
        <v>3390</v>
      </c>
      <c r="F270" s="299">
        <v>820</v>
      </c>
      <c r="H270" s="306"/>
    </row>
    <row r="271" spans="1:8" s="277" customFormat="1" ht="14.25" customHeight="1">
      <c r="A271" s="286" t="s">
        <v>1901</v>
      </c>
      <c r="B271" s="291" t="s">
        <v>1928</v>
      </c>
      <c r="C271" s="291">
        <v>3300</v>
      </c>
      <c r="D271" s="291">
        <v>3270</v>
      </c>
      <c r="E271" s="291">
        <v>3380</v>
      </c>
      <c r="F271" s="299">
        <v>750</v>
      </c>
      <c r="H271" s="306"/>
    </row>
    <row r="272" spans="1:8" s="277" customFormat="1" ht="14.25" customHeight="1">
      <c r="A272" s="286" t="s">
        <v>1901</v>
      </c>
      <c r="B272" s="291" t="s">
        <v>1929</v>
      </c>
      <c r="C272" s="311"/>
      <c r="D272" s="311"/>
      <c r="E272" s="311"/>
      <c r="F272" s="299">
        <v>740</v>
      </c>
      <c r="H272" s="306"/>
    </row>
    <row r="273" spans="1:8" s="277" customFormat="1" ht="14.25" customHeight="1">
      <c r="A273" s="286" t="s">
        <v>1901</v>
      </c>
      <c r="B273" s="291" t="s">
        <v>1930</v>
      </c>
      <c r="C273" s="291">
        <v>3130</v>
      </c>
      <c r="D273" s="291">
        <v>3100</v>
      </c>
      <c r="E273" s="291">
        <v>3230</v>
      </c>
      <c r="F273" s="299">
        <v>700</v>
      </c>
      <c r="H273" s="306"/>
    </row>
    <row r="274" spans="1:8" s="277" customFormat="1" ht="14.25" customHeight="1">
      <c r="A274" s="286" t="s">
        <v>1901</v>
      </c>
      <c r="B274" s="291" t="s">
        <v>1931</v>
      </c>
      <c r="C274" s="291">
        <v>3460</v>
      </c>
      <c r="D274" s="291">
        <v>3430</v>
      </c>
      <c r="E274" s="291">
        <v>3560</v>
      </c>
      <c r="F274" s="299">
        <v>690</v>
      </c>
      <c r="H274" s="306"/>
    </row>
    <row r="275" spans="1:8" s="277" customFormat="1" ht="14.25" customHeight="1">
      <c r="A275" s="286" t="s">
        <v>1901</v>
      </c>
      <c r="B275" s="291" t="s">
        <v>1932</v>
      </c>
      <c r="C275" s="291">
        <v>4040</v>
      </c>
      <c r="D275" s="291">
        <v>4020</v>
      </c>
      <c r="E275" s="291">
        <v>4160</v>
      </c>
      <c r="F275" s="299">
        <v>820</v>
      </c>
      <c r="H275" s="306"/>
    </row>
    <row r="276" spans="1:8" s="277" customFormat="1" ht="14.25" customHeight="1">
      <c r="A276" s="286" t="s">
        <v>1901</v>
      </c>
      <c r="B276" s="291" t="s">
        <v>1933</v>
      </c>
      <c r="C276" s="291">
        <v>3270</v>
      </c>
      <c r="D276" s="291">
        <v>3240</v>
      </c>
      <c r="E276" s="291">
        <v>3350</v>
      </c>
      <c r="F276" s="299">
        <v>680</v>
      </c>
      <c r="H276" s="306"/>
    </row>
    <row r="277" spans="1:8" s="277" customFormat="1" ht="14.25" customHeight="1">
      <c r="A277" s="286" t="s">
        <v>1901</v>
      </c>
      <c r="B277" s="291" t="s">
        <v>1934</v>
      </c>
      <c r="C277" s="291">
        <v>2930</v>
      </c>
      <c r="D277" s="291">
        <v>2900</v>
      </c>
      <c r="E277" s="291">
        <v>3000</v>
      </c>
      <c r="F277" s="299">
        <v>640</v>
      </c>
      <c r="H277" s="306"/>
    </row>
    <row r="278" spans="1:8" s="277" customFormat="1" ht="14.25" customHeight="1">
      <c r="A278" s="286" t="s">
        <v>1901</v>
      </c>
      <c r="B278" s="291" t="s">
        <v>1935</v>
      </c>
      <c r="C278" s="291">
        <v>4080</v>
      </c>
      <c r="D278" s="291">
        <v>4030</v>
      </c>
      <c r="E278" s="291">
        <v>4140</v>
      </c>
      <c r="F278" s="299">
        <v>850</v>
      </c>
      <c r="H278" s="306"/>
    </row>
    <row r="279" spans="1:8" s="277" customFormat="1" ht="14.25" customHeight="1">
      <c r="A279" s="286" t="s">
        <v>1901</v>
      </c>
      <c r="B279" s="291" t="s">
        <v>1936</v>
      </c>
      <c r="C279" s="291"/>
      <c r="D279" s="291"/>
      <c r="E279" s="291"/>
      <c r="F279" s="299">
        <v>760</v>
      </c>
      <c r="H279" s="306"/>
    </row>
    <row r="280" spans="1:8" s="277" customFormat="1" ht="14.25" customHeight="1">
      <c r="A280" s="286" t="s">
        <v>1901</v>
      </c>
      <c r="B280" s="291" t="s">
        <v>1937</v>
      </c>
      <c r="C280" s="291"/>
      <c r="D280" s="291"/>
      <c r="E280" s="291"/>
      <c r="F280" s="299">
        <v>760</v>
      </c>
      <c r="H280" s="306"/>
    </row>
    <row r="281" spans="1:8" s="277" customFormat="1" ht="14.25" customHeight="1">
      <c r="A281" s="286" t="s">
        <v>1901</v>
      </c>
      <c r="B281" s="291" t="s">
        <v>1938</v>
      </c>
      <c r="C281" s="291"/>
      <c r="D281" s="291"/>
      <c r="E281" s="291"/>
      <c r="F281" s="299">
        <v>780</v>
      </c>
      <c r="H281" s="306"/>
    </row>
    <row r="282" spans="1:8" s="277" customFormat="1" ht="14.25" customHeight="1">
      <c r="A282" s="286" t="s">
        <v>1901</v>
      </c>
      <c r="B282" s="291" t="s">
        <v>1939</v>
      </c>
      <c r="C282" s="291"/>
      <c r="D282" s="291"/>
      <c r="E282" s="291"/>
      <c r="F282" s="299">
        <v>730</v>
      </c>
      <c r="H282" s="306"/>
    </row>
    <row r="283" spans="1:8" s="277" customFormat="1" ht="14.25" customHeight="1">
      <c r="A283" s="286" t="s">
        <v>1901</v>
      </c>
      <c r="B283" s="291" t="s">
        <v>1940</v>
      </c>
      <c r="C283" s="291"/>
      <c r="D283" s="291"/>
      <c r="E283" s="291"/>
      <c r="F283" s="299">
        <v>770</v>
      </c>
      <c r="H283" s="306"/>
    </row>
    <row r="284" spans="1:8" s="277" customFormat="1" ht="14.25" customHeight="1">
      <c r="A284" s="286" t="s">
        <v>1901</v>
      </c>
      <c r="B284" s="291" t="s">
        <v>1941</v>
      </c>
      <c r="C284" s="291"/>
      <c r="D284" s="291"/>
      <c r="E284" s="291"/>
      <c r="F284" s="299">
        <v>640</v>
      </c>
      <c r="H284" s="306"/>
    </row>
    <row r="285" spans="1:8" s="277" customFormat="1" ht="14.25" customHeight="1">
      <c r="A285" s="286" t="s">
        <v>1901</v>
      </c>
      <c r="B285" s="291" t="s">
        <v>1942</v>
      </c>
      <c r="C285" s="291"/>
      <c r="D285" s="291"/>
      <c r="E285" s="291"/>
      <c r="F285" s="299">
        <v>640</v>
      </c>
      <c r="H285" s="306"/>
    </row>
    <row r="286" spans="1:8" s="277" customFormat="1" ht="14.25" customHeight="1">
      <c r="A286" s="286" t="s">
        <v>1901</v>
      </c>
      <c r="B286" s="291" t="s">
        <v>1943</v>
      </c>
      <c r="C286" s="291"/>
      <c r="D286" s="291"/>
      <c r="E286" s="291"/>
      <c r="F286" s="299">
        <v>850</v>
      </c>
      <c r="H286" s="306"/>
    </row>
    <row r="287" spans="1:8" s="277" customFormat="1" ht="14.25" customHeight="1">
      <c r="A287" s="286" t="s">
        <v>1901</v>
      </c>
      <c r="B287" s="291" t="s">
        <v>1944</v>
      </c>
      <c r="C287" s="291"/>
      <c r="D287" s="291"/>
      <c r="E287" s="291"/>
      <c r="F287" s="299">
        <v>760</v>
      </c>
      <c r="H287" s="306"/>
    </row>
    <row r="288" spans="1:8" s="277" customFormat="1" ht="14.25" customHeight="1">
      <c r="A288" s="286" t="s">
        <v>1901</v>
      </c>
      <c r="B288" s="291" t="s">
        <v>1945</v>
      </c>
      <c r="C288" s="291"/>
      <c r="D288" s="291"/>
      <c r="E288" s="291"/>
      <c r="F288" s="299">
        <v>830</v>
      </c>
      <c r="H288" s="306"/>
    </row>
    <row r="289" spans="1:8" s="277" customFormat="1" ht="14.25" customHeight="1">
      <c r="A289" s="286" t="s">
        <v>1901</v>
      </c>
      <c r="B289" s="297" t="s">
        <v>1946</v>
      </c>
      <c r="C289" s="297"/>
      <c r="D289" s="297"/>
      <c r="E289" s="297"/>
      <c r="F289" s="307">
        <v>680</v>
      </c>
      <c r="H289" s="306"/>
    </row>
    <row r="290" spans="1:8" s="277" customFormat="1" ht="14.25" customHeight="1">
      <c r="A290" s="286" t="s">
        <v>1947</v>
      </c>
      <c r="B290" s="287" t="s">
        <v>1948</v>
      </c>
      <c r="C290" s="287">
        <v>2770</v>
      </c>
      <c r="D290" s="287">
        <v>2740</v>
      </c>
      <c r="E290" s="287">
        <v>2720</v>
      </c>
      <c r="F290" s="312"/>
      <c r="H290" s="306"/>
    </row>
    <row r="291" spans="1:8" s="277" customFormat="1" ht="14.25" customHeight="1">
      <c r="A291" s="286" t="s">
        <v>1947</v>
      </c>
      <c r="B291" s="291" t="s">
        <v>1949</v>
      </c>
      <c r="C291" s="291">
        <v>2670</v>
      </c>
      <c r="D291" s="291">
        <v>2640</v>
      </c>
      <c r="E291" s="291">
        <v>2620</v>
      </c>
      <c r="F291" s="308"/>
      <c r="H291" s="306"/>
    </row>
    <row r="292" spans="1:8" s="277" customFormat="1" ht="14.25" customHeight="1">
      <c r="A292" s="286" t="s">
        <v>1947</v>
      </c>
      <c r="B292" s="291" t="s">
        <v>1950</v>
      </c>
      <c r="C292" s="291">
        <v>2180</v>
      </c>
      <c r="D292" s="291">
        <v>2140</v>
      </c>
      <c r="E292" s="291">
        <v>2120</v>
      </c>
      <c r="F292" s="299">
        <v>490</v>
      </c>
      <c r="H292" s="306"/>
    </row>
    <row r="293" spans="1:8" s="277" customFormat="1" ht="14.25" customHeight="1">
      <c r="A293" s="286" t="s">
        <v>1947</v>
      </c>
      <c r="B293" s="291" t="s">
        <v>1951</v>
      </c>
      <c r="C293" s="291"/>
      <c r="D293" s="291"/>
      <c r="E293" s="291"/>
      <c r="F293" s="299">
        <v>470</v>
      </c>
      <c r="H293" s="306"/>
    </row>
    <row r="294" spans="1:8" s="277" customFormat="1" ht="14.25" customHeight="1">
      <c r="A294" s="286" t="s">
        <v>1947</v>
      </c>
      <c r="B294" s="291" t="s">
        <v>1952</v>
      </c>
      <c r="C294" s="291">
        <v>2730</v>
      </c>
      <c r="D294" s="291">
        <v>2700</v>
      </c>
      <c r="E294" s="291">
        <v>2680</v>
      </c>
      <c r="F294" s="299">
        <v>490</v>
      </c>
      <c r="H294" s="306"/>
    </row>
    <row r="295" spans="1:8" s="277" customFormat="1" ht="14.25" customHeight="1">
      <c r="A295" s="286" t="s">
        <v>1947</v>
      </c>
      <c r="B295" s="291" t="s">
        <v>1953</v>
      </c>
      <c r="C295" s="291">
        <v>2380</v>
      </c>
      <c r="D295" s="291">
        <v>2350</v>
      </c>
      <c r="E295" s="291">
        <v>2330</v>
      </c>
      <c r="F295" s="299">
        <v>530</v>
      </c>
      <c r="H295" s="306"/>
    </row>
    <row r="296" spans="1:8" s="277" customFormat="1" ht="14.25" customHeight="1">
      <c r="A296" s="286" t="s">
        <v>1947</v>
      </c>
      <c r="B296" s="291" t="s">
        <v>1954</v>
      </c>
      <c r="C296" s="291">
        <v>2650</v>
      </c>
      <c r="D296" s="291">
        <v>2620</v>
      </c>
      <c r="E296" s="291">
        <v>2590</v>
      </c>
      <c r="F296" s="299">
        <v>590</v>
      </c>
      <c r="H296" s="306"/>
    </row>
    <row r="297" spans="1:8" s="277" customFormat="1" ht="14.25" customHeight="1">
      <c r="A297" s="286" t="s">
        <v>1947</v>
      </c>
      <c r="B297" s="291" t="s">
        <v>1955</v>
      </c>
      <c r="C297" s="291">
        <v>2700</v>
      </c>
      <c r="D297" s="291">
        <v>2670</v>
      </c>
      <c r="E297" s="291">
        <v>2650</v>
      </c>
      <c r="F297" s="299">
        <v>630</v>
      </c>
      <c r="H297" s="306"/>
    </row>
    <row r="298" spans="1:8" s="277" customFormat="1" ht="14.25" customHeight="1">
      <c r="A298" s="286" t="s">
        <v>1947</v>
      </c>
      <c r="B298" s="291" t="s">
        <v>1956</v>
      </c>
      <c r="C298" s="291">
        <v>2650</v>
      </c>
      <c r="D298" s="291">
        <v>2620</v>
      </c>
      <c r="E298" s="291">
        <v>2590</v>
      </c>
      <c r="F298" s="299">
        <v>640</v>
      </c>
      <c r="H298" s="306"/>
    </row>
    <row r="299" spans="1:8" s="277" customFormat="1" ht="14.25" customHeight="1">
      <c r="A299" s="286" t="s">
        <v>1947</v>
      </c>
      <c r="B299" s="291" t="s">
        <v>1957</v>
      </c>
      <c r="C299" s="291">
        <v>2500</v>
      </c>
      <c r="D299" s="291">
        <v>2480</v>
      </c>
      <c r="E299" s="291">
        <v>2460</v>
      </c>
      <c r="F299" s="308"/>
      <c r="H299" s="306"/>
    </row>
    <row r="300" spans="1:8" s="277" customFormat="1" ht="14.25" customHeight="1">
      <c r="A300" s="286" t="s">
        <v>1947</v>
      </c>
      <c r="B300" s="291" t="s">
        <v>1958</v>
      </c>
      <c r="C300" s="291">
        <v>2760</v>
      </c>
      <c r="D300" s="291">
        <v>2730</v>
      </c>
      <c r="E300" s="291">
        <v>2700</v>
      </c>
      <c r="F300" s="299">
        <v>630</v>
      </c>
      <c r="H300" s="306"/>
    </row>
    <row r="301" spans="1:8" s="277" customFormat="1" ht="14.25" customHeight="1">
      <c r="A301" s="286" t="s">
        <v>1947</v>
      </c>
      <c r="B301" s="291" t="s">
        <v>1959</v>
      </c>
      <c r="C301" s="291">
        <v>2510</v>
      </c>
      <c r="D301" s="291">
        <v>2480</v>
      </c>
      <c r="E301" s="291">
        <v>2460</v>
      </c>
      <c r="F301" s="308"/>
      <c r="H301" s="306"/>
    </row>
    <row r="302" spans="1:8" s="277" customFormat="1" ht="14.25" customHeight="1">
      <c r="A302" s="286" t="s">
        <v>1947</v>
      </c>
      <c r="B302" s="291" t="s">
        <v>1960</v>
      </c>
      <c r="C302" s="291">
        <v>2480</v>
      </c>
      <c r="D302" s="291">
        <v>2450</v>
      </c>
      <c r="E302" s="291">
        <v>2420</v>
      </c>
      <c r="F302" s="299">
        <v>600</v>
      </c>
      <c r="H302" s="306"/>
    </row>
    <row r="303" spans="1:8" s="277" customFormat="1" ht="14.25" customHeight="1">
      <c r="A303" s="286" t="s">
        <v>1947</v>
      </c>
      <c r="B303" s="291" t="s">
        <v>1961</v>
      </c>
      <c r="C303" s="291">
        <v>2270</v>
      </c>
      <c r="D303" s="291">
        <v>2240</v>
      </c>
      <c r="E303" s="291">
        <v>2210</v>
      </c>
      <c r="F303" s="299">
        <v>540</v>
      </c>
      <c r="H303" s="306"/>
    </row>
    <row r="304" spans="1:8" s="277" customFormat="1" ht="14.25" customHeight="1">
      <c r="A304" s="286" t="s">
        <v>1947</v>
      </c>
      <c r="B304" s="291" t="s">
        <v>1962</v>
      </c>
      <c r="C304" s="291">
        <v>2310</v>
      </c>
      <c r="D304" s="291">
        <v>2290</v>
      </c>
      <c r="E304" s="291">
        <v>2270</v>
      </c>
      <c r="F304" s="308"/>
      <c r="H304" s="306"/>
    </row>
    <row r="305" spans="1:8" s="277" customFormat="1" ht="14.25" customHeight="1">
      <c r="A305" s="286" t="s">
        <v>1947</v>
      </c>
      <c r="B305" s="291" t="s">
        <v>1963</v>
      </c>
      <c r="C305" s="291">
        <v>2490</v>
      </c>
      <c r="D305" s="291">
        <v>2470</v>
      </c>
      <c r="E305" s="291">
        <v>2440</v>
      </c>
      <c r="F305" s="299">
        <v>560</v>
      </c>
      <c r="H305" s="306"/>
    </row>
    <row r="306" spans="1:8" s="277" customFormat="1" ht="14.25" customHeight="1">
      <c r="A306" s="286" t="s">
        <v>1947</v>
      </c>
      <c r="B306" s="291" t="s">
        <v>1964</v>
      </c>
      <c r="C306" s="291">
        <v>2420</v>
      </c>
      <c r="D306" s="291">
        <v>2400</v>
      </c>
      <c r="E306" s="291">
        <v>2380</v>
      </c>
      <c r="F306" s="308"/>
      <c r="H306" s="306"/>
    </row>
    <row r="307" spans="1:8" s="277" customFormat="1" ht="14.25" customHeight="1">
      <c r="A307" s="286" t="s">
        <v>1947</v>
      </c>
      <c r="B307" s="291" t="s">
        <v>1965</v>
      </c>
      <c r="C307" s="291">
        <v>2770</v>
      </c>
      <c r="D307" s="291">
        <v>2740</v>
      </c>
      <c r="E307" s="291">
        <v>2710</v>
      </c>
      <c r="F307" s="299">
        <v>650</v>
      </c>
      <c r="H307" s="306"/>
    </row>
    <row r="308" spans="1:8" s="277" customFormat="1" ht="14.25" customHeight="1">
      <c r="A308" s="286" t="s">
        <v>1947</v>
      </c>
      <c r="B308" s="291" t="s">
        <v>1966</v>
      </c>
      <c r="C308" s="291">
        <v>2610</v>
      </c>
      <c r="D308" s="291">
        <v>2580</v>
      </c>
      <c r="E308" s="291">
        <v>2550</v>
      </c>
      <c r="F308" s="299">
        <v>580</v>
      </c>
      <c r="H308" s="306"/>
    </row>
    <row r="309" spans="1:8" s="277" customFormat="1" ht="14.25" customHeight="1">
      <c r="A309" s="286" t="s">
        <v>1947</v>
      </c>
      <c r="B309" s="291" t="s">
        <v>1967</v>
      </c>
      <c r="C309" s="291">
        <v>2690</v>
      </c>
      <c r="D309" s="291">
        <v>2670</v>
      </c>
      <c r="E309" s="291">
        <v>2650</v>
      </c>
      <c r="F309" s="308"/>
      <c r="H309" s="306"/>
    </row>
    <row r="310" spans="1:8" s="277" customFormat="1" ht="14.25" customHeight="1">
      <c r="A310" s="286" t="s">
        <v>1947</v>
      </c>
      <c r="B310" s="291" t="s">
        <v>1968</v>
      </c>
      <c r="C310" s="291">
        <v>2360</v>
      </c>
      <c r="D310" s="291">
        <v>2330</v>
      </c>
      <c r="E310" s="291">
        <v>2310</v>
      </c>
      <c r="F310" s="299">
        <v>560</v>
      </c>
      <c r="H310" s="306"/>
    </row>
    <row r="311" spans="1:8" s="277" customFormat="1" ht="14.25" customHeight="1">
      <c r="A311" s="286" t="s">
        <v>1947</v>
      </c>
      <c r="B311" s="291" t="s">
        <v>1969</v>
      </c>
      <c r="C311" s="291">
        <v>1970</v>
      </c>
      <c r="D311" s="291">
        <v>1950</v>
      </c>
      <c r="E311" s="291">
        <v>1920</v>
      </c>
      <c r="F311" s="299">
        <v>470</v>
      </c>
      <c r="H311" s="306"/>
    </row>
    <row r="312" spans="1:8" s="277" customFormat="1" ht="14.25" customHeight="1">
      <c r="A312" s="286" t="s">
        <v>1947</v>
      </c>
      <c r="B312" s="291" t="s">
        <v>1970</v>
      </c>
      <c r="C312" s="291">
        <v>2230</v>
      </c>
      <c r="D312" s="291">
        <v>2200</v>
      </c>
      <c r="E312" s="291">
        <v>2170</v>
      </c>
      <c r="F312" s="299">
        <v>460</v>
      </c>
      <c r="H312" s="306"/>
    </row>
    <row r="313" spans="1:8" s="277" customFormat="1" ht="14.25" customHeight="1">
      <c r="A313" s="286" t="s">
        <v>1947</v>
      </c>
      <c r="B313" s="291" t="s">
        <v>1971</v>
      </c>
      <c r="C313" s="291">
        <v>2770</v>
      </c>
      <c r="D313" s="291">
        <v>2740</v>
      </c>
      <c r="E313" s="291">
        <v>2710</v>
      </c>
      <c r="F313" s="299">
        <v>610</v>
      </c>
      <c r="H313" s="306"/>
    </row>
    <row r="314" spans="1:8" s="277" customFormat="1" ht="14.25" customHeight="1">
      <c r="A314" s="286" t="s">
        <v>1947</v>
      </c>
      <c r="B314" s="291" t="s">
        <v>1972</v>
      </c>
      <c r="C314" s="291"/>
      <c r="D314" s="291"/>
      <c r="E314" s="291"/>
      <c r="F314" s="299">
        <v>490</v>
      </c>
      <c r="H314" s="306"/>
    </row>
    <row r="315" spans="1:8" s="277" customFormat="1" ht="14.25" customHeight="1">
      <c r="A315" s="286" t="s">
        <v>1947</v>
      </c>
      <c r="B315" s="291" t="s">
        <v>1973</v>
      </c>
      <c r="C315" s="291"/>
      <c r="D315" s="291"/>
      <c r="E315" s="291"/>
      <c r="F315" s="299">
        <v>520</v>
      </c>
      <c r="H315" s="306"/>
    </row>
    <row r="316" spans="1:8" s="277" customFormat="1" ht="14.25" customHeight="1">
      <c r="A316" s="286" t="s">
        <v>1947</v>
      </c>
      <c r="B316" s="297" t="s">
        <v>1974</v>
      </c>
      <c r="C316" s="297"/>
      <c r="D316" s="297"/>
      <c r="E316" s="297"/>
      <c r="F316" s="307">
        <v>460</v>
      </c>
      <c r="H316" s="306"/>
    </row>
    <row r="317" spans="1:8" s="277" customFormat="1" ht="14.25" customHeight="1">
      <c r="A317" s="286" t="s">
        <v>1975</v>
      </c>
      <c r="B317" s="287" t="s">
        <v>1976</v>
      </c>
      <c r="C317" s="287">
        <v>1200</v>
      </c>
      <c r="D317" s="287">
        <v>1180</v>
      </c>
      <c r="E317" s="287">
        <v>1160</v>
      </c>
      <c r="F317" s="288">
        <v>370</v>
      </c>
      <c r="H317" s="279"/>
    </row>
    <row r="318" spans="1:8" s="277" customFormat="1" ht="14.25" customHeight="1">
      <c r="A318" s="286" t="s">
        <v>1975</v>
      </c>
      <c r="B318" s="291" t="s">
        <v>1977</v>
      </c>
      <c r="C318" s="291">
        <v>1090</v>
      </c>
      <c r="D318" s="291">
        <v>1060</v>
      </c>
      <c r="E318" s="291">
        <v>1040</v>
      </c>
      <c r="F318" s="308"/>
      <c r="H318" s="279"/>
    </row>
    <row r="319" spans="1:8" s="277" customFormat="1" ht="14.25" customHeight="1">
      <c r="A319" s="286" t="s">
        <v>1975</v>
      </c>
      <c r="B319" s="291" t="s">
        <v>1978</v>
      </c>
      <c r="C319" s="291">
        <v>1520</v>
      </c>
      <c r="D319" s="291">
        <v>1470</v>
      </c>
      <c r="E319" s="291">
        <v>1440</v>
      </c>
      <c r="F319" s="299">
        <v>370</v>
      </c>
      <c r="H319" s="279"/>
    </row>
    <row r="320" spans="1:8" s="277" customFormat="1" ht="14.25" customHeight="1">
      <c r="A320" s="286" t="s">
        <v>1975</v>
      </c>
      <c r="B320" s="291" t="s">
        <v>1979</v>
      </c>
      <c r="C320" s="291">
        <v>1360</v>
      </c>
      <c r="D320" s="291">
        <v>1300</v>
      </c>
      <c r="E320" s="291">
        <v>1270</v>
      </c>
      <c r="F320" s="308"/>
      <c r="H320" s="279"/>
    </row>
    <row r="321" spans="1:8" s="277" customFormat="1" ht="14.25" customHeight="1">
      <c r="A321" s="286" t="s">
        <v>1975</v>
      </c>
      <c r="B321" s="291" t="s">
        <v>1980</v>
      </c>
      <c r="C321" s="291">
        <v>1750</v>
      </c>
      <c r="D321" s="291">
        <v>1690</v>
      </c>
      <c r="E321" s="291">
        <v>1660</v>
      </c>
      <c r="F321" s="308"/>
      <c r="H321" s="279"/>
    </row>
    <row r="322" spans="1:8" s="277" customFormat="1" ht="14.25" customHeight="1">
      <c r="A322" s="286" t="s">
        <v>1975</v>
      </c>
      <c r="B322" s="291" t="s">
        <v>1981</v>
      </c>
      <c r="C322" s="291">
        <v>1650</v>
      </c>
      <c r="D322" s="291">
        <v>1610</v>
      </c>
      <c r="E322" s="291">
        <v>1580</v>
      </c>
      <c r="F322" s="299">
        <v>500</v>
      </c>
      <c r="H322" s="279"/>
    </row>
    <row r="323" spans="1:8" s="277" customFormat="1" ht="14.25" customHeight="1">
      <c r="A323" s="286" t="s">
        <v>1975</v>
      </c>
      <c r="B323" s="291" t="s">
        <v>1982</v>
      </c>
      <c r="C323" s="291">
        <v>1780</v>
      </c>
      <c r="D323" s="291">
        <v>1740</v>
      </c>
      <c r="E323" s="291">
        <v>1720</v>
      </c>
      <c r="F323" s="308"/>
      <c r="H323" s="279"/>
    </row>
    <row r="324" spans="1:8" s="277" customFormat="1" ht="14.25" customHeight="1">
      <c r="A324" s="286" t="s">
        <v>1975</v>
      </c>
      <c r="B324" s="291" t="s">
        <v>1983</v>
      </c>
      <c r="C324" s="291">
        <v>1650</v>
      </c>
      <c r="D324" s="291">
        <v>1610</v>
      </c>
      <c r="E324" s="291">
        <v>1580</v>
      </c>
      <c r="F324" s="308"/>
      <c r="H324" s="279"/>
    </row>
    <row r="325" spans="1:8" s="277" customFormat="1" ht="14.25" customHeight="1">
      <c r="A325" s="286" t="s">
        <v>1975</v>
      </c>
      <c r="B325" s="291" t="s">
        <v>1984</v>
      </c>
      <c r="C325" s="291">
        <v>1330</v>
      </c>
      <c r="D325" s="291">
        <v>1270</v>
      </c>
      <c r="E325" s="291">
        <v>1240</v>
      </c>
      <c r="F325" s="299">
        <v>430</v>
      </c>
      <c r="H325" s="279"/>
    </row>
    <row r="326" spans="1:8" s="277" customFormat="1" ht="14.25" customHeight="1">
      <c r="A326" s="286" t="s">
        <v>1975</v>
      </c>
      <c r="B326" s="291" t="s">
        <v>1985</v>
      </c>
      <c r="C326" s="291">
        <v>1470</v>
      </c>
      <c r="D326" s="291">
        <v>1430</v>
      </c>
      <c r="E326" s="291">
        <v>1400</v>
      </c>
      <c r="F326" s="308"/>
      <c r="H326" s="279"/>
    </row>
    <row r="327" spans="1:8" s="277" customFormat="1" ht="14.25" customHeight="1">
      <c r="A327" s="286" t="s">
        <v>1975</v>
      </c>
      <c r="B327" s="291" t="s">
        <v>1986</v>
      </c>
      <c r="C327" s="291">
        <v>1420</v>
      </c>
      <c r="D327" s="291">
        <v>1380</v>
      </c>
      <c r="E327" s="291">
        <v>1360</v>
      </c>
      <c r="F327" s="299">
        <v>420</v>
      </c>
      <c r="H327" s="279"/>
    </row>
    <row r="328" spans="1:8" s="277" customFormat="1" ht="14.25" customHeight="1">
      <c r="A328" s="286" t="s">
        <v>1975</v>
      </c>
      <c r="B328" s="291" t="s">
        <v>1987</v>
      </c>
      <c r="C328" s="291">
        <v>1400</v>
      </c>
      <c r="D328" s="291">
        <v>1360</v>
      </c>
      <c r="E328" s="291">
        <v>1330</v>
      </c>
      <c r="F328" s="299">
        <v>460</v>
      </c>
      <c r="H328" s="279"/>
    </row>
    <row r="329" spans="1:8" s="277" customFormat="1" ht="14.25" customHeight="1">
      <c r="A329" s="286" t="s">
        <v>1975</v>
      </c>
      <c r="B329" s="291" t="s">
        <v>1988</v>
      </c>
      <c r="C329" s="291">
        <v>1640</v>
      </c>
      <c r="D329" s="291">
        <v>1610</v>
      </c>
      <c r="E329" s="291">
        <v>1580</v>
      </c>
      <c r="F329" s="299">
        <v>410</v>
      </c>
      <c r="H329" s="279"/>
    </row>
    <row r="330" spans="1:8" s="277" customFormat="1" ht="14.25" customHeight="1">
      <c r="A330" s="286" t="s">
        <v>1975</v>
      </c>
      <c r="B330" s="291" t="s">
        <v>1989</v>
      </c>
      <c r="C330" s="291">
        <v>1260</v>
      </c>
      <c r="D330" s="291">
        <v>1220</v>
      </c>
      <c r="E330" s="291">
        <v>1200</v>
      </c>
      <c r="F330" s="308"/>
      <c r="H330" s="279"/>
    </row>
    <row r="331" spans="1:8" s="277" customFormat="1" ht="14.25" customHeight="1">
      <c r="A331" s="286" t="s">
        <v>1975</v>
      </c>
      <c r="B331" s="291" t="s">
        <v>1990</v>
      </c>
      <c r="C331" s="291">
        <v>1620</v>
      </c>
      <c r="D331" s="291">
        <v>1560</v>
      </c>
      <c r="E331" s="291">
        <v>1530</v>
      </c>
      <c r="F331" s="299">
        <v>490</v>
      </c>
      <c r="H331" s="279"/>
    </row>
    <row r="332" spans="1:8" s="277" customFormat="1" ht="14.25" customHeight="1">
      <c r="A332" s="286" t="s">
        <v>1975</v>
      </c>
      <c r="B332" s="291" t="s">
        <v>1991</v>
      </c>
      <c r="C332" s="291">
        <v>1520</v>
      </c>
      <c r="D332" s="291">
        <v>1470</v>
      </c>
      <c r="E332" s="291">
        <v>1440</v>
      </c>
      <c r="F332" s="299">
        <v>440</v>
      </c>
      <c r="H332" s="279"/>
    </row>
    <row r="333" spans="1:8" s="277" customFormat="1" ht="14.25" customHeight="1">
      <c r="A333" s="286" t="s">
        <v>1975</v>
      </c>
      <c r="B333" s="291" t="s">
        <v>1992</v>
      </c>
      <c r="C333" s="291">
        <v>1370</v>
      </c>
      <c r="D333" s="291">
        <v>1320</v>
      </c>
      <c r="E333" s="291">
        <v>1300</v>
      </c>
      <c r="F333" s="299">
        <v>460</v>
      </c>
      <c r="H333" s="279"/>
    </row>
    <row r="334" spans="1:8" s="277" customFormat="1" ht="14.25" customHeight="1">
      <c r="A334" s="286" t="s">
        <v>1975</v>
      </c>
      <c r="B334" s="291" t="s">
        <v>1993</v>
      </c>
      <c r="C334" s="291">
        <v>1410</v>
      </c>
      <c r="D334" s="291">
        <v>1340</v>
      </c>
      <c r="E334" s="291">
        <v>1310</v>
      </c>
      <c r="F334" s="299">
        <v>410</v>
      </c>
      <c r="H334" s="279"/>
    </row>
    <row r="335" spans="1:8" s="277" customFormat="1" ht="14.25" customHeight="1">
      <c r="A335" s="286" t="s">
        <v>1975</v>
      </c>
      <c r="B335" s="291" t="s">
        <v>1994</v>
      </c>
      <c r="C335" s="291">
        <v>1260</v>
      </c>
      <c r="D335" s="291">
        <v>1220</v>
      </c>
      <c r="E335" s="291">
        <v>1200</v>
      </c>
      <c r="F335" s="308"/>
      <c r="H335" s="279"/>
    </row>
    <row r="336" spans="1:8" s="277" customFormat="1" ht="14.25" customHeight="1">
      <c r="A336" s="286" t="s">
        <v>1975</v>
      </c>
      <c r="B336" s="291" t="s">
        <v>1995</v>
      </c>
      <c r="C336" s="291">
        <v>1160</v>
      </c>
      <c r="D336" s="291">
        <v>1140</v>
      </c>
      <c r="E336" s="291">
        <v>1120</v>
      </c>
      <c r="F336" s="299">
        <v>430</v>
      </c>
      <c r="H336" s="279"/>
    </row>
    <row r="337" spans="1:8" s="277" customFormat="1" ht="14.25" customHeight="1">
      <c r="A337" s="286" t="s">
        <v>1975</v>
      </c>
      <c r="B337" s="297" t="s">
        <v>1996</v>
      </c>
      <c r="C337" s="297"/>
      <c r="D337" s="297"/>
      <c r="E337" s="297"/>
      <c r="F337" s="307">
        <v>380</v>
      </c>
      <c r="H337" s="279"/>
    </row>
    <row r="338" spans="1:8" s="277" customFormat="1" ht="14.25" customHeight="1">
      <c r="A338" s="286" t="s">
        <v>1997</v>
      </c>
      <c r="B338" s="287" t="s">
        <v>1998</v>
      </c>
      <c r="C338" s="287">
        <v>880</v>
      </c>
      <c r="D338" s="287">
        <v>850</v>
      </c>
      <c r="E338" s="287">
        <v>830</v>
      </c>
      <c r="F338" s="312"/>
      <c r="H338" s="279"/>
    </row>
    <row r="339" spans="1:8" s="277" customFormat="1" ht="14.25" customHeight="1">
      <c r="A339" s="286" t="s">
        <v>1997</v>
      </c>
      <c r="B339" s="291" t="s">
        <v>1999</v>
      </c>
      <c r="C339" s="291">
        <v>830</v>
      </c>
      <c r="D339" s="291">
        <v>800</v>
      </c>
      <c r="E339" s="291">
        <v>780</v>
      </c>
      <c r="F339" s="308"/>
      <c r="H339" s="279"/>
    </row>
    <row r="340" spans="1:8" s="277" customFormat="1" ht="14.25" customHeight="1">
      <c r="A340" s="286" t="s">
        <v>1997</v>
      </c>
      <c r="B340" s="291" t="s">
        <v>2000</v>
      </c>
      <c r="C340" s="291">
        <v>980</v>
      </c>
      <c r="D340" s="291">
        <v>950</v>
      </c>
      <c r="E340" s="291">
        <v>920</v>
      </c>
      <c r="F340" s="308"/>
      <c r="H340" s="279"/>
    </row>
    <row r="341" spans="1:8" s="277" customFormat="1" ht="14.25" customHeight="1">
      <c r="A341" s="286" t="s">
        <v>1997</v>
      </c>
      <c r="B341" s="291" t="s">
        <v>2001</v>
      </c>
      <c r="C341" s="291">
        <v>760</v>
      </c>
      <c r="D341" s="291">
        <v>720</v>
      </c>
      <c r="E341" s="291">
        <v>690</v>
      </c>
      <c r="F341" s="299">
        <v>350</v>
      </c>
      <c r="H341" s="279"/>
    </row>
    <row r="342" spans="1:8" s="277" customFormat="1" ht="14.25" customHeight="1">
      <c r="A342" s="286" t="s">
        <v>1997</v>
      </c>
      <c r="B342" s="291" t="s">
        <v>2002</v>
      </c>
      <c r="C342" s="291">
        <v>910</v>
      </c>
      <c r="D342" s="291">
        <v>870</v>
      </c>
      <c r="E342" s="291">
        <v>850</v>
      </c>
      <c r="F342" s="299">
        <v>370</v>
      </c>
      <c r="H342" s="279"/>
    </row>
    <row r="343" spans="1:8" s="277" customFormat="1" ht="14.25" customHeight="1">
      <c r="A343" s="286" t="s">
        <v>1997</v>
      </c>
      <c r="B343" s="291" t="s">
        <v>2003</v>
      </c>
      <c r="C343" s="291">
        <v>800</v>
      </c>
      <c r="D343" s="291">
        <v>760</v>
      </c>
      <c r="E343" s="291">
        <v>730</v>
      </c>
      <c r="F343" s="299">
        <v>340</v>
      </c>
      <c r="H343" s="279"/>
    </row>
    <row r="344" spans="1:8" s="277" customFormat="1" ht="14.25" customHeight="1">
      <c r="A344" s="286" t="s">
        <v>1997</v>
      </c>
      <c r="B344" s="297" t="s">
        <v>2004</v>
      </c>
      <c r="C344" s="297">
        <v>720</v>
      </c>
      <c r="D344" s="297">
        <v>690</v>
      </c>
      <c r="E344" s="297">
        <v>660</v>
      </c>
      <c r="F344" s="307">
        <v>300</v>
      </c>
      <c r="H344" s="279"/>
    </row>
  </sheetData>
  <sheetProtection password="C66D" sheet="1" objects="1" scenarios="1" formatCells="0" formatColumns="0" formatRows="0"/>
  <mergeCells count="3">
    <mergeCell ref="A1:F1"/>
    <mergeCell ref="A2:F2"/>
    <mergeCell ref="A3:A4"/>
  </mergeCells>
  <phoneticPr fontId="205"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32" customWidth="1"/>
    <col min="2" max="9" width="8.25" style="231" customWidth="1"/>
    <col min="10" max="13" width="8.25" style="232"/>
    <col min="14" max="14" width="10" style="232" customWidth="1"/>
    <col min="15" max="16" width="8.25" style="232"/>
    <col min="17" max="17" width="34.125" style="232" customWidth="1"/>
    <col min="18" max="18" width="8.25" style="232" customWidth="1"/>
    <col min="19" max="19" width="8.25" style="232"/>
    <col min="20" max="20" width="11.625" style="232" customWidth="1"/>
    <col min="21" max="16384" width="8.25" style="232"/>
  </cols>
  <sheetData>
    <row r="1" spans="1:13" ht="19.5" customHeight="1">
      <c r="A1" s="233" t="s">
        <v>2043</v>
      </c>
      <c r="B1" s="234" t="s">
        <v>1655</v>
      </c>
      <c r="C1" s="234" t="s">
        <v>357</v>
      </c>
      <c r="D1" s="234" t="s">
        <v>1679</v>
      </c>
      <c r="E1" s="234" t="s">
        <v>1700</v>
      </c>
      <c r="F1" s="234" t="s">
        <v>1728</v>
      </c>
      <c r="G1" s="234" t="s">
        <v>1763</v>
      </c>
      <c r="H1" s="234" t="s">
        <v>1812</v>
      </c>
      <c r="I1" s="234" t="s">
        <v>1861</v>
      </c>
      <c r="J1" s="234" t="s">
        <v>1901</v>
      </c>
      <c r="K1" s="234" t="s">
        <v>1947</v>
      </c>
      <c r="L1" s="234" t="s">
        <v>1975</v>
      </c>
      <c r="M1" s="269" t="s">
        <v>1997</v>
      </c>
    </row>
    <row r="2" spans="1:13" ht="19.5" customHeight="1">
      <c r="A2" s="235" t="s">
        <v>1650</v>
      </c>
      <c r="B2" s="236">
        <v>3.5</v>
      </c>
      <c r="C2" s="236">
        <v>3.5</v>
      </c>
      <c r="D2" s="237">
        <v>2.5</v>
      </c>
      <c r="E2" s="237">
        <v>2.5</v>
      </c>
      <c r="F2" s="237">
        <v>2.5</v>
      </c>
      <c r="G2" s="237">
        <v>2.5</v>
      </c>
      <c r="H2" s="237">
        <v>2.5</v>
      </c>
      <c r="I2" s="236">
        <v>2</v>
      </c>
      <c r="J2" s="236">
        <v>2</v>
      </c>
      <c r="K2" s="236">
        <v>2</v>
      </c>
      <c r="L2" s="236">
        <v>2</v>
      </c>
      <c r="M2" s="270">
        <v>2</v>
      </c>
    </row>
    <row r="3" spans="1:13" ht="19.5" customHeight="1">
      <c r="A3" s="238" t="s">
        <v>470</v>
      </c>
      <c r="B3" s="239">
        <v>3.5</v>
      </c>
      <c r="C3" s="239">
        <v>3.5</v>
      </c>
      <c r="D3" s="240">
        <v>2.5</v>
      </c>
      <c r="E3" s="240">
        <v>2.5</v>
      </c>
      <c r="F3" s="240">
        <v>2.5</v>
      </c>
      <c r="G3" s="240">
        <v>2.5</v>
      </c>
      <c r="H3" s="240">
        <v>2.5</v>
      </c>
      <c r="I3" s="239">
        <v>2</v>
      </c>
      <c r="J3" s="239">
        <v>2</v>
      </c>
      <c r="K3" s="239">
        <v>2</v>
      </c>
      <c r="L3" s="239">
        <v>2</v>
      </c>
      <c r="M3" s="271">
        <v>2</v>
      </c>
    </row>
    <row r="4" spans="1:13" ht="19.5" customHeight="1">
      <c r="A4" s="238" t="s">
        <v>1651</v>
      </c>
      <c r="B4" s="240">
        <v>2.5</v>
      </c>
      <c r="C4" s="240">
        <v>2.5</v>
      </c>
      <c r="D4" s="240">
        <v>2.5</v>
      </c>
      <c r="E4" s="240">
        <v>2.5</v>
      </c>
      <c r="F4" s="240">
        <v>2.5</v>
      </c>
      <c r="G4" s="240">
        <v>2.5</v>
      </c>
      <c r="H4" s="240">
        <v>2.5</v>
      </c>
      <c r="I4" s="239">
        <v>1.5</v>
      </c>
      <c r="J4" s="239">
        <v>1.5</v>
      </c>
      <c r="K4" s="239">
        <v>1.5</v>
      </c>
      <c r="L4" s="239">
        <v>1.5</v>
      </c>
      <c r="M4" s="271">
        <v>1.5</v>
      </c>
    </row>
    <row r="5" spans="1:13" ht="19.5" customHeight="1">
      <c r="A5" s="241" t="s">
        <v>1652</v>
      </c>
      <c r="B5" s="242">
        <v>1.5</v>
      </c>
      <c r="C5" s="242">
        <v>1.5</v>
      </c>
      <c r="D5" s="242">
        <v>1.5</v>
      </c>
      <c r="E5" s="242">
        <v>1.5</v>
      </c>
      <c r="F5" s="242">
        <v>1.5</v>
      </c>
      <c r="G5" s="243">
        <v>1.2</v>
      </c>
      <c r="H5" s="243">
        <v>1.2</v>
      </c>
      <c r="I5" s="243">
        <v>1</v>
      </c>
      <c r="J5" s="243">
        <v>1</v>
      </c>
      <c r="K5" s="243">
        <v>1</v>
      </c>
      <c r="L5" s="243">
        <v>1</v>
      </c>
      <c r="M5" s="272">
        <v>1</v>
      </c>
    </row>
    <row r="6" spans="1:13" ht="19.5" customHeight="1">
      <c r="A6" s="244" t="s">
        <v>2044</v>
      </c>
      <c r="B6" s="245">
        <v>80</v>
      </c>
      <c r="C6" s="245">
        <v>80</v>
      </c>
      <c r="D6" s="245">
        <v>65</v>
      </c>
      <c r="E6" s="245">
        <v>65</v>
      </c>
      <c r="F6" s="245">
        <v>65</v>
      </c>
      <c r="G6" s="245">
        <v>65</v>
      </c>
      <c r="H6" s="245">
        <v>65</v>
      </c>
      <c r="I6" s="245">
        <v>50</v>
      </c>
      <c r="J6" s="245">
        <v>50</v>
      </c>
      <c r="K6" s="245">
        <v>50</v>
      </c>
      <c r="L6" s="245">
        <v>50</v>
      </c>
      <c r="M6" s="273">
        <v>50</v>
      </c>
    </row>
    <row r="7" spans="1:13" ht="19.5" customHeight="1">
      <c r="A7" s="246" t="s">
        <v>2045</v>
      </c>
      <c r="B7" s="247">
        <v>70</v>
      </c>
      <c r="C7" s="247">
        <v>70</v>
      </c>
      <c r="D7" s="247">
        <v>55</v>
      </c>
      <c r="E7" s="247">
        <v>55</v>
      </c>
      <c r="F7" s="247">
        <v>55</v>
      </c>
      <c r="G7" s="247">
        <v>55</v>
      </c>
      <c r="H7" s="247">
        <v>55</v>
      </c>
      <c r="I7" s="247">
        <v>40</v>
      </c>
      <c r="J7" s="247">
        <v>40</v>
      </c>
      <c r="K7" s="247">
        <v>40</v>
      </c>
      <c r="L7" s="247">
        <v>40</v>
      </c>
      <c r="M7" s="274">
        <v>40</v>
      </c>
    </row>
    <row r="8" spans="1:13" ht="19.5" customHeight="1">
      <c r="A8" s="246" t="s">
        <v>2046</v>
      </c>
      <c r="B8" s="247">
        <v>20</v>
      </c>
      <c r="C8" s="247">
        <v>20</v>
      </c>
      <c r="D8" s="247">
        <v>15</v>
      </c>
      <c r="E8" s="247">
        <v>15</v>
      </c>
      <c r="F8" s="247">
        <v>15</v>
      </c>
      <c r="G8" s="247">
        <v>15</v>
      </c>
      <c r="H8" s="247">
        <v>15</v>
      </c>
      <c r="I8" s="247">
        <v>10</v>
      </c>
      <c r="J8" s="247">
        <v>10</v>
      </c>
      <c r="K8" s="247">
        <v>10</v>
      </c>
      <c r="L8" s="247">
        <v>10</v>
      </c>
      <c r="M8" s="274">
        <v>10</v>
      </c>
    </row>
    <row r="9" spans="1:13" ht="19.5" customHeight="1">
      <c r="A9" s="246" t="s">
        <v>2047</v>
      </c>
      <c r="B9" s="247">
        <v>30</v>
      </c>
      <c r="C9" s="247">
        <v>30</v>
      </c>
      <c r="D9" s="247">
        <v>25</v>
      </c>
      <c r="E9" s="247">
        <v>25</v>
      </c>
      <c r="F9" s="247">
        <v>25</v>
      </c>
      <c r="G9" s="247">
        <v>25</v>
      </c>
      <c r="H9" s="247">
        <v>25</v>
      </c>
      <c r="I9" s="247">
        <v>20</v>
      </c>
      <c r="J9" s="247">
        <v>20</v>
      </c>
      <c r="K9" s="247">
        <v>20</v>
      </c>
      <c r="L9" s="247">
        <v>20</v>
      </c>
      <c r="M9" s="274">
        <v>20</v>
      </c>
    </row>
    <row r="10" spans="1:13" ht="19.5" customHeight="1">
      <c r="A10" s="246" t="s">
        <v>2048</v>
      </c>
      <c r="B10" s="247">
        <v>45</v>
      </c>
      <c r="C10" s="247">
        <v>45</v>
      </c>
      <c r="D10" s="247">
        <v>35</v>
      </c>
      <c r="E10" s="247">
        <v>35</v>
      </c>
      <c r="F10" s="247">
        <v>35</v>
      </c>
      <c r="G10" s="247">
        <v>35</v>
      </c>
      <c r="H10" s="247">
        <v>35</v>
      </c>
      <c r="I10" s="247">
        <v>25</v>
      </c>
      <c r="J10" s="247">
        <v>25</v>
      </c>
      <c r="K10" s="247">
        <v>25</v>
      </c>
      <c r="L10" s="247">
        <v>25</v>
      </c>
      <c r="M10" s="274">
        <v>25</v>
      </c>
    </row>
    <row r="11" spans="1:13" ht="19.5" customHeight="1">
      <c r="A11" s="246" t="s">
        <v>2049</v>
      </c>
      <c r="B11" s="247">
        <v>60</v>
      </c>
      <c r="C11" s="247">
        <v>60</v>
      </c>
      <c r="D11" s="247">
        <v>50</v>
      </c>
      <c r="E11" s="247">
        <v>50</v>
      </c>
      <c r="F11" s="247">
        <v>50</v>
      </c>
      <c r="G11" s="247">
        <v>50</v>
      </c>
      <c r="H11" s="247">
        <v>50</v>
      </c>
      <c r="I11" s="247">
        <v>40</v>
      </c>
      <c r="J11" s="247">
        <v>40</v>
      </c>
      <c r="K11" s="247">
        <v>40</v>
      </c>
      <c r="L11" s="247">
        <v>40</v>
      </c>
      <c r="M11" s="274">
        <v>40</v>
      </c>
    </row>
    <row r="12" spans="1:13" ht="19.5" customHeight="1">
      <c r="A12" s="246" t="s">
        <v>2050</v>
      </c>
      <c r="B12" s="247">
        <v>50</v>
      </c>
      <c r="C12" s="247">
        <v>50</v>
      </c>
      <c r="D12" s="247">
        <v>40</v>
      </c>
      <c r="E12" s="247">
        <v>40</v>
      </c>
      <c r="F12" s="247">
        <v>40</v>
      </c>
      <c r="G12" s="247">
        <v>40</v>
      </c>
      <c r="H12" s="247">
        <v>40</v>
      </c>
      <c r="I12" s="247">
        <v>30</v>
      </c>
      <c r="J12" s="247">
        <v>30</v>
      </c>
      <c r="K12" s="247">
        <v>30</v>
      </c>
      <c r="L12" s="247">
        <v>30</v>
      </c>
      <c r="M12" s="274">
        <v>30</v>
      </c>
    </row>
    <row r="13" spans="1:13" ht="19.5" customHeight="1">
      <c r="A13" s="248" t="s">
        <v>2051</v>
      </c>
      <c r="B13" s="249">
        <v>20</v>
      </c>
      <c r="C13" s="249">
        <v>20</v>
      </c>
      <c r="D13" s="249">
        <v>15</v>
      </c>
      <c r="E13" s="249">
        <v>15</v>
      </c>
      <c r="F13" s="249">
        <v>15</v>
      </c>
      <c r="G13" s="249">
        <v>15</v>
      </c>
      <c r="H13" s="249">
        <v>15</v>
      </c>
      <c r="I13" s="249">
        <v>10</v>
      </c>
      <c r="J13" s="249">
        <v>10</v>
      </c>
      <c r="K13" s="249">
        <v>10</v>
      </c>
      <c r="L13" s="249">
        <v>10</v>
      </c>
      <c r="M13" s="275">
        <v>10</v>
      </c>
    </row>
    <row r="14" spans="1:13" ht="19.5" customHeight="1">
      <c r="A14" s="247" t="s">
        <v>121</v>
      </c>
      <c r="B14" s="250">
        <v>0</v>
      </c>
      <c r="C14" s="250">
        <v>0</v>
      </c>
      <c r="D14" s="250">
        <v>0</v>
      </c>
      <c r="E14" s="250">
        <v>0</v>
      </c>
      <c r="F14" s="250">
        <v>0</v>
      </c>
      <c r="G14" s="250">
        <v>0</v>
      </c>
      <c r="H14" s="250">
        <v>0</v>
      </c>
      <c r="I14" s="250">
        <v>0</v>
      </c>
      <c r="J14" s="250">
        <v>0</v>
      </c>
      <c r="K14" s="250">
        <v>0</v>
      </c>
      <c r="L14" s="250">
        <v>0</v>
      </c>
      <c r="M14" s="250">
        <v>0</v>
      </c>
    </row>
    <row r="15" spans="1:13" ht="19.5" customHeight="1">
      <c r="A15" s="247" t="s">
        <v>2052</v>
      </c>
      <c r="B15" s="250">
        <f>SUM(B6:B13)</f>
        <v>375</v>
      </c>
      <c r="C15" s="250">
        <f t="shared" ref="C15:H15" si="0">SUM(C6:C13)</f>
        <v>375</v>
      </c>
      <c r="D15" s="250">
        <f t="shared" si="0"/>
        <v>300</v>
      </c>
      <c r="E15" s="250">
        <f t="shared" si="0"/>
        <v>300</v>
      </c>
      <c r="F15" s="250">
        <f t="shared" si="0"/>
        <v>300</v>
      </c>
      <c r="G15" s="250">
        <f t="shared" si="0"/>
        <v>300</v>
      </c>
      <c r="H15" s="250">
        <f t="shared" si="0"/>
        <v>300</v>
      </c>
      <c r="I15" s="250">
        <f>SUM(I6:I10,I13)</f>
        <v>155</v>
      </c>
      <c r="J15" s="250">
        <f t="shared" ref="J15:M15" si="1">SUM(J6:J10,J13)</f>
        <v>155</v>
      </c>
      <c r="K15" s="250">
        <f t="shared" si="1"/>
        <v>155</v>
      </c>
      <c r="L15" s="250">
        <f t="shared" si="1"/>
        <v>155</v>
      </c>
      <c r="M15" s="250">
        <f t="shared" si="1"/>
        <v>155</v>
      </c>
    </row>
    <row r="16" spans="1:13" ht="19.5" customHeight="1">
      <c r="A16" s="251" t="s">
        <v>2053</v>
      </c>
      <c r="B16" s="251"/>
      <c r="C16" s="252"/>
      <c r="D16" s="252"/>
      <c r="E16" s="251"/>
      <c r="F16" s="252"/>
      <c r="G16" s="252"/>
    </row>
    <row r="17" spans="1:9" ht="19.5" customHeight="1">
      <c r="A17" s="247" t="s">
        <v>2054</v>
      </c>
      <c r="B17" s="253" t="s">
        <v>2055</v>
      </c>
      <c r="C17" s="253" t="s">
        <v>2056</v>
      </c>
      <c r="D17" s="254"/>
      <c r="E17" s="247" t="s">
        <v>2057</v>
      </c>
      <c r="F17" s="255"/>
      <c r="G17" s="255"/>
    </row>
    <row r="18" spans="1:9" s="230" customFormat="1" ht="19.5" customHeight="1">
      <c r="A18" s="3101" t="s">
        <v>1650</v>
      </c>
      <c r="B18" s="256" t="s">
        <v>2058</v>
      </c>
      <c r="C18" s="257" t="s">
        <v>2059</v>
      </c>
      <c r="D18" s="258"/>
      <c r="E18" s="256">
        <v>1</v>
      </c>
      <c r="F18" s="259" t="s">
        <v>2060</v>
      </c>
      <c r="G18" s="260"/>
      <c r="H18" s="231"/>
      <c r="I18" s="231"/>
    </row>
    <row r="19" spans="1:9" s="230" customFormat="1" ht="19.5" customHeight="1">
      <c r="A19" s="3101"/>
      <c r="B19" s="3101" t="s">
        <v>2061</v>
      </c>
      <c r="C19" s="257" t="s">
        <v>2062</v>
      </c>
      <c r="D19" s="258"/>
      <c r="E19" s="256">
        <v>0.9</v>
      </c>
      <c r="F19" s="259" t="s">
        <v>2063</v>
      </c>
      <c r="G19" s="260"/>
      <c r="H19" s="231"/>
      <c r="I19" s="231"/>
    </row>
    <row r="20" spans="1:9" s="230" customFormat="1" ht="19.5" customHeight="1">
      <c r="A20" s="3101"/>
      <c r="B20" s="3101"/>
      <c r="C20" s="257" t="s">
        <v>2064</v>
      </c>
      <c r="D20" s="258"/>
      <c r="E20" s="256">
        <v>1.1000000000000001</v>
      </c>
      <c r="F20" s="259" t="s">
        <v>2065</v>
      </c>
      <c r="G20" s="260"/>
      <c r="H20" s="231"/>
      <c r="I20" s="231"/>
    </row>
    <row r="21" spans="1:9" s="230" customFormat="1" ht="19.5" customHeight="1">
      <c r="A21" s="3101"/>
      <c r="B21" s="3101"/>
      <c r="C21" s="257" t="s">
        <v>2066</v>
      </c>
      <c r="D21" s="258"/>
      <c r="E21" s="256">
        <v>0.8</v>
      </c>
      <c r="F21" s="259" t="s">
        <v>2067</v>
      </c>
      <c r="G21" s="260"/>
      <c r="H21" s="231"/>
      <c r="I21" s="231"/>
    </row>
    <row r="22" spans="1:9" s="230" customFormat="1" ht="19.5" customHeight="1">
      <c r="A22" s="3101"/>
      <c r="B22" s="3101"/>
      <c r="C22" s="257" t="s">
        <v>2068</v>
      </c>
      <c r="D22" s="258"/>
      <c r="E22" s="256">
        <v>0.5</v>
      </c>
      <c r="F22" s="259"/>
      <c r="G22" s="260"/>
      <c r="H22" s="231"/>
      <c r="I22" s="231"/>
    </row>
    <row r="23" spans="1:9" s="230" customFormat="1" ht="19.5" customHeight="1">
      <c r="A23" s="3101" t="s">
        <v>470</v>
      </c>
      <c r="B23" s="256" t="s">
        <v>2058</v>
      </c>
      <c r="C23" s="257" t="s">
        <v>2069</v>
      </c>
      <c r="D23" s="258"/>
      <c r="E23" s="256">
        <v>1</v>
      </c>
      <c r="F23" s="259" t="s">
        <v>2070</v>
      </c>
      <c r="G23" s="260"/>
      <c r="H23" s="231"/>
      <c r="I23" s="231"/>
    </row>
    <row r="24" spans="1:9" s="230" customFormat="1" ht="19.5" customHeight="1">
      <c r="A24" s="3101"/>
      <c r="B24" s="3101" t="s">
        <v>2061</v>
      </c>
      <c r="C24" s="257" t="s">
        <v>2071</v>
      </c>
      <c r="D24" s="258"/>
      <c r="E24" s="256">
        <v>0.5</v>
      </c>
      <c r="F24" s="259"/>
      <c r="G24" s="260"/>
      <c r="H24" s="231"/>
      <c r="I24" s="231"/>
    </row>
    <row r="25" spans="1:9" s="230" customFormat="1" ht="19.5" customHeight="1">
      <c r="A25" s="3101"/>
      <c r="B25" s="3101"/>
      <c r="C25" s="257" t="s">
        <v>2072</v>
      </c>
      <c r="D25" s="258"/>
      <c r="E25" s="256">
        <v>1.1000000000000001</v>
      </c>
      <c r="F25" s="259"/>
      <c r="G25" s="260"/>
      <c r="H25" s="231"/>
      <c r="I25" s="231"/>
    </row>
    <row r="26" spans="1:9" s="230" customFormat="1" ht="19.5" customHeight="1">
      <c r="A26" s="3101"/>
      <c r="B26" s="3101"/>
      <c r="C26" s="257" t="s">
        <v>2073</v>
      </c>
      <c r="D26" s="258"/>
      <c r="E26" s="256">
        <v>1.1000000000000001</v>
      </c>
      <c r="F26" s="259"/>
      <c r="G26" s="260"/>
      <c r="H26" s="231"/>
      <c r="I26" s="231"/>
    </row>
    <row r="27" spans="1:9" s="230" customFormat="1" ht="19.5" customHeight="1">
      <c r="A27" s="3101"/>
      <c r="B27" s="3101"/>
      <c r="C27" s="257" t="s">
        <v>2074</v>
      </c>
      <c r="D27" s="258"/>
      <c r="E27" s="256">
        <v>0.9</v>
      </c>
      <c r="F27" s="259" t="s">
        <v>2075</v>
      </c>
      <c r="G27" s="260"/>
      <c r="H27" s="231"/>
      <c r="I27" s="231"/>
    </row>
    <row r="28" spans="1:9" s="230" customFormat="1" ht="19.5" customHeight="1">
      <c r="A28" s="3101"/>
      <c r="B28" s="3101"/>
      <c r="C28" s="257" t="s">
        <v>2076</v>
      </c>
      <c r="D28" s="258"/>
      <c r="E28" s="256">
        <v>0.9</v>
      </c>
      <c r="F28" s="259" t="s">
        <v>2077</v>
      </c>
      <c r="G28" s="260"/>
      <c r="H28" s="231"/>
      <c r="I28" s="231"/>
    </row>
    <row r="29" spans="1:9" s="230" customFormat="1" ht="19.5" customHeight="1">
      <c r="A29" s="3101"/>
      <c r="B29" s="3101"/>
      <c r="C29" s="257" t="s">
        <v>2078</v>
      </c>
      <c r="D29" s="258"/>
      <c r="E29" s="256">
        <v>0.9</v>
      </c>
      <c r="F29" s="259" t="s">
        <v>2079</v>
      </c>
      <c r="G29" s="260"/>
      <c r="H29" s="231"/>
      <c r="I29" s="231"/>
    </row>
    <row r="30" spans="1:9" s="230" customFormat="1" ht="19.5" customHeight="1">
      <c r="A30" s="3101"/>
      <c r="B30" s="3101"/>
      <c r="C30" s="257" t="s">
        <v>2080</v>
      </c>
      <c r="D30" s="258"/>
      <c r="E30" s="256">
        <v>0.9</v>
      </c>
      <c r="F30" s="259" t="s">
        <v>2081</v>
      </c>
      <c r="G30" s="260"/>
      <c r="H30" s="231"/>
      <c r="I30" s="231"/>
    </row>
    <row r="31" spans="1:9" s="230" customFormat="1" ht="19.5" customHeight="1">
      <c r="A31" s="3101"/>
      <c r="B31" s="3101"/>
      <c r="C31" s="257" t="s">
        <v>2082</v>
      </c>
      <c r="D31" s="258"/>
      <c r="E31" s="256">
        <v>0.8</v>
      </c>
      <c r="F31" s="259" t="s">
        <v>2083</v>
      </c>
      <c r="G31" s="260"/>
      <c r="H31" s="231"/>
      <c r="I31" s="231"/>
    </row>
    <row r="32" spans="1:9" s="230" customFormat="1" ht="19.5" customHeight="1">
      <c r="A32" s="3101"/>
      <c r="B32" s="3101"/>
      <c r="C32" s="257" t="s">
        <v>2084</v>
      </c>
      <c r="D32" s="258"/>
      <c r="E32" s="256">
        <v>0.8</v>
      </c>
      <c r="F32" s="259" t="s">
        <v>2085</v>
      </c>
      <c r="G32" s="260"/>
      <c r="H32" s="231"/>
      <c r="I32" s="231"/>
    </row>
    <row r="33" spans="1:9" s="230" customFormat="1" ht="19.5" customHeight="1">
      <c r="A33" s="3101" t="s">
        <v>2086</v>
      </c>
      <c r="B33" s="256" t="s">
        <v>2058</v>
      </c>
      <c r="C33" s="257" t="s">
        <v>2087</v>
      </c>
      <c r="D33" s="258"/>
      <c r="E33" s="256">
        <v>1</v>
      </c>
      <c r="F33" s="259" t="s">
        <v>2088</v>
      </c>
      <c r="G33" s="260"/>
      <c r="H33" s="231"/>
      <c r="I33" s="231"/>
    </row>
    <row r="34" spans="1:9" s="230" customFormat="1" ht="19.5" customHeight="1">
      <c r="A34" s="3101"/>
      <c r="B34" s="256" t="s">
        <v>2061</v>
      </c>
      <c r="C34" s="257" t="s">
        <v>2089</v>
      </c>
      <c r="D34" s="258"/>
      <c r="E34" s="256">
        <v>1.5</v>
      </c>
      <c r="F34" s="259" t="s">
        <v>2090</v>
      </c>
      <c r="G34" s="260"/>
      <c r="H34" s="231"/>
      <c r="I34" s="231"/>
    </row>
    <row r="35" spans="1:9" s="230" customFormat="1" ht="19.5" customHeight="1">
      <c r="A35" s="3101" t="s">
        <v>1652</v>
      </c>
      <c r="B35" s="256" t="s">
        <v>2058</v>
      </c>
      <c r="C35" s="257" t="s">
        <v>2091</v>
      </c>
      <c r="D35" s="258"/>
      <c r="E35" s="256">
        <v>1</v>
      </c>
      <c r="F35" s="259" t="s">
        <v>2092</v>
      </c>
      <c r="G35" s="260"/>
      <c r="H35" s="231"/>
      <c r="I35" s="231"/>
    </row>
    <row r="36" spans="1:9" s="230" customFormat="1" ht="19.5" customHeight="1">
      <c r="A36" s="3101"/>
      <c r="B36" s="3101" t="s">
        <v>2061</v>
      </c>
      <c r="C36" s="257" t="s">
        <v>2093</v>
      </c>
      <c r="D36" s="258"/>
      <c r="E36" s="256">
        <v>1</v>
      </c>
      <c r="F36" s="259" t="s">
        <v>2094</v>
      </c>
      <c r="G36" s="260"/>
      <c r="H36" s="231"/>
      <c r="I36" s="231"/>
    </row>
    <row r="37" spans="1:9" s="230" customFormat="1" ht="19.5" customHeight="1">
      <c r="A37" s="3101"/>
      <c r="B37" s="3101"/>
      <c r="C37" s="257" t="s">
        <v>2095</v>
      </c>
      <c r="D37" s="258"/>
      <c r="E37" s="256">
        <v>1.5</v>
      </c>
      <c r="F37" s="259" t="s">
        <v>2096</v>
      </c>
      <c r="G37" s="260"/>
      <c r="H37" s="231"/>
      <c r="I37" s="231"/>
    </row>
    <row r="38" spans="1:9" s="230" customFormat="1" ht="19.5" customHeight="1">
      <c r="A38" s="3101"/>
      <c r="B38" s="3101"/>
      <c r="C38" s="257" t="s">
        <v>2097</v>
      </c>
      <c r="D38" s="258"/>
      <c r="E38" s="256">
        <v>1</v>
      </c>
      <c r="F38" s="259" t="s">
        <v>2098</v>
      </c>
      <c r="G38" s="260"/>
      <c r="H38" s="231"/>
      <c r="I38" s="231"/>
    </row>
    <row r="39" spans="1:9" s="230" customFormat="1" ht="19.5" customHeight="1">
      <c r="A39" s="3101"/>
      <c r="B39" s="3101"/>
      <c r="C39" s="257" t="s">
        <v>2099</v>
      </c>
      <c r="D39" s="258"/>
      <c r="E39" s="256">
        <v>1</v>
      </c>
      <c r="F39" s="259" t="s">
        <v>2100</v>
      </c>
      <c r="G39" s="260"/>
      <c r="H39" s="231"/>
      <c r="I39" s="231"/>
    </row>
    <row r="40" spans="1:9" s="230" customFormat="1" ht="19.5" customHeight="1">
      <c r="A40" s="261" t="s">
        <v>2101</v>
      </c>
      <c r="B40" s="261"/>
      <c r="C40" s="261"/>
      <c r="D40" s="261"/>
      <c r="E40" s="261"/>
      <c r="F40" s="262"/>
      <c r="G40" s="262"/>
      <c r="H40" s="231"/>
      <c r="I40" s="231"/>
    </row>
    <row r="42" spans="1:9" ht="19.5" customHeight="1">
      <c r="A42" s="263"/>
      <c r="B42" s="247" t="s">
        <v>2102</v>
      </c>
      <c r="C42" s="247" t="s">
        <v>2102</v>
      </c>
      <c r="D42" s="247" t="s">
        <v>2102</v>
      </c>
      <c r="E42" s="249" t="s">
        <v>2102</v>
      </c>
      <c r="F42" s="249" t="s">
        <v>2102</v>
      </c>
      <c r="G42" s="249" t="s">
        <v>2103</v>
      </c>
      <c r="H42" s="249" t="s">
        <v>2102</v>
      </c>
    </row>
    <row r="43" spans="1:9" ht="19.5" customHeight="1">
      <c r="A43" s="264"/>
      <c r="B43" s="249" t="s">
        <v>1650</v>
      </c>
      <c r="C43" s="249" t="s">
        <v>1650</v>
      </c>
      <c r="D43" s="249" t="s">
        <v>1650</v>
      </c>
      <c r="E43" s="249" t="s">
        <v>1650</v>
      </c>
      <c r="F43" s="247" t="s">
        <v>470</v>
      </c>
      <c r="G43" s="247" t="s">
        <v>1652</v>
      </c>
      <c r="H43" s="247" t="s">
        <v>2104</v>
      </c>
    </row>
    <row r="44" spans="1:9" ht="19.5" customHeight="1">
      <c r="A44" s="265"/>
      <c r="B44" s="247">
        <v>1</v>
      </c>
      <c r="C44" s="247">
        <v>2</v>
      </c>
      <c r="D44" s="247">
        <v>3</v>
      </c>
      <c r="E44" s="249">
        <v>4</v>
      </c>
      <c r="F44" s="254" t="s">
        <v>2105</v>
      </c>
      <c r="G44" s="254" t="s">
        <v>2105</v>
      </c>
      <c r="H44" s="254" t="s">
        <v>2105</v>
      </c>
    </row>
    <row r="45" spans="1:9" ht="19.5" customHeight="1">
      <c r="A45" s="266" t="s">
        <v>1655</v>
      </c>
      <c r="B45" s="247">
        <v>0.8</v>
      </c>
      <c r="C45" s="247">
        <v>0.5</v>
      </c>
      <c r="D45" s="247">
        <v>0.36</v>
      </c>
      <c r="E45" s="247">
        <v>0.3</v>
      </c>
      <c r="F45" s="254">
        <v>0.3</v>
      </c>
      <c r="G45" s="247">
        <v>0.3</v>
      </c>
      <c r="H45" s="247">
        <v>0.25</v>
      </c>
    </row>
    <row r="46" spans="1:9" ht="19.5" customHeight="1">
      <c r="A46" s="266" t="s">
        <v>357</v>
      </c>
      <c r="B46" s="247">
        <v>0.8</v>
      </c>
      <c r="C46" s="247">
        <v>0.5</v>
      </c>
      <c r="D46" s="247">
        <v>0.36</v>
      </c>
      <c r="E46" s="247">
        <v>0.3</v>
      </c>
      <c r="F46" s="247">
        <v>0.3</v>
      </c>
      <c r="G46" s="247">
        <v>0.3</v>
      </c>
      <c r="H46" s="247">
        <v>0.25</v>
      </c>
    </row>
    <row r="47" spans="1:9" ht="19.5" customHeight="1">
      <c r="A47" s="266" t="s">
        <v>1679</v>
      </c>
      <c r="B47" s="247">
        <v>0.7</v>
      </c>
      <c r="C47" s="247">
        <v>0.4</v>
      </c>
      <c r="D47" s="247">
        <v>0.28000000000000003</v>
      </c>
      <c r="E47" s="247">
        <v>0.25</v>
      </c>
      <c r="F47" s="247">
        <v>0.25</v>
      </c>
      <c r="G47" s="247">
        <v>0.25</v>
      </c>
      <c r="H47" s="247">
        <v>0.2</v>
      </c>
    </row>
    <row r="48" spans="1:9" ht="19.5" customHeight="1">
      <c r="A48" s="266" t="s">
        <v>1700</v>
      </c>
      <c r="B48" s="247">
        <v>0.7</v>
      </c>
      <c r="C48" s="247">
        <v>0.4</v>
      </c>
      <c r="D48" s="247">
        <v>0.28000000000000003</v>
      </c>
      <c r="E48" s="247">
        <v>0.25</v>
      </c>
      <c r="F48" s="247">
        <v>0.25</v>
      </c>
      <c r="G48" s="247">
        <v>0.25</v>
      </c>
      <c r="H48" s="247">
        <v>0.2</v>
      </c>
    </row>
    <row r="49" spans="1:8" s="231" customFormat="1" ht="19.5" customHeight="1">
      <c r="A49" s="266" t="s">
        <v>1728</v>
      </c>
      <c r="B49" s="247">
        <v>0.7</v>
      </c>
      <c r="C49" s="247">
        <v>0.4</v>
      </c>
      <c r="D49" s="247">
        <v>0.28000000000000003</v>
      </c>
      <c r="E49" s="247">
        <v>0.25</v>
      </c>
      <c r="F49" s="247">
        <v>0.25</v>
      </c>
      <c r="G49" s="247">
        <v>0.25</v>
      </c>
      <c r="H49" s="247">
        <v>0.2</v>
      </c>
    </row>
    <row r="50" spans="1:8" s="231" customFormat="1" ht="19.5" customHeight="1">
      <c r="A50" s="266" t="s">
        <v>1763</v>
      </c>
      <c r="B50" s="247">
        <v>0.7</v>
      </c>
      <c r="C50" s="247">
        <v>0.4</v>
      </c>
      <c r="D50" s="247">
        <v>0.28000000000000003</v>
      </c>
      <c r="E50" s="247">
        <v>0.25</v>
      </c>
      <c r="F50" s="247">
        <v>0.25</v>
      </c>
      <c r="G50" s="247">
        <v>0.25</v>
      </c>
      <c r="H50" s="247">
        <v>0.2</v>
      </c>
    </row>
    <row r="51" spans="1:8" s="231" customFormat="1" ht="19.5" customHeight="1">
      <c r="A51" s="266" t="s">
        <v>1812</v>
      </c>
      <c r="B51" s="247">
        <v>0.7</v>
      </c>
      <c r="C51" s="247">
        <v>0.4</v>
      </c>
      <c r="D51" s="247">
        <v>0.28000000000000003</v>
      </c>
      <c r="E51" s="247">
        <v>0.25</v>
      </c>
      <c r="F51" s="247">
        <v>0.25</v>
      </c>
      <c r="G51" s="247">
        <v>0.25</v>
      </c>
      <c r="H51" s="247">
        <v>0.2</v>
      </c>
    </row>
    <row r="52" spans="1:8" s="231" customFormat="1" ht="19.5" customHeight="1">
      <c r="A52" s="266" t="s">
        <v>1861</v>
      </c>
      <c r="B52" s="247">
        <v>0.6</v>
      </c>
      <c r="C52" s="247">
        <v>0.3</v>
      </c>
      <c r="D52" s="247">
        <v>0.2</v>
      </c>
      <c r="E52" s="247">
        <v>0.2</v>
      </c>
      <c r="F52" s="247">
        <v>0.2</v>
      </c>
      <c r="G52" s="247">
        <v>0.2</v>
      </c>
      <c r="H52" s="247">
        <v>0.15</v>
      </c>
    </row>
    <row r="53" spans="1:8" s="231" customFormat="1" ht="19.5" customHeight="1">
      <c r="A53" s="266" t="s">
        <v>1901</v>
      </c>
      <c r="B53" s="247">
        <v>0.6</v>
      </c>
      <c r="C53" s="247">
        <v>0.3</v>
      </c>
      <c r="D53" s="247">
        <v>0.2</v>
      </c>
      <c r="E53" s="247">
        <v>0.2</v>
      </c>
      <c r="F53" s="247">
        <v>0.2</v>
      </c>
      <c r="G53" s="247">
        <v>0.2</v>
      </c>
      <c r="H53" s="247">
        <v>0.15</v>
      </c>
    </row>
    <row r="54" spans="1:8" s="231" customFormat="1" ht="19.5" customHeight="1">
      <c r="A54" s="266" t="s">
        <v>1947</v>
      </c>
      <c r="B54" s="247">
        <v>0.6</v>
      </c>
      <c r="C54" s="247">
        <v>0.3</v>
      </c>
      <c r="D54" s="247">
        <v>0.2</v>
      </c>
      <c r="E54" s="247">
        <v>0.2</v>
      </c>
      <c r="F54" s="247">
        <v>0.2</v>
      </c>
      <c r="G54" s="247">
        <v>0.2</v>
      </c>
      <c r="H54" s="247">
        <v>0.15</v>
      </c>
    </row>
    <row r="55" spans="1:8" s="231" customFormat="1" ht="19.5" customHeight="1">
      <c r="A55" s="266" t="s">
        <v>1975</v>
      </c>
      <c r="B55" s="247">
        <v>0.6</v>
      </c>
      <c r="C55" s="247">
        <v>0.3</v>
      </c>
      <c r="D55" s="247">
        <v>0.2</v>
      </c>
      <c r="E55" s="247">
        <v>0.2</v>
      </c>
      <c r="F55" s="247">
        <v>0.2</v>
      </c>
      <c r="G55" s="247">
        <v>0.2</v>
      </c>
      <c r="H55" s="247">
        <v>0.15</v>
      </c>
    </row>
    <row r="56" spans="1:8" s="231" customFormat="1" ht="19.5" customHeight="1">
      <c r="A56" s="266" t="s">
        <v>1997</v>
      </c>
      <c r="B56" s="247">
        <v>0.6</v>
      </c>
      <c r="C56" s="247">
        <v>0.3</v>
      </c>
      <c r="D56" s="247">
        <v>0.2</v>
      </c>
      <c r="E56" s="247">
        <v>0.2</v>
      </c>
      <c r="F56" s="247">
        <v>0.2</v>
      </c>
      <c r="G56" s="247">
        <v>0.2</v>
      </c>
      <c r="H56" s="247">
        <v>0.15</v>
      </c>
    </row>
    <row r="58" spans="1:8" s="231" customFormat="1" ht="19.5" customHeight="1">
      <c r="A58" s="267"/>
      <c r="B58" s="251"/>
      <c r="C58" s="251"/>
      <c r="D58" s="251" t="s">
        <v>2106</v>
      </c>
      <c r="E58" s="251"/>
      <c r="F58" s="251"/>
    </row>
    <row r="59" spans="1:8" s="231" customFormat="1" ht="19.5" customHeight="1">
      <c r="A59" s="256" t="s">
        <v>2107</v>
      </c>
      <c r="B59" s="256" t="s">
        <v>2108</v>
      </c>
      <c r="C59" s="256" t="s">
        <v>2109</v>
      </c>
      <c r="D59" s="256" t="s">
        <v>2110</v>
      </c>
      <c r="E59" s="256" t="s">
        <v>2111</v>
      </c>
      <c r="F59" s="256" t="s">
        <v>2112</v>
      </c>
    </row>
    <row r="60" spans="1:8" ht="13.5">
      <c r="A60" s="256"/>
      <c r="B60" s="256"/>
      <c r="C60" s="256" t="s">
        <v>2113</v>
      </c>
      <c r="D60" s="256"/>
      <c r="E60" s="268" t="s">
        <v>121</v>
      </c>
      <c r="F60" s="256" t="s">
        <v>121</v>
      </c>
    </row>
    <row r="61" spans="1:8" s="231" customFormat="1" ht="24">
      <c r="A61" s="256">
        <v>1</v>
      </c>
      <c r="B61" s="3101" t="s">
        <v>2114</v>
      </c>
      <c r="C61" s="247" t="s">
        <v>2115</v>
      </c>
      <c r="D61" s="247" t="s">
        <v>2116</v>
      </c>
      <c r="E61" s="268">
        <v>0.5</v>
      </c>
      <c r="F61" s="256">
        <v>80</v>
      </c>
    </row>
    <row r="62" spans="1:8" s="231" customFormat="1" ht="24">
      <c r="A62" s="256">
        <v>2</v>
      </c>
      <c r="B62" s="3101"/>
      <c r="C62" s="247" t="s">
        <v>2117</v>
      </c>
      <c r="D62" s="247" t="s">
        <v>2118</v>
      </c>
      <c r="E62" s="268">
        <v>0.5</v>
      </c>
      <c r="F62" s="256">
        <v>80</v>
      </c>
    </row>
    <row r="63" spans="1:8" s="231" customFormat="1" ht="36">
      <c r="A63" s="256">
        <v>3</v>
      </c>
      <c r="B63" s="3101"/>
      <c r="C63" s="247" t="s">
        <v>2119</v>
      </c>
      <c r="D63" s="247" t="s">
        <v>2120</v>
      </c>
      <c r="E63" s="268">
        <v>0.5</v>
      </c>
      <c r="F63" s="256">
        <v>80</v>
      </c>
    </row>
    <row r="64" spans="1:8" s="231" customFormat="1" ht="36">
      <c r="A64" s="256">
        <v>4</v>
      </c>
      <c r="B64" s="3101"/>
      <c r="C64" s="247" t="s">
        <v>2121</v>
      </c>
      <c r="D64" s="247" t="s">
        <v>2122</v>
      </c>
      <c r="E64" s="268">
        <v>0.4</v>
      </c>
      <c r="F64" s="256">
        <v>60</v>
      </c>
    </row>
    <row r="65" spans="1:6" s="231" customFormat="1" ht="36">
      <c r="A65" s="256">
        <v>5</v>
      </c>
      <c r="B65" s="3101"/>
      <c r="C65" s="247" t="s">
        <v>2123</v>
      </c>
      <c r="D65" s="247" t="s">
        <v>2124</v>
      </c>
      <c r="E65" s="268">
        <v>0.2</v>
      </c>
      <c r="F65" s="256">
        <v>30</v>
      </c>
    </row>
    <row r="66" spans="1:6" s="231" customFormat="1" ht="36">
      <c r="A66" s="256">
        <v>6</v>
      </c>
      <c r="B66" s="3101"/>
      <c r="C66" s="247" t="s">
        <v>2125</v>
      </c>
      <c r="D66" s="247" t="s">
        <v>2126</v>
      </c>
      <c r="E66" s="268">
        <v>0.3</v>
      </c>
      <c r="F66" s="256">
        <v>50</v>
      </c>
    </row>
    <row r="67" spans="1:6" s="231" customFormat="1" ht="36">
      <c r="A67" s="256">
        <v>7</v>
      </c>
      <c r="B67" s="3101"/>
      <c r="C67" s="247" t="s">
        <v>2127</v>
      </c>
      <c r="D67" s="247" t="s">
        <v>2128</v>
      </c>
      <c r="E67" s="268">
        <v>0.2</v>
      </c>
      <c r="F67" s="256">
        <v>30</v>
      </c>
    </row>
    <row r="68" spans="1:6" s="231" customFormat="1" ht="36">
      <c r="A68" s="256">
        <v>8</v>
      </c>
      <c r="B68" s="3101"/>
      <c r="C68" s="247" t="s">
        <v>2129</v>
      </c>
      <c r="D68" s="247" t="s">
        <v>2130</v>
      </c>
      <c r="E68" s="268">
        <v>0.2</v>
      </c>
      <c r="F68" s="256">
        <v>30</v>
      </c>
    </row>
    <row r="69" spans="1:6" s="231" customFormat="1" ht="36">
      <c r="A69" s="256">
        <v>9</v>
      </c>
      <c r="B69" s="3101"/>
      <c r="C69" s="247" t="s">
        <v>2131</v>
      </c>
      <c r="D69" s="247" t="s">
        <v>2132</v>
      </c>
      <c r="E69" s="268">
        <v>0.2</v>
      </c>
      <c r="F69" s="256">
        <v>30</v>
      </c>
    </row>
    <row r="70" spans="1:6" s="231" customFormat="1" ht="48">
      <c r="A70" s="256">
        <v>10</v>
      </c>
      <c r="B70" s="3101"/>
      <c r="C70" s="247" t="s">
        <v>2133</v>
      </c>
      <c r="D70" s="247" t="s">
        <v>2134</v>
      </c>
      <c r="E70" s="268">
        <v>0.2</v>
      </c>
      <c r="F70" s="256">
        <v>30</v>
      </c>
    </row>
    <row r="71" spans="1:6" s="231" customFormat="1" ht="48">
      <c r="A71" s="256">
        <v>11</v>
      </c>
      <c r="B71" s="3101"/>
      <c r="C71" s="247" t="s">
        <v>2135</v>
      </c>
      <c r="D71" s="247" t="s">
        <v>2136</v>
      </c>
      <c r="E71" s="268">
        <v>0.2</v>
      </c>
      <c r="F71" s="256">
        <v>30</v>
      </c>
    </row>
    <row r="72" spans="1:6" s="231" customFormat="1" ht="36">
      <c r="A72" s="256">
        <v>12</v>
      </c>
      <c r="B72" s="3101"/>
      <c r="C72" s="247" t="s">
        <v>2137</v>
      </c>
      <c r="D72" s="247" t="s">
        <v>2138</v>
      </c>
      <c r="E72" s="268">
        <v>0.5</v>
      </c>
      <c r="F72" s="256">
        <v>80</v>
      </c>
    </row>
    <row r="73" spans="1:6" s="231" customFormat="1" ht="24">
      <c r="A73" s="256">
        <v>13</v>
      </c>
      <c r="B73" s="3101"/>
      <c r="C73" s="247" t="s">
        <v>2139</v>
      </c>
      <c r="D73" s="247" t="s">
        <v>2140</v>
      </c>
      <c r="E73" s="268">
        <v>0.4</v>
      </c>
      <c r="F73" s="256">
        <v>60</v>
      </c>
    </row>
    <row r="74" spans="1:6" s="231" customFormat="1" ht="24">
      <c r="A74" s="256">
        <v>14</v>
      </c>
      <c r="B74" s="3101"/>
      <c r="C74" s="247" t="s">
        <v>2141</v>
      </c>
      <c r="D74" s="247" t="s">
        <v>2142</v>
      </c>
      <c r="E74" s="268">
        <v>0.2</v>
      </c>
      <c r="F74" s="256">
        <v>30</v>
      </c>
    </row>
    <row r="75" spans="1:6" s="231" customFormat="1" ht="24">
      <c r="A75" s="256">
        <v>15</v>
      </c>
      <c r="B75" s="3101"/>
      <c r="C75" s="247" t="s">
        <v>2143</v>
      </c>
      <c r="D75" s="247" t="s">
        <v>2144</v>
      </c>
      <c r="E75" s="268">
        <v>0.2</v>
      </c>
      <c r="F75" s="256">
        <v>30</v>
      </c>
    </row>
    <row r="76" spans="1:6" s="231" customFormat="1" ht="24">
      <c r="A76" s="256">
        <v>16</v>
      </c>
      <c r="B76" s="3101" t="s">
        <v>2145</v>
      </c>
      <c r="C76" s="247" t="s">
        <v>2146</v>
      </c>
      <c r="D76" s="247" t="s">
        <v>2147</v>
      </c>
      <c r="E76" s="268">
        <v>0.5</v>
      </c>
      <c r="F76" s="256">
        <v>80</v>
      </c>
    </row>
    <row r="77" spans="1:6" s="231" customFormat="1" ht="24">
      <c r="A77" s="256">
        <v>17</v>
      </c>
      <c r="B77" s="3101"/>
      <c r="C77" s="247" t="s">
        <v>2148</v>
      </c>
      <c r="D77" s="247" t="s">
        <v>2149</v>
      </c>
      <c r="E77" s="268">
        <v>0.5</v>
      </c>
      <c r="F77" s="256">
        <v>80</v>
      </c>
    </row>
    <row r="78" spans="1:6" s="231" customFormat="1" ht="24">
      <c r="A78" s="256">
        <v>18</v>
      </c>
      <c r="B78" s="3101"/>
      <c r="C78" s="247" t="s">
        <v>2150</v>
      </c>
      <c r="D78" s="247" t="s">
        <v>2151</v>
      </c>
      <c r="E78" s="268">
        <v>0.2</v>
      </c>
      <c r="F78" s="256">
        <v>30</v>
      </c>
    </row>
    <row r="79" spans="1:6" s="231" customFormat="1" ht="24">
      <c r="A79" s="256">
        <v>19</v>
      </c>
      <c r="B79" s="3101"/>
      <c r="C79" s="247" t="s">
        <v>2152</v>
      </c>
      <c r="D79" s="247" t="s">
        <v>2153</v>
      </c>
      <c r="E79" s="268">
        <v>0.5</v>
      </c>
      <c r="F79" s="256">
        <v>80</v>
      </c>
    </row>
    <row r="80" spans="1:6" s="231" customFormat="1" ht="36">
      <c r="A80" s="256">
        <v>20</v>
      </c>
      <c r="B80" s="3101"/>
      <c r="C80" s="247" t="s">
        <v>2154</v>
      </c>
      <c r="D80" s="247" t="s">
        <v>2155</v>
      </c>
      <c r="E80" s="268">
        <v>0.2</v>
      </c>
      <c r="F80" s="256">
        <v>30</v>
      </c>
    </row>
    <row r="81" spans="1:6" s="231" customFormat="1" ht="36">
      <c r="A81" s="256">
        <v>21</v>
      </c>
      <c r="B81" s="3101"/>
      <c r="C81" s="247" t="s">
        <v>2156</v>
      </c>
      <c r="D81" s="247" t="s">
        <v>2157</v>
      </c>
      <c r="E81" s="268">
        <v>0.2</v>
      </c>
      <c r="F81" s="256">
        <v>30</v>
      </c>
    </row>
    <row r="82" spans="1:6" s="231" customFormat="1" ht="48">
      <c r="A82" s="256">
        <v>22</v>
      </c>
      <c r="B82" s="3101"/>
      <c r="C82" s="247" t="s">
        <v>2158</v>
      </c>
      <c r="D82" s="247" t="s">
        <v>2159</v>
      </c>
      <c r="E82" s="268">
        <v>0.2</v>
      </c>
      <c r="F82" s="256">
        <v>30</v>
      </c>
    </row>
    <row r="83" spans="1:6" s="231" customFormat="1" ht="48">
      <c r="A83" s="256">
        <v>23</v>
      </c>
      <c r="B83" s="3101"/>
      <c r="C83" s="247" t="s">
        <v>2160</v>
      </c>
      <c r="D83" s="247" t="s">
        <v>2161</v>
      </c>
      <c r="E83" s="268">
        <v>0.2</v>
      </c>
      <c r="F83" s="256">
        <v>30</v>
      </c>
    </row>
    <row r="84" spans="1:6" s="231" customFormat="1" ht="36">
      <c r="A84" s="256">
        <v>24</v>
      </c>
      <c r="B84" s="3101"/>
      <c r="C84" s="247" t="s">
        <v>2162</v>
      </c>
      <c r="D84" s="247" t="s">
        <v>2163</v>
      </c>
      <c r="E84" s="268">
        <v>0.2</v>
      </c>
      <c r="F84" s="256">
        <v>30</v>
      </c>
    </row>
    <row r="85" spans="1:6" s="231" customFormat="1" ht="36">
      <c r="A85" s="256">
        <v>25</v>
      </c>
      <c r="B85" s="3101"/>
      <c r="C85" s="247" t="s">
        <v>2164</v>
      </c>
      <c r="D85" s="247" t="s">
        <v>2165</v>
      </c>
      <c r="E85" s="268">
        <v>0.5</v>
      </c>
      <c r="F85" s="256">
        <v>80</v>
      </c>
    </row>
    <row r="86" spans="1:6" s="231" customFormat="1" ht="36">
      <c r="A86" s="256">
        <v>26</v>
      </c>
      <c r="B86" s="3101"/>
      <c r="C86" s="247" t="s">
        <v>2166</v>
      </c>
      <c r="D86" s="247" t="s">
        <v>2167</v>
      </c>
      <c r="E86" s="268">
        <v>0.2</v>
      </c>
      <c r="F86" s="256">
        <v>30</v>
      </c>
    </row>
    <row r="87" spans="1:6" s="231" customFormat="1" ht="36">
      <c r="A87" s="256">
        <v>27</v>
      </c>
      <c r="B87" s="3101"/>
      <c r="C87" s="247" t="s">
        <v>2168</v>
      </c>
      <c r="D87" s="247" t="s">
        <v>2169</v>
      </c>
      <c r="E87" s="268">
        <v>0.2</v>
      </c>
      <c r="F87" s="256">
        <v>30</v>
      </c>
    </row>
    <row r="88" spans="1:6" s="231" customFormat="1" ht="36">
      <c r="A88" s="256">
        <v>28</v>
      </c>
      <c r="B88" s="3101"/>
      <c r="C88" s="247" t="s">
        <v>2170</v>
      </c>
      <c r="D88" s="247" t="s">
        <v>2171</v>
      </c>
      <c r="E88" s="268">
        <v>0.2</v>
      </c>
      <c r="F88" s="256">
        <v>30</v>
      </c>
    </row>
    <row r="89" spans="1:6" s="231" customFormat="1" ht="24">
      <c r="A89" s="256">
        <v>29</v>
      </c>
      <c r="B89" s="3101"/>
      <c r="C89" s="247" t="s">
        <v>2172</v>
      </c>
      <c r="D89" s="247" t="s">
        <v>2173</v>
      </c>
      <c r="E89" s="268">
        <v>0.2</v>
      </c>
      <c r="F89" s="256">
        <v>30</v>
      </c>
    </row>
    <row r="90" spans="1:6" s="231" customFormat="1" ht="24">
      <c r="A90" s="256">
        <v>30</v>
      </c>
      <c r="B90" s="3101"/>
      <c r="C90" s="247" t="s">
        <v>2174</v>
      </c>
      <c r="D90" s="247" t="s">
        <v>2175</v>
      </c>
      <c r="E90" s="268">
        <v>0.2</v>
      </c>
      <c r="F90" s="256">
        <v>30</v>
      </c>
    </row>
    <row r="91" spans="1:6" s="231" customFormat="1" ht="36">
      <c r="A91" s="256">
        <v>31</v>
      </c>
      <c r="B91" s="3101"/>
      <c r="C91" s="247" t="s">
        <v>2176</v>
      </c>
      <c r="D91" s="247" t="s">
        <v>2177</v>
      </c>
      <c r="E91" s="268">
        <v>0.2</v>
      </c>
      <c r="F91" s="256">
        <v>30</v>
      </c>
    </row>
    <row r="92" spans="1:6" s="231" customFormat="1" ht="24">
      <c r="A92" s="256">
        <v>32</v>
      </c>
      <c r="B92" s="3101" t="s">
        <v>2178</v>
      </c>
      <c r="C92" s="256" t="s">
        <v>2179</v>
      </c>
      <c r="D92" s="247" t="s">
        <v>2180</v>
      </c>
      <c r="E92" s="268">
        <v>0.2</v>
      </c>
      <c r="F92" s="256">
        <v>30</v>
      </c>
    </row>
    <row r="93" spans="1:6" s="231" customFormat="1" ht="36">
      <c r="A93" s="256">
        <v>33</v>
      </c>
      <c r="B93" s="3101"/>
      <c r="C93" s="256" t="s">
        <v>2181</v>
      </c>
      <c r="D93" s="247" t="s">
        <v>2182</v>
      </c>
      <c r="E93" s="268">
        <v>0.2</v>
      </c>
      <c r="F93" s="256">
        <v>30</v>
      </c>
    </row>
    <row r="94" spans="1:6" s="231" customFormat="1" ht="48">
      <c r="A94" s="256">
        <v>34</v>
      </c>
      <c r="B94" s="3101"/>
      <c r="C94" s="256" t="s">
        <v>2183</v>
      </c>
      <c r="D94" s="247" t="s">
        <v>2184</v>
      </c>
      <c r="E94" s="268">
        <v>0.2</v>
      </c>
      <c r="F94" s="256">
        <v>30</v>
      </c>
    </row>
    <row r="95" spans="1:6" s="231" customFormat="1" ht="36">
      <c r="A95" s="256">
        <v>35</v>
      </c>
      <c r="B95" s="3101"/>
      <c r="C95" s="256" t="s">
        <v>2185</v>
      </c>
      <c r="D95" s="247" t="s">
        <v>2186</v>
      </c>
      <c r="E95" s="268">
        <v>0.2</v>
      </c>
      <c r="F95" s="256">
        <v>30</v>
      </c>
    </row>
    <row r="96" spans="1:6" s="231" customFormat="1" ht="48">
      <c r="A96" s="256">
        <v>36</v>
      </c>
      <c r="B96" s="3101"/>
      <c r="C96" s="247" t="s">
        <v>2187</v>
      </c>
      <c r="D96" s="247" t="s">
        <v>2188</v>
      </c>
      <c r="E96" s="268">
        <v>0.2</v>
      </c>
      <c r="F96" s="256">
        <v>30</v>
      </c>
    </row>
    <row r="97" spans="1:6" s="231" customFormat="1" ht="36">
      <c r="A97" s="256">
        <v>37</v>
      </c>
      <c r="B97" s="3101"/>
      <c r="C97" s="256" t="s">
        <v>2189</v>
      </c>
      <c r="D97" s="247" t="s">
        <v>2190</v>
      </c>
      <c r="E97" s="268">
        <v>0.2</v>
      </c>
      <c r="F97" s="256">
        <v>30</v>
      </c>
    </row>
    <row r="98" spans="1:6" s="231" customFormat="1" ht="36">
      <c r="A98" s="256">
        <v>38</v>
      </c>
      <c r="B98" s="3101"/>
      <c r="C98" s="256" t="s">
        <v>2191</v>
      </c>
      <c r="D98" s="247" t="s">
        <v>2192</v>
      </c>
      <c r="E98" s="268">
        <v>0.2</v>
      </c>
      <c r="F98" s="256">
        <v>30</v>
      </c>
    </row>
    <row r="99" spans="1:6" s="231" customFormat="1" ht="36">
      <c r="A99" s="256">
        <v>39</v>
      </c>
      <c r="B99" s="3101" t="s">
        <v>2193</v>
      </c>
      <c r="C99" s="256" t="s">
        <v>2194</v>
      </c>
      <c r="D99" s="247" t="s">
        <v>2195</v>
      </c>
      <c r="E99" s="268">
        <v>0.3</v>
      </c>
      <c r="F99" s="256">
        <v>50</v>
      </c>
    </row>
    <row r="100" spans="1:6" s="231" customFormat="1" ht="24">
      <c r="A100" s="256">
        <v>40</v>
      </c>
      <c r="B100" s="3101"/>
      <c r="C100" s="256" t="s">
        <v>2196</v>
      </c>
      <c r="D100" s="247" t="s">
        <v>2197</v>
      </c>
      <c r="E100" s="268">
        <v>0.2</v>
      </c>
      <c r="F100" s="256">
        <v>30</v>
      </c>
    </row>
    <row r="101" spans="1:6" s="231" customFormat="1" ht="36">
      <c r="A101" s="256">
        <v>41</v>
      </c>
      <c r="B101" s="3101"/>
      <c r="C101" s="256" t="s">
        <v>2198</v>
      </c>
      <c r="D101" s="247" t="s">
        <v>2195</v>
      </c>
      <c r="E101" s="268">
        <v>0.2</v>
      </c>
      <c r="F101" s="256">
        <v>30</v>
      </c>
    </row>
    <row r="102" spans="1:6" s="231" customFormat="1" ht="48">
      <c r="A102" s="256">
        <v>42</v>
      </c>
      <c r="B102" s="256" t="s">
        <v>2199</v>
      </c>
      <c r="C102" s="247" t="s">
        <v>2200</v>
      </c>
      <c r="D102" s="247" t="s">
        <v>2201</v>
      </c>
      <c r="E102" s="268">
        <v>0.2</v>
      </c>
      <c r="F102" s="256">
        <v>30</v>
      </c>
    </row>
    <row r="103" spans="1:6" s="231" customFormat="1" ht="24">
      <c r="A103" s="256">
        <v>43</v>
      </c>
      <c r="B103" s="256" t="s">
        <v>2202</v>
      </c>
      <c r="C103" s="256" t="s">
        <v>2203</v>
      </c>
      <c r="D103" s="247" t="s">
        <v>2204</v>
      </c>
      <c r="E103" s="268">
        <v>0.2</v>
      </c>
      <c r="F103" s="256">
        <v>30</v>
      </c>
    </row>
    <row r="104" spans="1:6" s="231" customFormat="1" ht="36">
      <c r="A104" s="256">
        <v>44</v>
      </c>
      <c r="B104" s="256" t="s">
        <v>2205</v>
      </c>
      <c r="C104" s="256" t="s">
        <v>2206</v>
      </c>
      <c r="D104" s="247" t="s">
        <v>2207</v>
      </c>
      <c r="E104" s="268">
        <v>0.2</v>
      </c>
      <c r="F104" s="256">
        <v>30</v>
      </c>
    </row>
    <row r="105" spans="1:6" s="231" customFormat="1" ht="36">
      <c r="A105" s="256">
        <v>45</v>
      </c>
      <c r="B105" s="3101" t="s">
        <v>2208</v>
      </c>
      <c r="C105" s="256" t="s">
        <v>2209</v>
      </c>
      <c r="D105" s="247" t="s">
        <v>2210</v>
      </c>
      <c r="E105" s="268">
        <v>0.2</v>
      </c>
      <c r="F105" s="256">
        <v>30</v>
      </c>
    </row>
    <row r="106" spans="1:6" s="231" customFormat="1" ht="36">
      <c r="A106" s="256">
        <v>46</v>
      </c>
      <c r="B106" s="3101"/>
      <c r="C106" s="256" t="s">
        <v>2211</v>
      </c>
      <c r="D106" s="247" t="s">
        <v>2212</v>
      </c>
      <c r="E106" s="268">
        <v>0.2</v>
      </c>
      <c r="F106" s="256">
        <v>30</v>
      </c>
    </row>
    <row r="107" spans="1:6" s="231" customFormat="1" ht="36">
      <c r="A107" s="256">
        <v>47</v>
      </c>
      <c r="B107" s="3101" t="s">
        <v>2213</v>
      </c>
      <c r="C107" s="256" t="s">
        <v>2214</v>
      </c>
      <c r="D107" s="247" t="s">
        <v>2215</v>
      </c>
      <c r="E107" s="268">
        <v>0.3</v>
      </c>
      <c r="F107" s="256">
        <v>50</v>
      </c>
    </row>
    <row r="108" spans="1:6" s="231" customFormat="1" ht="36">
      <c r="A108" s="256">
        <v>48</v>
      </c>
      <c r="B108" s="3101"/>
      <c r="C108" s="256" t="s">
        <v>2216</v>
      </c>
      <c r="D108" s="247" t="s">
        <v>2217</v>
      </c>
      <c r="E108" s="268">
        <v>0.2</v>
      </c>
      <c r="F108" s="256">
        <v>30</v>
      </c>
    </row>
    <row r="109" spans="1:6" s="231" customFormat="1" ht="36">
      <c r="A109" s="256">
        <v>49</v>
      </c>
      <c r="B109" s="256" t="s">
        <v>2218</v>
      </c>
      <c r="C109" s="256" t="s">
        <v>2219</v>
      </c>
      <c r="D109" s="247" t="s">
        <v>2220</v>
      </c>
      <c r="E109" s="268">
        <v>0.2</v>
      </c>
      <c r="F109" s="256">
        <v>30</v>
      </c>
    </row>
    <row r="110" spans="1:6" s="231" customFormat="1" ht="36">
      <c r="A110" s="256">
        <v>50</v>
      </c>
      <c r="B110" s="256" t="s">
        <v>2221</v>
      </c>
      <c r="C110" s="256" t="s">
        <v>2222</v>
      </c>
      <c r="D110" s="247" t="s">
        <v>2223</v>
      </c>
      <c r="E110" s="268">
        <v>0.2</v>
      </c>
      <c r="F110" s="256">
        <v>30</v>
      </c>
    </row>
    <row r="111" spans="1:6" s="231" customFormat="1" ht="36">
      <c r="A111" s="256">
        <v>51</v>
      </c>
      <c r="B111" s="3101" t="s">
        <v>2224</v>
      </c>
      <c r="C111" s="256" t="s">
        <v>2225</v>
      </c>
      <c r="D111" s="247" t="s">
        <v>2226</v>
      </c>
      <c r="E111" s="268">
        <v>0.2</v>
      </c>
      <c r="F111" s="256">
        <v>30</v>
      </c>
    </row>
    <row r="112" spans="1:6" s="231" customFormat="1" ht="24">
      <c r="A112" s="256">
        <v>52</v>
      </c>
      <c r="B112" s="3101"/>
      <c r="C112" s="256" t="s">
        <v>2227</v>
      </c>
      <c r="D112" s="247" t="s">
        <v>2228</v>
      </c>
      <c r="E112" s="268">
        <v>0.2</v>
      </c>
      <c r="F112" s="256">
        <v>30</v>
      </c>
    </row>
    <row r="113" spans="1:6" s="231" customFormat="1" ht="24">
      <c r="A113" s="256">
        <v>53</v>
      </c>
      <c r="B113" s="3101"/>
      <c r="C113" s="256" t="s">
        <v>2229</v>
      </c>
      <c r="D113" s="247" t="s">
        <v>2230</v>
      </c>
      <c r="E113" s="268">
        <v>0.2</v>
      </c>
      <c r="F113" s="256">
        <v>30</v>
      </c>
    </row>
    <row r="114" spans="1:6" ht="36">
      <c r="A114" s="256">
        <v>54</v>
      </c>
      <c r="B114" s="256" t="s">
        <v>2231</v>
      </c>
      <c r="C114" s="256" t="s">
        <v>2232</v>
      </c>
      <c r="D114" s="247" t="s">
        <v>2233</v>
      </c>
      <c r="E114" s="268">
        <v>0.2</v>
      </c>
      <c r="F114" s="256">
        <v>30</v>
      </c>
    </row>
    <row r="115" spans="1:6" ht="24">
      <c r="A115" s="256">
        <v>55</v>
      </c>
      <c r="B115" s="256" t="s">
        <v>2234</v>
      </c>
      <c r="C115" s="256" t="s">
        <v>2235</v>
      </c>
      <c r="D115" s="247" t="s">
        <v>2236</v>
      </c>
      <c r="E115" s="268">
        <v>0.2</v>
      </c>
      <c r="F115" s="256">
        <v>30</v>
      </c>
    </row>
    <row r="116" spans="1:6" ht="24">
      <c r="A116" s="256">
        <v>56</v>
      </c>
      <c r="B116" s="3101" t="s">
        <v>2237</v>
      </c>
      <c r="C116" s="256" t="s">
        <v>2238</v>
      </c>
      <c r="D116" s="247" t="s">
        <v>2239</v>
      </c>
      <c r="E116" s="268">
        <v>0.2</v>
      </c>
      <c r="F116" s="256">
        <v>30</v>
      </c>
    </row>
    <row r="117" spans="1:6" ht="36">
      <c r="A117" s="256">
        <v>57</v>
      </c>
      <c r="B117" s="3101"/>
      <c r="C117" s="256" t="s">
        <v>2240</v>
      </c>
      <c r="D117" s="247" t="s">
        <v>2241</v>
      </c>
      <c r="E117" s="268">
        <v>0.2</v>
      </c>
      <c r="F117" s="256">
        <v>30</v>
      </c>
    </row>
    <row r="118" spans="1:6" ht="36">
      <c r="A118" s="256">
        <v>58</v>
      </c>
      <c r="B118" s="256" t="s">
        <v>2242</v>
      </c>
      <c r="C118" s="256" t="s">
        <v>2243</v>
      </c>
      <c r="D118" s="247" t="s">
        <v>2244</v>
      </c>
      <c r="E118" s="268">
        <v>0.2</v>
      </c>
      <c r="F118" s="256">
        <v>30</v>
      </c>
    </row>
    <row r="119" spans="1:6" ht="13.5">
      <c r="A119" s="256"/>
      <c r="B119" s="256"/>
      <c r="C119" s="256" t="s">
        <v>2113</v>
      </c>
      <c r="D119" s="256"/>
      <c r="E119" s="268" t="s">
        <v>121</v>
      </c>
      <c r="F119" s="256"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05"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9"/>
    <col min="2" max="16384" width="9" style="220"/>
  </cols>
  <sheetData>
    <row r="1" spans="1:14" ht="14.25">
      <c r="A1" s="221" t="s">
        <v>2245</v>
      </c>
      <c r="B1" s="222"/>
      <c r="C1" s="222"/>
      <c r="D1" s="222"/>
      <c r="E1" s="222"/>
      <c r="F1" s="222"/>
      <c r="G1" s="222"/>
      <c r="H1" s="222"/>
      <c r="I1" s="222"/>
      <c r="J1" s="222"/>
      <c r="K1" s="222"/>
      <c r="L1" s="222"/>
      <c r="M1" s="222"/>
      <c r="N1" s="222"/>
    </row>
    <row r="2" spans="1:14">
      <c r="A2" s="223" t="s">
        <v>2246</v>
      </c>
      <c r="B2" s="224" t="s">
        <v>1655</v>
      </c>
      <c r="C2" s="224" t="s">
        <v>357</v>
      </c>
      <c r="D2" s="224" t="s">
        <v>1679</v>
      </c>
      <c r="E2" s="224" t="s">
        <v>1700</v>
      </c>
      <c r="F2" s="224" t="s">
        <v>1728</v>
      </c>
      <c r="G2" s="224" t="s">
        <v>1763</v>
      </c>
      <c r="H2" s="225" t="s">
        <v>1812</v>
      </c>
      <c r="I2" s="225" t="s">
        <v>1861</v>
      </c>
      <c r="J2" s="228" t="s">
        <v>1901</v>
      </c>
      <c r="K2" s="228" t="s">
        <v>1947</v>
      </c>
      <c r="L2" s="228" t="s">
        <v>1975</v>
      </c>
      <c r="M2" s="228" t="s">
        <v>1997</v>
      </c>
    </row>
    <row r="3" spans="1:14">
      <c r="A3" s="223">
        <v>0.1</v>
      </c>
      <c r="B3" s="226">
        <v>15.052</v>
      </c>
      <c r="C3" s="226">
        <v>15.052</v>
      </c>
      <c r="D3" s="226">
        <v>14.263</v>
      </c>
      <c r="E3" s="226">
        <v>14.263</v>
      </c>
      <c r="F3" s="226">
        <v>14.263</v>
      </c>
      <c r="G3" s="226">
        <v>14.263</v>
      </c>
      <c r="H3" s="226">
        <v>14.263</v>
      </c>
      <c r="I3" s="226">
        <v>14.097</v>
      </c>
      <c r="J3" s="226">
        <v>14.097</v>
      </c>
      <c r="K3" s="226">
        <v>14.097</v>
      </c>
      <c r="L3" s="226">
        <v>14.097</v>
      </c>
      <c r="M3" s="226">
        <v>14.097</v>
      </c>
      <c r="N3" s="229"/>
    </row>
    <row r="4" spans="1:14">
      <c r="A4" s="223">
        <v>0.2</v>
      </c>
      <c r="B4" s="226">
        <v>7.5259999999999998</v>
      </c>
      <c r="C4" s="226">
        <v>7.5259999999999998</v>
      </c>
      <c r="D4" s="226">
        <v>7.1315</v>
      </c>
      <c r="E4" s="226">
        <v>7.1315</v>
      </c>
      <c r="F4" s="226">
        <v>7.1315</v>
      </c>
      <c r="G4" s="226">
        <v>7.1315</v>
      </c>
      <c r="H4" s="226">
        <v>7.1315</v>
      </c>
      <c r="I4" s="226">
        <v>7.0484999999999998</v>
      </c>
      <c r="J4" s="226">
        <v>7.0484999999999998</v>
      </c>
      <c r="K4" s="226">
        <v>7.0484999999999998</v>
      </c>
      <c r="L4" s="226">
        <v>7.0484999999999998</v>
      </c>
      <c r="M4" s="226">
        <v>7.0484999999999998</v>
      </c>
    </row>
    <row r="5" spans="1:14">
      <c r="A5" s="223">
        <v>0.3</v>
      </c>
      <c r="B5" s="226">
        <v>5.0172999999999996</v>
      </c>
      <c r="C5" s="226">
        <v>5.0172999999999996</v>
      </c>
      <c r="D5" s="226">
        <v>4.7542999999999997</v>
      </c>
      <c r="E5" s="226">
        <v>4.7542999999999997</v>
      </c>
      <c r="F5" s="226">
        <v>4.7542999999999997</v>
      </c>
      <c r="G5" s="226">
        <v>4.7542999999999997</v>
      </c>
      <c r="H5" s="226">
        <v>4.7542999999999997</v>
      </c>
      <c r="I5" s="226">
        <v>4.6989999999999998</v>
      </c>
      <c r="J5" s="226">
        <v>4.6989999999999998</v>
      </c>
      <c r="K5" s="226">
        <v>4.6989999999999998</v>
      </c>
      <c r="L5" s="226">
        <v>4.6989999999999998</v>
      </c>
      <c r="M5" s="226">
        <v>4.6989999999999998</v>
      </c>
    </row>
    <row r="6" spans="1:14">
      <c r="A6" s="223">
        <v>0.4</v>
      </c>
      <c r="B6" s="226">
        <v>3.7629999999999999</v>
      </c>
      <c r="C6" s="226">
        <v>3.7629999999999999</v>
      </c>
      <c r="D6" s="226">
        <v>3.5657999999999999</v>
      </c>
      <c r="E6" s="226">
        <v>3.5657999999999999</v>
      </c>
      <c r="F6" s="226">
        <v>3.5657999999999999</v>
      </c>
      <c r="G6" s="226">
        <v>3.5657999999999999</v>
      </c>
      <c r="H6" s="226">
        <v>3.5657999999999999</v>
      </c>
      <c r="I6" s="226">
        <v>3.5243000000000002</v>
      </c>
      <c r="J6" s="226">
        <v>3.5243000000000002</v>
      </c>
      <c r="K6" s="226">
        <v>3.5243000000000002</v>
      </c>
      <c r="L6" s="226">
        <v>3.5243000000000002</v>
      </c>
      <c r="M6" s="226">
        <v>3.5243000000000002</v>
      </c>
    </row>
    <row r="7" spans="1:14">
      <c r="A7" s="223">
        <v>0.5</v>
      </c>
      <c r="B7" s="226">
        <v>3.0104000000000002</v>
      </c>
      <c r="C7" s="226">
        <v>3.0104000000000002</v>
      </c>
      <c r="D7" s="226">
        <v>2.8525999999999998</v>
      </c>
      <c r="E7" s="226">
        <v>2.8525999999999998</v>
      </c>
      <c r="F7" s="226">
        <v>2.8525999999999998</v>
      </c>
      <c r="G7" s="226">
        <v>2.8525999999999998</v>
      </c>
      <c r="H7" s="226">
        <v>2.8525999999999998</v>
      </c>
      <c r="I7" s="226">
        <v>2.8193999999999999</v>
      </c>
      <c r="J7" s="226">
        <v>2.8193999999999999</v>
      </c>
      <c r="K7" s="226">
        <v>2.8193999999999999</v>
      </c>
      <c r="L7" s="226">
        <v>2.8193999999999999</v>
      </c>
      <c r="M7" s="226">
        <v>2.8193999999999999</v>
      </c>
    </row>
    <row r="8" spans="1:14">
      <c r="A8" s="223">
        <v>0.6</v>
      </c>
      <c r="B8" s="226">
        <v>2.5087000000000002</v>
      </c>
      <c r="C8" s="226">
        <v>2.5087000000000002</v>
      </c>
      <c r="D8" s="226">
        <v>2.3772000000000002</v>
      </c>
      <c r="E8" s="226">
        <v>2.3772000000000002</v>
      </c>
      <c r="F8" s="226">
        <v>2.3772000000000002</v>
      </c>
      <c r="G8" s="226">
        <v>2.3772000000000002</v>
      </c>
      <c r="H8" s="226">
        <v>2.3772000000000002</v>
      </c>
      <c r="I8" s="226">
        <v>2.3494999999999999</v>
      </c>
      <c r="J8" s="226">
        <v>2.3494999999999999</v>
      </c>
      <c r="K8" s="226">
        <v>2.3494999999999999</v>
      </c>
      <c r="L8" s="226">
        <v>2.3494999999999999</v>
      </c>
      <c r="M8" s="226">
        <v>2.3494999999999999</v>
      </c>
    </row>
    <row r="9" spans="1:14">
      <c r="A9" s="223">
        <v>0.7</v>
      </c>
      <c r="B9" s="226">
        <v>2.1503000000000001</v>
      </c>
      <c r="C9" s="226">
        <v>2.1503000000000001</v>
      </c>
      <c r="D9" s="226">
        <v>2.0375999999999999</v>
      </c>
      <c r="E9" s="226">
        <v>2.0375999999999999</v>
      </c>
      <c r="F9" s="226">
        <v>2.0375999999999999</v>
      </c>
      <c r="G9" s="226">
        <v>2.0375999999999999</v>
      </c>
      <c r="H9" s="226">
        <v>2.0375999999999999</v>
      </c>
      <c r="I9" s="226">
        <v>2.0139</v>
      </c>
      <c r="J9" s="226">
        <v>2.0139</v>
      </c>
      <c r="K9" s="226">
        <v>2.0139</v>
      </c>
      <c r="L9" s="226">
        <v>2.0139</v>
      </c>
      <c r="M9" s="226">
        <v>2.0139</v>
      </c>
    </row>
    <row r="10" spans="1:14">
      <c r="A10" s="223">
        <v>0.8</v>
      </c>
      <c r="B10" s="226">
        <v>1.8815</v>
      </c>
      <c r="C10" s="226">
        <v>1.8815</v>
      </c>
      <c r="D10" s="226">
        <v>1.7828999999999999</v>
      </c>
      <c r="E10" s="226">
        <v>1.7828999999999999</v>
      </c>
      <c r="F10" s="226">
        <v>1.7828999999999999</v>
      </c>
      <c r="G10" s="226">
        <v>1.7828999999999999</v>
      </c>
      <c r="H10" s="226">
        <v>1.7828999999999999</v>
      </c>
      <c r="I10" s="226">
        <v>1.7621</v>
      </c>
      <c r="J10" s="226">
        <v>1.7621</v>
      </c>
      <c r="K10" s="226">
        <v>1.7621</v>
      </c>
      <c r="L10" s="226">
        <v>1.7621</v>
      </c>
      <c r="M10" s="226">
        <v>1.7621</v>
      </c>
    </row>
    <row r="11" spans="1:14">
      <c r="A11" s="223">
        <v>0.9</v>
      </c>
      <c r="B11" s="226">
        <v>1.6724000000000001</v>
      </c>
      <c r="C11" s="226">
        <v>1.6724000000000001</v>
      </c>
      <c r="D11" s="226">
        <v>1.5848</v>
      </c>
      <c r="E11" s="226">
        <v>1.5848</v>
      </c>
      <c r="F11" s="226">
        <v>1.5848</v>
      </c>
      <c r="G11" s="226">
        <v>1.5848</v>
      </c>
      <c r="H11" s="226">
        <v>1.5848</v>
      </c>
      <c r="I11" s="226">
        <v>1.5663</v>
      </c>
      <c r="J11" s="226">
        <v>1.5663</v>
      </c>
      <c r="K11" s="226">
        <v>1.5663</v>
      </c>
      <c r="L11" s="226">
        <v>1.5663</v>
      </c>
      <c r="M11" s="226">
        <v>1.5663</v>
      </c>
    </row>
    <row r="12" spans="1:14">
      <c r="A12" s="223">
        <v>1</v>
      </c>
      <c r="B12" s="226">
        <v>1.5052000000000001</v>
      </c>
      <c r="C12" s="226">
        <v>1.5052000000000001</v>
      </c>
      <c r="D12" s="226">
        <v>1.4262999999999999</v>
      </c>
      <c r="E12" s="226">
        <v>1.4262999999999999</v>
      </c>
      <c r="F12" s="226">
        <v>1.4262999999999999</v>
      </c>
      <c r="G12" s="226">
        <v>1.4262999999999999</v>
      </c>
      <c r="H12" s="226">
        <v>1.4262999999999999</v>
      </c>
      <c r="I12" s="226">
        <v>1.4097</v>
      </c>
      <c r="J12" s="226">
        <v>1.4097</v>
      </c>
      <c r="K12" s="226">
        <v>1.4097</v>
      </c>
      <c r="L12" s="226">
        <v>1.4097</v>
      </c>
      <c r="M12" s="226">
        <v>1.4097</v>
      </c>
    </row>
    <row r="13" spans="1:14">
      <c r="A13" s="223">
        <v>1.1000000000000001</v>
      </c>
      <c r="B13" s="226">
        <v>1.4509000000000001</v>
      </c>
      <c r="C13" s="226">
        <v>1.4509000000000001</v>
      </c>
      <c r="D13" s="226">
        <v>1.3697999999999999</v>
      </c>
      <c r="E13" s="226">
        <v>1.3697999999999999</v>
      </c>
      <c r="F13" s="226">
        <v>1.3697999999999999</v>
      </c>
      <c r="G13" s="226">
        <v>1.3697999999999999</v>
      </c>
      <c r="H13" s="226">
        <v>1.3697999999999999</v>
      </c>
      <c r="I13" s="226">
        <v>1.343</v>
      </c>
      <c r="J13" s="226">
        <v>1.343</v>
      </c>
      <c r="K13" s="226">
        <v>1.343</v>
      </c>
      <c r="L13" s="226">
        <v>1.343</v>
      </c>
      <c r="M13" s="226">
        <v>1.343</v>
      </c>
    </row>
    <row r="14" spans="1:14">
      <c r="A14" s="223">
        <v>1.2</v>
      </c>
      <c r="B14" s="226">
        <v>1.4035</v>
      </c>
      <c r="C14" s="226">
        <v>1.4035</v>
      </c>
      <c r="D14" s="226">
        <v>1.3205</v>
      </c>
      <c r="E14" s="226">
        <v>1.3205</v>
      </c>
      <c r="F14" s="226">
        <v>1.3205</v>
      </c>
      <c r="G14" s="226">
        <v>1.3205</v>
      </c>
      <c r="H14" s="226">
        <v>1.3205</v>
      </c>
      <c r="I14" s="226">
        <v>1.2845</v>
      </c>
      <c r="J14" s="226">
        <v>1.2845</v>
      </c>
      <c r="K14" s="226">
        <v>1.2845</v>
      </c>
      <c r="L14" s="226">
        <v>1.2845</v>
      </c>
      <c r="M14" s="226">
        <v>1.2845</v>
      </c>
    </row>
    <row r="15" spans="1:14">
      <c r="A15" s="223">
        <v>1.3</v>
      </c>
      <c r="B15" s="226">
        <v>1.3622000000000001</v>
      </c>
      <c r="C15" s="226">
        <v>1.3622000000000001</v>
      </c>
      <c r="D15" s="226">
        <v>1.2775000000000001</v>
      </c>
      <c r="E15" s="226">
        <v>1.2775000000000001</v>
      </c>
      <c r="F15" s="226">
        <v>1.2775000000000001</v>
      </c>
      <c r="G15" s="226">
        <v>1.2775000000000001</v>
      </c>
      <c r="H15" s="226">
        <v>1.2775000000000001</v>
      </c>
      <c r="I15" s="226">
        <v>1.2332000000000001</v>
      </c>
      <c r="J15" s="226">
        <v>1.2332000000000001</v>
      </c>
      <c r="K15" s="226">
        <v>1.2332000000000001</v>
      </c>
      <c r="L15" s="226">
        <v>1.2332000000000001</v>
      </c>
      <c r="M15" s="226">
        <v>1.2332000000000001</v>
      </c>
    </row>
    <row r="16" spans="1:14">
      <c r="A16" s="223">
        <v>1.4</v>
      </c>
      <c r="B16" s="226">
        <v>1.3262</v>
      </c>
      <c r="C16" s="226">
        <v>1.3262</v>
      </c>
      <c r="D16" s="226">
        <v>1.2402</v>
      </c>
      <c r="E16" s="226">
        <v>1.2402</v>
      </c>
      <c r="F16" s="226">
        <v>1.2402</v>
      </c>
      <c r="G16" s="226">
        <v>1.2402</v>
      </c>
      <c r="H16" s="226">
        <v>1.2402</v>
      </c>
      <c r="I16" s="226">
        <v>1.1881999999999999</v>
      </c>
      <c r="J16" s="226">
        <v>1.1881999999999999</v>
      </c>
      <c r="K16" s="226">
        <v>1.1881999999999999</v>
      </c>
      <c r="L16" s="226">
        <v>1.1881999999999999</v>
      </c>
      <c r="M16" s="226">
        <v>1.1881999999999999</v>
      </c>
      <c r="N16" s="229"/>
    </row>
    <row r="17" spans="1:14">
      <c r="A17" s="223">
        <v>1.5</v>
      </c>
      <c r="B17" s="226">
        <v>1.2948</v>
      </c>
      <c r="C17" s="226">
        <v>1.2948</v>
      </c>
      <c r="D17" s="226">
        <v>1.2075</v>
      </c>
      <c r="E17" s="226">
        <v>1.2075</v>
      </c>
      <c r="F17" s="226">
        <v>1.2075</v>
      </c>
      <c r="G17" s="226">
        <v>1.2075</v>
      </c>
      <c r="H17" s="226">
        <v>1.2075</v>
      </c>
      <c r="I17" s="226">
        <v>1.1486000000000001</v>
      </c>
      <c r="J17" s="226">
        <v>1.1486000000000001</v>
      </c>
      <c r="K17" s="226">
        <v>1.1486000000000001</v>
      </c>
      <c r="L17" s="226">
        <v>1.1486000000000001</v>
      </c>
      <c r="M17" s="226">
        <v>1.1486000000000001</v>
      </c>
      <c r="N17" s="229"/>
    </row>
    <row r="18" spans="1:14">
      <c r="A18" s="223">
        <v>1.6</v>
      </c>
      <c r="B18" s="226">
        <v>1.2673000000000001</v>
      </c>
      <c r="C18" s="226">
        <v>1.2673000000000001</v>
      </c>
      <c r="D18" s="226">
        <v>1.1789000000000001</v>
      </c>
      <c r="E18" s="226">
        <v>1.1789000000000001</v>
      </c>
      <c r="F18" s="226">
        <v>1.1789000000000001</v>
      </c>
      <c r="G18" s="226">
        <v>1.1789000000000001</v>
      </c>
      <c r="H18" s="226">
        <v>1.1789000000000001</v>
      </c>
      <c r="I18" s="226">
        <v>1.1134999999999999</v>
      </c>
      <c r="J18" s="226">
        <v>1.1134999999999999</v>
      </c>
      <c r="K18" s="226">
        <v>1.1134999999999999</v>
      </c>
      <c r="L18" s="226">
        <v>1.1134999999999999</v>
      </c>
      <c r="M18" s="226">
        <v>1.1134999999999999</v>
      </c>
    </row>
    <row r="19" spans="1:14">
      <c r="A19" s="223">
        <v>1.7</v>
      </c>
      <c r="B19" s="226">
        <v>1.2428999999999999</v>
      </c>
      <c r="C19" s="226">
        <v>1.2428999999999999</v>
      </c>
      <c r="D19" s="226">
        <v>1.1534</v>
      </c>
      <c r="E19" s="226">
        <v>1.1534</v>
      </c>
      <c r="F19" s="226">
        <v>1.1534</v>
      </c>
      <c r="G19" s="226">
        <v>1.1534</v>
      </c>
      <c r="H19" s="226">
        <v>1.1534</v>
      </c>
      <c r="I19" s="226">
        <v>1.0820000000000001</v>
      </c>
      <c r="J19" s="226">
        <v>1.0820000000000001</v>
      </c>
      <c r="K19" s="226">
        <v>1.0820000000000001</v>
      </c>
      <c r="L19" s="226">
        <v>1.0820000000000001</v>
      </c>
      <c r="M19" s="226">
        <v>1.0820000000000001</v>
      </c>
    </row>
    <row r="20" spans="1:14">
      <c r="A20" s="223">
        <v>1.8</v>
      </c>
      <c r="B20" s="226">
        <v>1.2206999999999999</v>
      </c>
      <c r="C20" s="226">
        <v>1.2206999999999999</v>
      </c>
      <c r="D20" s="226">
        <v>1.1304000000000001</v>
      </c>
      <c r="E20" s="226">
        <v>1.1304000000000001</v>
      </c>
      <c r="F20" s="226">
        <v>1.1304000000000001</v>
      </c>
      <c r="G20" s="226">
        <v>1.1304000000000001</v>
      </c>
      <c r="H20" s="226">
        <v>1.1304000000000001</v>
      </c>
      <c r="I20" s="226">
        <v>1.0531999999999999</v>
      </c>
      <c r="J20" s="226">
        <v>1.0531999999999999</v>
      </c>
      <c r="K20" s="226">
        <v>1.0531999999999999</v>
      </c>
      <c r="L20" s="226">
        <v>1.0531999999999999</v>
      </c>
      <c r="M20" s="226">
        <v>1.0531999999999999</v>
      </c>
    </row>
    <row r="21" spans="1:14">
      <c r="A21" s="223">
        <v>1.9</v>
      </c>
      <c r="B21" s="226">
        <v>1.2</v>
      </c>
      <c r="C21" s="226">
        <v>1.2</v>
      </c>
      <c r="D21" s="226">
        <v>1.1089</v>
      </c>
      <c r="E21" s="226">
        <v>1.1089</v>
      </c>
      <c r="F21" s="226">
        <v>1.1089</v>
      </c>
      <c r="G21" s="226">
        <v>1.1089</v>
      </c>
      <c r="H21" s="226">
        <v>1.1089</v>
      </c>
      <c r="I21" s="226">
        <v>1.0261</v>
      </c>
      <c r="J21" s="226">
        <v>1.0261</v>
      </c>
      <c r="K21" s="226">
        <v>1.0261</v>
      </c>
      <c r="L21" s="226">
        <v>1.0261</v>
      </c>
      <c r="M21" s="226">
        <v>1.0261</v>
      </c>
    </row>
    <row r="22" spans="1:14">
      <c r="A22" s="223">
        <v>2</v>
      </c>
      <c r="B22" s="226">
        <v>1.1800999999999999</v>
      </c>
      <c r="C22" s="226">
        <v>1.1800999999999999</v>
      </c>
      <c r="D22" s="226">
        <v>1.0883</v>
      </c>
      <c r="E22" s="226">
        <v>1.0883</v>
      </c>
      <c r="F22" s="226">
        <v>1.0883</v>
      </c>
      <c r="G22" s="226">
        <v>1.0883</v>
      </c>
      <c r="H22" s="226">
        <v>1.0883</v>
      </c>
      <c r="I22" s="226">
        <v>1</v>
      </c>
      <c r="J22" s="226">
        <v>1</v>
      </c>
      <c r="K22" s="226">
        <v>1</v>
      </c>
      <c r="L22" s="226">
        <v>1</v>
      </c>
      <c r="M22" s="226">
        <v>1</v>
      </c>
    </row>
    <row r="23" spans="1:14">
      <c r="A23" s="227">
        <v>2.1</v>
      </c>
      <c r="B23" s="226">
        <v>1.1616</v>
      </c>
      <c r="C23" s="226">
        <v>1.1616</v>
      </c>
      <c r="D23" s="226">
        <v>1.0685</v>
      </c>
      <c r="E23" s="226">
        <v>1.0685</v>
      </c>
      <c r="F23" s="226">
        <v>1.0685</v>
      </c>
      <c r="G23" s="226">
        <v>1.0685</v>
      </c>
      <c r="H23" s="226">
        <v>1.0685</v>
      </c>
      <c r="I23" s="226">
        <v>0.97550000000000003</v>
      </c>
      <c r="J23" s="226">
        <v>0.97550000000000003</v>
      </c>
      <c r="K23" s="226">
        <v>0.97550000000000003</v>
      </c>
      <c r="L23" s="226">
        <v>0.97550000000000003</v>
      </c>
      <c r="M23" s="226">
        <v>0.97550000000000003</v>
      </c>
    </row>
    <row r="24" spans="1:14">
      <c r="A24" s="227">
        <v>2.2000000000000002</v>
      </c>
      <c r="B24" s="226">
        <v>1.1440999999999999</v>
      </c>
      <c r="C24" s="226">
        <v>1.1440999999999999</v>
      </c>
      <c r="D24" s="226">
        <v>1.0497000000000001</v>
      </c>
      <c r="E24" s="226">
        <v>1.0497000000000001</v>
      </c>
      <c r="F24" s="226">
        <v>1.0497000000000001</v>
      </c>
      <c r="G24" s="226">
        <v>1.0497000000000001</v>
      </c>
      <c r="H24" s="226">
        <v>1.0497000000000001</v>
      </c>
      <c r="I24" s="226">
        <v>0.95230000000000004</v>
      </c>
      <c r="J24" s="226">
        <v>0.95230000000000004</v>
      </c>
      <c r="K24" s="226">
        <v>0.95230000000000004</v>
      </c>
      <c r="L24" s="226">
        <v>0.95230000000000004</v>
      </c>
      <c r="M24" s="226">
        <v>0.95230000000000004</v>
      </c>
    </row>
    <row r="25" spans="1:14">
      <c r="A25" s="227">
        <v>2.2999999999999998</v>
      </c>
      <c r="B25" s="226">
        <v>1.1275999999999999</v>
      </c>
      <c r="C25" s="226">
        <v>1.1275999999999999</v>
      </c>
      <c r="D25" s="226">
        <v>1.032</v>
      </c>
      <c r="E25" s="226">
        <v>1.032</v>
      </c>
      <c r="F25" s="226">
        <v>1.032</v>
      </c>
      <c r="G25" s="226">
        <v>1.032</v>
      </c>
      <c r="H25" s="226">
        <v>1.032</v>
      </c>
      <c r="I25" s="226">
        <v>0.9304</v>
      </c>
      <c r="J25" s="226">
        <v>0.9304</v>
      </c>
      <c r="K25" s="226">
        <v>0.9304</v>
      </c>
      <c r="L25" s="226">
        <v>0.9304</v>
      </c>
      <c r="M25" s="226">
        <v>0.9304</v>
      </c>
    </row>
    <row r="26" spans="1:14">
      <c r="A26" s="227">
        <v>2.4</v>
      </c>
      <c r="B26" s="226">
        <v>1.1121000000000001</v>
      </c>
      <c r="C26" s="226">
        <v>1.1121000000000001</v>
      </c>
      <c r="D26" s="226">
        <v>1.0155000000000001</v>
      </c>
      <c r="E26" s="226">
        <v>1.0155000000000001</v>
      </c>
      <c r="F26" s="226">
        <v>1.0155000000000001</v>
      </c>
      <c r="G26" s="226">
        <v>1.0155000000000001</v>
      </c>
      <c r="H26" s="226">
        <v>1.0155000000000001</v>
      </c>
      <c r="I26" s="226">
        <v>0.91</v>
      </c>
      <c r="J26" s="226">
        <v>0.91</v>
      </c>
      <c r="K26" s="226">
        <v>0.91</v>
      </c>
      <c r="L26" s="226">
        <v>0.91</v>
      </c>
      <c r="M26" s="226">
        <v>0.91</v>
      </c>
    </row>
    <row r="27" spans="1:14">
      <c r="A27" s="227">
        <v>2.5</v>
      </c>
      <c r="B27" s="226">
        <v>1.0975999999999999</v>
      </c>
      <c r="C27" s="226">
        <v>1.0975999999999999</v>
      </c>
      <c r="D27" s="226">
        <v>1</v>
      </c>
      <c r="E27" s="226">
        <v>1</v>
      </c>
      <c r="F27" s="226">
        <v>1</v>
      </c>
      <c r="G27" s="226">
        <v>1</v>
      </c>
      <c r="H27" s="226">
        <v>1</v>
      </c>
      <c r="I27" s="226">
        <v>0.89080000000000004</v>
      </c>
      <c r="J27" s="226">
        <v>0.89080000000000004</v>
      </c>
      <c r="K27" s="226">
        <v>0.89080000000000004</v>
      </c>
      <c r="L27" s="226">
        <v>0.89080000000000004</v>
      </c>
      <c r="M27" s="226">
        <v>0.89080000000000004</v>
      </c>
    </row>
    <row r="28" spans="1:14">
      <c r="A28" s="227">
        <v>2.6</v>
      </c>
      <c r="B28" s="226">
        <v>1.0841000000000001</v>
      </c>
      <c r="C28" s="226">
        <v>1.0841000000000001</v>
      </c>
      <c r="D28" s="226">
        <v>0.98619999999999997</v>
      </c>
      <c r="E28" s="226">
        <v>0.98619999999999997</v>
      </c>
      <c r="F28" s="226">
        <v>0.98619999999999997</v>
      </c>
      <c r="G28" s="226">
        <v>0.98619999999999997</v>
      </c>
      <c r="H28" s="226">
        <v>0.98619999999999997</v>
      </c>
      <c r="I28" s="226">
        <v>0.873</v>
      </c>
      <c r="J28" s="226">
        <v>0.873</v>
      </c>
      <c r="K28" s="226">
        <v>0.873</v>
      </c>
      <c r="L28" s="226">
        <v>0.873</v>
      </c>
      <c r="M28" s="226">
        <v>0.873</v>
      </c>
    </row>
    <row r="29" spans="1:14">
      <c r="A29" s="227">
        <v>2.7</v>
      </c>
      <c r="B29" s="226">
        <v>1.0716000000000001</v>
      </c>
      <c r="C29" s="226">
        <v>1.0716000000000001</v>
      </c>
      <c r="D29" s="226">
        <v>0.97330000000000005</v>
      </c>
      <c r="E29" s="226">
        <v>0.97330000000000005</v>
      </c>
      <c r="F29" s="226">
        <v>0.97330000000000005</v>
      </c>
      <c r="G29" s="226">
        <v>0.97330000000000005</v>
      </c>
      <c r="H29" s="226">
        <v>0.97330000000000005</v>
      </c>
      <c r="I29" s="226">
        <v>0.85670000000000002</v>
      </c>
      <c r="J29" s="226">
        <v>0.85670000000000002</v>
      </c>
      <c r="K29" s="226">
        <v>0.85670000000000002</v>
      </c>
      <c r="L29" s="226">
        <v>0.85670000000000002</v>
      </c>
      <c r="M29" s="226">
        <v>0.85670000000000002</v>
      </c>
    </row>
    <row r="30" spans="1:14">
      <c r="A30" s="227">
        <v>2.8</v>
      </c>
      <c r="B30" s="226">
        <v>1.0602</v>
      </c>
      <c r="C30" s="226">
        <v>1.0602</v>
      </c>
      <c r="D30" s="226">
        <v>0.96160000000000001</v>
      </c>
      <c r="E30" s="226">
        <v>0.96160000000000001</v>
      </c>
      <c r="F30" s="226">
        <v>0.96160000000000001</v>
      </c>
      <c r="G30" s="226">
        <v>0.96160000000000001</v>
      </c>
      <c r="H30" s="226">
        <v>0.96160000000000001</v>
      </c>
      <c r="I30" s="226">
        <v>0.8417</v>
      </c>
      <c r="J30" s="226">
        <v>0.8417</v>
      </c>
      <c r="K30" s="226">
        <v>0.8417</v>
      </c>
      <c r="L30" s="226">
        <v>0.8417</v>
      </c>
      <c r="M30" s="226">
        <v>0.8417</v>
      </c>
    </row>
    <row r="31" spans="1:14">
      <c r="A31" s="227">
        <v>2.9</v>
      </c>
      <c r="B31" s="226">
        <v>1.0497000000000001</v>
      </c>
      <c r="C31" s="226">
        <v>1.0497000000000001</v>
      </c>
      <c r="D31" s="226">
        <v>0.95089999999999997</v>
      </c>
      <c r="E31" s="226">
        <v>0.95089999999999997</v>
      </c>
      <c r="F31" s="226">
        <v>0.95089999999999997</v>
      </c>
      <c r="G31" s="226">
        <v>0.95089999999999997</v>
      </c>
      <c r="H31" s="226">
        <v>0.95089999999999997</v>
      </c>
      <c r="I31" s="226">
        <v>0.82809999999999995</v>
      </c>
      <c r="J31" s="226">
        <v>0.82809999999999995</v>
      </c>
      <c r="K31" s="226">
        <v>0.82809999999999995</v>
      </c>
      <c r="L31" s="226">
        <v>0.82809999999999995</v>
      </c>
      <c r="M31" s="226">
        <v>0.82809999999999995</v>
      </c>
    </row>
    <row r="32" spans="1:14">
      <c r="A32" s="227">
        <v>3</v>
      </c>
      <c r="B32" s="226">
        <v>1.0401</v>
      </c>
      <c r="C32" s="226">
        <v>1.0401</v>
      </c>
      <c r="D32" s="226">
        <v>0.94089999999999996</v>
      </c>
      <c r="E32" s="226">
        <v>0.94089999999999996</v>
      </c>
      <c r="F32" s="226">
        <v>0.94089999999999996</v>
      </c>
      <c r="G32" s="226">
        <v>0.94089999999999996</v>
      </c>
      <c r="H32" s="226">
        <v>0.94089999999999996</v>
      </c>
      <c r="I32" s="226">
        <v>0.81579999999999997</v>
      </c>
      <c r="J32" s="226">
        <v>0.81579999999999997</v>
      </c>
      <c r="K32" s="226">
        <v>0.81579999999999997</v>
      </c>
      <c r="L32" s="226">
        <v>0.81579999999999997</v>
      </c>
      <c r="M32" s="226">
        <v>0.81579999999999997</v>
      </c>
    </row>
    <row r="33" spans="1:13">
      <c r="A33" s="227">
        <v>3.1</v>
      </c>
      <c r="B33" s="226">
        <v>1.0314000000000001</v>
      </c>
      <c r="C33" s="226">
        <v>1.0314000000000001</v>
      </c>
      <c r="D33" s="226">
        <v>0.93169999999999997</v>
      </c>
      <c r="E33" s="226">
        <v>0.93169999999999997</v>
      </c>
      <c r="F33" s="226">
        <v>0.93169999999999997</v>
      </c>
      <c r="G33" s="226">
        <v>0.93169999999999997</v>
      </c>
      <c r="H33" s="226">
        <v>0.93169999999999997</v>
      </c>
      <c r="I33" s="226">
        <v>0.80410000000000004</v>
      </c>
      <c r="J33" s="226">
        <v>0.80410000000000004</v>
      </c>
      <c r="K33" s="226">
        <v>0.80410000000000004</v>
      </c>
      <c r="L33" s="226">
        <v>0.80410000000000004</v>
      </c>
      <c r="M33" s="226">
        <v>0.80410000000000004</v>
      </c>
    </row>
    <row r="34" spans="1:13">
      <c r="A34" s="227">
        <v>3.2</v>
      </c>
      <c r="B34" s="226">
        <v>1.0229999999999999</v>
      </c>
      <c r="C34" s="226">
        <v>1.0229999999999999</v>
      </c>
      <c r="D34" s="226">
        <v>0.92279999999999995</v>
      </c>
      <c r="E34" s="226">
        <v>0.92279999999999995</v>
      </c>
      <c r="F34" s="226">
        <v>0.92279999999999995</v>
      </c>
      <c r="G34" s="226">
        <v>0.92279999999999995</v>
      </c>
      <c r="H34" s="226">
        <v>0.92279999999999995</v>
      </c>
      <c r="I34" s="226">
        <v>0.79300000000000004</v>
      </c>
      <c r="J34" s="226">
        <v>0.79300000000000004</v>
      </c>
      <c r="K34" s="226">
        <v>0.79300000000000004</v>
      </c>
      <c r="L34" s="226">
        <v>0.79300000000000004</v>
      </c>
      <c r="M34" s="226">
        <v>0.79300000000000004</v>
      </c>
    </row>
    <row r="35" spans="1:13">
      <c r="A35" s="227">
        <v>3.3</v>
      </c>
      <c r="B35" s="226">
        <v>1.0149999999999999</v>
      </c>
      <c r="C35" s="226">
        <v>1.0149999999999999</v>
      </c>
      <c r="D35" s="226">
        <v>0.91439999999999999</v>
      </c>
      <c r="E35" s="226">
        <v>0.91439999999999999</v>
      </c>
      <c r="F35" s="226">
        <v>0.91439999999999999</v>
      </c>
      <c r="G35" s="226">
        <v>0.91439999999999999</v>
      </c>
      <c r="H35" s="226">
        <v>0.91439999999999999</v>
      </c>
      <c r="I35" s="226">
        <v>0.78220000000000001</v>
      </c>
      <c r="J35" s="226">
        <v>0.78220000000000001</v>
      </c>
      <c r="K35" s="226">
        <v>0.78220000000000001</v>
      </c>
      <c r="L35" s="226">
        <v>0.78220000000000001</v>
      </c>
      <c r="M35" s="226">
        <v>0.78220000000000001</v>
      </c>
    </row>
    <row r="36" spans="1:13">
      <c r="A36" s="227">
        <v>3.4</v>
      </c>
      <c r="B36" s="226">
        <v>1.0073000000000001</v>
      </c>
      <c r="C36" s="226">
        <v>1.0073000000000001</v>
      </c>
      <c r="D36" s="226">
        <v>0.90629999999999999</v>
      </c>
      <c r="E36" s="226">
        <v>0.90629999999999999</v>
      </c>
      <c r="F36" s="226">
        <v>0.90629999999999999</v>
      </c>
      <c r="G36" s="226">
        <v>0.90629999999999999</v>
      </c>
      <c r="H36" s="226">
        <v>0.90629999999999999</v>
      </c>
      <c r="I36" s="226">
        <v>0.77210000000000001</v>
      </c>
      <c r="J36" s="226">
        <v>0.77210000000000001</v>
      </c>
      <c r="K36" s="226">
        <v>0.77210000000000001</v>
      </c>
      <c r="L36" s="226">
        <v>0.77210000000000001</v>
      </c>
      <c r="M36" s="226">
        <v>0.77210000000000001</v>
      </c>
    </row>
    <row r="37" spans="1:13">
      <c r="A37" s="227">
        <v>3.5</v>
      </c>
      <c r="B37" s="226">
        <v>1</v>
      </c>
      <c r="C37" s="226">
        <v>1</v>
      </c>
      <c r="D37" s="226">
        <v>0.89870000000000005</v>
      </c>
      <c r="E37" s="226">
        <v>0.89870000000000005</v>
      </c>
      <c r="F37" s="226">
        <v>0.89870000000000005</v>
      </c>
      <c r="G37" s="226">
        <v>0.89870000000000005</v>
      </c>
      <c r="H37" s="226">
        <v>0.89870000000000005</v>
      </c>
      <c r="I37" s="226">
        <v>0.76239999999999997</v>
      </c>
      <c r="J37" s="226">
        <v>0.76239999999999997</v>
      </c>
      <c r="K37" s="226">
        <v>0.76239999999999997</v>
      </c>
      <c r="L37" s="226">
        <v>0.76239999999999997</v>
      </c>
      <c r="M37" s="226">
        <v>0.76239999999999997</v>
      </c>
    </row>
    <row r="38" spans="1:13">
      <c r="A38" s="227">
        <v>3.6</v>
      </c>
      <c r="B38" s="226">
        <v>0.99329999999999996</v>
      </c>
      <c r="C38" s="226">
        <v>0.99329999999999996</v>
      </c>
      <c r="D38" s="226">
        <v>0.89139999999999997</v>
      </c>
      <c r="E38" s="226">
        <v>0.89139999999999997</v>
      </c>
      <c r="F38" s="226">
        <v>0.89139999999999997</v>
      </c>
      <c r="G38" s="226">
        <v>0.89139999999999997</v>
      </c>
      <c r="H38" s="226">
        <v>0.89139999999999997</v>
      </c>
      <c r="I38" s="226">
        <v>0.75319999999999998</v>
      </c>
      <c r="J38" s="226">
        <v>0.75319999999999998</v>
      </c>
      <c r="K38" s="226">
        <v>0.75319999999999998</v>
      </c>
      <c r="L38" s="226">
        <v>0.75319999999999998</v>
      </c>
      <c r="M38" s="226">
        <v>0.75319999999999998</v>
      </c>
    </row>
    <row r="39" spans="1:13">
      <c r="A39" s="227">
        <v>3.7</v>
      </c>
      <c r="B39" s="226">
        <v>0.9869</v>
      </c>
      <c r="C39" s="226">
        <v>0.9869</v>
      </c>
      <c r="D39" s="226">
        <v>0.88449999999999995</v>
      </c>
      <c r="E39" s="226">
        <v>0.88449999999999995</v>
      </c>
      <c r="F39" s="226">
        <v>0.88449999999999995</v>
      </c>
      <c r="G39" s="226">
        <v>0.88449999999999995</v>
      </c>
      <c r="H39" s="226">
        <v>0.88449999999999995</v>
      </c>
      <c r="I39" s="226">
        <v>0.74460000000000004</v>
      </c>
      <c r="J39" s="226">
        <v>0.74460000000000004</v>
      </c>
      <c r="K39" s="226">
        <v>0.74460000000000004</v>
      </c>
      <c r="L39" s="226">
        <v>0.74460000000000004</v>
      </c>
      <c r="M39" s="226">
        <v>0.74460000000000004</v>
      </c>
    </row>
    <row r="40" spans="1:13">
      <c r="A40" s="227">
        <v>3.8</v>
      </c>
      <c r="B40" s="226">
        <v>0.98080000000000001</v>
      </c>
      <c r="C40" s="226">
        <v>0.98080000000000001</v>
      </c>
      <c r="D40" s="226">
        <v>0.87809999999999999</v>
      </c>
      <c r="E40" s="226">
        <v>0.87809999999999999</v>
      </c>
      <c r="F40" s="226">
        <v>0.87809999999999999</v>
      </c>
      <c r="G40" s="226">
        <v>0.87809999999999999</v>
      </c>
      <c r="H40" s="226">
        <v>0.87809999999999999</v>
      </c>
      <c r="I40" s="226">
        <v>0.73640000000000005</v>
      </c>
      <c r="J40" s="226">
        <v>0.73640000000000005</v>
      </c>
      <c r="K40" s="226">
        <v>0.73640000000000005</v>
      </c>
      <c r="L40" s="226">
        <v>0.73640000000000005</v>
      </c>
      <c r="M40" s="226">
        <v>0.73640000000000005</v>
      </c>
    </row>
    <row r="41" spans="1:13">
      <c r="A41" s="227">
        <v>3.9</v>
      </c>
      <c r="B41" s="226">
        <v>0.97509999999999997</v>
      </c>
      <c r="C41" s="226">
        <v>0.97509999999999997</v>
      </c>
      <c r="D41" s="226">
        <v>0.87209999999999999</v>
      </c>
      <c r="E41" s="226">
        <v>0.87209999999999999</v>
      </c>
      <c r="F41" s="226">
        <v>0.87209999999999999</v>
      </c>
      <c r="G41" s="226">
        <v>0.87209999999999999</v>
      </c>
      <c r="H41" s="226">
        <v>0.87209999999999999</v>
      </c>
      <c r="I41" s="226">
        <v>0.7288</v>
      </c>
      <c r="J41" s="226">
        <v>0.7288</v>
      </c>
      <c r="K41" s="226">
        <v>0.7288</v>
      </c>
      <c r="L41" s="226">
        <v>0.7288</v>
      </c>
      <c r="M41" s="226">
        <v>0.7288</v>
      </c>
    </row>
    <row r="42" spans="1:13">
      <c r="A42" s="227">
        <v>4</v>
      </c>
      <c r="B42" s="226">
        <v>0.96989999999999998</v>
      </c>
      <c r="C42" s="226">
        <v>0.96989999999999998</v>
      </c>
      <c r="D42" s="226">
        <v>0.86650000000000005</v>
      </c>
      <c r="E42" s="226">
        <v>0.86650000000000005</v>
      </c>
      <c r="F42" s="226">
        <v>0.86650000000000005</v>
      </c>
      <c r="G42" s="226">
        <v>0.86650000000000005</v>
      </c>
      <c r="H42" s="226">
        <v>0.86650000000000005</v>
      </c>
      <c r="I42" s="226">
        <v>0.7218</v>
      </c>
      <c r="J42" s="226">
        <v>0.7218</v>
      </c>
      <c r="K42" s="226">
        <v>0.7218</v>
      </c>
      <c r="L42" s="226">
        <v>0.7218</v>
      </c>
      <c r="M42" s="226">
        <v>0.7218</v>
      </c>
    </row>
    <row r="43" spans="1:13">
      <c r="A43" s="227">
        <v>4.0999999999999996</v>
      </c>
      <c r="B43" s="226">
        <v>0.96479999999999999</v>
      </c>
      <c r="C43" s="226">
        <v>0.96479999999999999</v>
      </c>
      <c r="D43" s="226">
        <v>0.86109999999999998</v>
      </c>
      <c r="E43" s="226">
        <v>0.86109999999999998</v>
      </c>
      <c r="F43" s="226">
        <v>0.86109999999999998</v>
      </c>
      <c r="G43" s="226">
        <v>0.86109999999999998</v>
      </c>
      <c r="H43" s="226">
        <v>0.86109999999999998</v>
      </c>
      <c r="I43" s="226">
        <v>0.71499999999999997</v>
      </c>
      <c r="J43" s="226">
        <v>0.71499999999999997</v>
      </c>
      <c r="K43" s="226">
        <v>0.71499999999999997</v>
      </c>
      <c r="L43" s="226">
        <v>0.71499999999999997</v>
      </c>
      <c r="M43" s="226">
        <v>0.71499999999999997</v>
      </c>
    </row>
    <row r="44" spans="1:13">
      <c r="A44" s="227">
        <v>4.2</v>
      </c>
      <c r="B44" s="226">
        <v>0.96</v>
      </c>
      <c r="C44" s="226">
        <v>0.96</v>
      </c>
      <c r="D44" s="226">
        <v>0.85599999999999998</v>
      </c>
      <c r="E44" s="226">
        <v>0.85599999999999998</v>
      </c>
      <c r="F44" s="226">
        <v>0.85599999999999998</v>
      </c>
      <c r="G44" s="226">
        <v>0.85599999999999998</v>
      </c>
      <c r="H44" s="226">
        <v>0.85599999999999998</v>
      </c>
      <c r="I44" s="226">
        <v>0.70840000000000003</v>
      </c>
      <c r="J44" s="226">
        <v>0.70840000000000003</v>
      </c>
      <c r="K44" s="226">
        <v>0.70840000000000003</v>
      </c>
      <c r="L44" s="226">
        <v>0.70840000000000003</v>
      </c>
      <c r="M44" s="226">
        <v>0.70840000000000003</v>
      </c>
    </row>
    <row r="45" spans="1:13">
      <c r="A45" s="227">
        <v>4.3</v>
      </c>
      <c r="B45" s="226">
        <v>0.95530000000000004</v>
      </c>
      <c r="C45" s="226">
        <v>0.95530000000000004</v>
      </c>
      <c r="D45" s="226">
        <v>0.85099999999999998</v>
      </c>
      <c r="E45" s="226">
        <v>0.85099999999999998</v>
      </c>
      <c r="F45" s="226">
        <v>0.85099999999999998</v>
      </c>
      <c r="G45" s="226">
        <v>0.85099999999999998</v>
      </c>
      <c r="H45" s="226">
        <v>0.85099999999999998</v>
      </c>
      <c r="I45" s="226">
        <v>0.70199999999999996</v>
      </c>
      <c r="J45" s="226">
        <v>0.70199999999999996</v>
      </c>
      <c r="K45" s="226">
        <v>0.70199999999999996</v>
      </c>
      <c r="L45" s="226">
        <v>0.70199999999999996</v>
      </c>
      <c r="M45" s="226">
        <v>0.70199999999999996</v>
      </c>
    </row>
    <row r="46" spans="1:13">
      <c r="A46" s="227">
        <v>4.4000000000000004</v>
      </c>
      <c r="B46" s="226">
        <v>0.95079999999999998</v>
      </c>
      <c r="C46" s="226">
        <v>0.95079999999999998</v>
      </c>
      <c r="D46" s="226">
        <v>0.84619999999999995</v>
      </c>
      <c r="E46" s="226">
        <v>0.84619999999999995</v>
      </c>
      <c r="F46" s="226">
        <v>0.84619999999999995</v>
      </c>
      <c r="G46" s="226">
        <v>0.84619999999999995</v>
      </c>
      <c r="H46" s="226">
        <v>0.84619999999999995</v>
      </c>
      <c r="I46" s="226">
        <v>0.69579999999999997</v>
      </c>
      <c r="J46" s="226">
        <v>0.69579999999999997</v>
      </c>
      <c r="K46" s="226">
        <v>0.69579999999999997</v>
      </c>
      <c r="L46" s="226">
        <v>0.69579999999999997</v>
      </c>
      <c r="M46" s="226">
        <v>0.69579999999999997</v>
      </c>
    </row>
    <row r="47" spans="1:13">
      <c r="A47" s="227">
        <v>4.5</v>
      </c>
      <c r="B47" s="226">
        <v>0.94640000000000002</v>
      </c>
      <c r="C47" s="226">
        <v>0.94640000000000002</v>
      </c>
      <c r="D47" s="226">
        <v>0.84150000000000003</v>
      </c>
      <c r="E47" s="226">
        <v>0.84150000000000003</v>
      </c>
      <c r="F47" s="226">
        <v>0.84150000000000003</v>
      </c>
      <c r="G47" s="226">
        <v>0.84150000000000003</v>
      </c>
      <c r="H47" s="226">
        <v>0.84150000000000003</v>
      </c>
      <c r="I47" s="226">
        <v>0.68989999999999996</v>
      </c>
      <c r="J47" s="226">
        <v>0.68989999999999996</v>
      </c>
      <c r="K47" s="226">
        <v>0.68989999999999996</v>
      </c>
      <c r="L47" s="226">
        <v>0.68989999999999996</v>
      </c>
      <c r="M47" s="226">
        <v>0.68989999999999996</v>
      </c>
    </row>
    <row r="48" spans="1:13">
      <c r="A48" s="227">
        <v>4.5999999999999996</v>
      </c>
      <c r="B48" s="226">
        <v>0.94230000000000003</v>
      </c>
      <c r="C48" s="226">
        <v>0.94230000000000003</v>
      </c>
      <c r="D48" s="226">
        <v>0.83709999999999996</v>
      </c>
      <c r="E48" s="226">
        <v>0.83709999999999996</v>
      </c>
      <c r="F48" s="226">
        <v>0.83709999999999996</v>
      </c>
      <c r="G48" s="226">
        <v>0.83709999999999996</v>
      </c>
      <c r="H48" s="226">
        <v>0.83709999999999996</v>
      </c>
      <c r="I48" s="226">
        <v>0.68430000000000002</v>
      </c>
      <c r="J48" s="226">
        <v>0.68430000000000002</v>
      </c>
      <c r="K48" s="226">
        <v>0.68430000000000002</v>
      </c>
      <c r="L48" s="226">
        <v>0.68430000000000002</v>
      </c>
      <c r="M48" s="226">
        <v>0.68430000000000002</v>
      </c>
    </row>
    <row r="49" spans="1:13">
      <c r="A49" s="227">
        <v>4.7</v>
      </c>
      <c r="B49" s="226">
        <v>0.93830000000000002</v>
      </c>
      <c r="C49" s="226">
        <v>0.93830000000000002</v>
      </c>
      <c r="D49" s="226">
        <v>0.83279999999999998</v>
      </c>
      <c r="E49" s="226">
        <v>0.83279999999999998</v>
      </c>
      <c r="F49" s="226">
        <v>0.83279999999999998</v>
      </c>
      <c r="G49" s="226">
        <v>0.83279999999999998</v>
      </c>
      <c r="H49" s="226">
        <v>0.83279999999999998</v>
      </c>
      <c r="I49" s="226">
        <v>0.67879999999999996</v>
      </c>
      <c r="J49" s="226">
        <v>0.67879999999999996</v>
      </c>
      <c r="K49" s="226">
        <v>0.67879999999999996</v>
      </c>
      <c r="L49" s="226">
        <v>0.67879999999999996</v>
      </c>
      <c r="M49" s="226">
        <v>0.67879999999999996</v>
      </c>
    </row>
    <row r="50" spans="1:13">
      <c r="A50" s="227">
        <v>4.8</v>
      </c>
      <c r="B50" s="226">
        <v>0.9345</v>
      </c>
      <c r="C50" s="226">
        <v>0.9345</v>
      </c>
      <c r="D50" s="226">
        <v>0.82869999999999999</v>
      </c>
      <c r="E50" s="226">
        <v>0.82869999999999999</v>
      </c>
      <c r="F50" s="226">
        <v>0.82869999999999999</v>
      </c>
      <c r="G50" s="226">
        <v>0.82869999999999999</v>
      </c>
      <c r="H50" s="226">
        <v>0.82869999999999999</v>
      </c>
      <c r="I50" s="226">
        <v>0.67359999999999998</v>
      </c>
      <c r="J50" s="226">
        <v>0.67359999999999998</v>
      </c>
      <c r="K50" s="226">
        <v>0.67359999999999998</v>
      </c>
      <c r="L50" s="226">
        <v>0.67359999999999998</v>
      </c>
      <c r="M50" s="226">
        <v>0.67359999999999998</v>
      </c>
    </row>
    <row r="51" spans="1:13">
      <c r="A51" s="227">
        <v>4.9000000000000004</v>
      </c>
      <c r="B51" s="226">
        <v>0.93079999999999996</v>
      </c>
      <c r="C51" s="226">
        <v>0.93079999999999996</v>
      </c>
      <c r="D51" s="226">
        <v>0.82479999999999998</v>
      </c>
      <c r="E51" s="226">
        <v>0.82479999999999998</v>
      </c>
      <c r="F51" s="226">
        <v>0.82479999999999998</v>
      </c>
      <c r="G51" s="226">
        <v>0.82479999999999998</v>
      </c>
      <c r="H51" s="226">
        <v>0.82479999999999998</v>
      </c>
      <c r="I51" s="226">
        <v>0.66849999999999998</v>
      </c>
      <c r="J51" s="226">
        <v>0.66849999999999998</v>
      </c>
      <c r="K51" s="226">
        <v>0.66849999999999998</v>
      </c>
      <c r="L51" s="226">
        <v>0.66849999999999998</v>
      </c>
      <c r="M51" s="226">
        <v>0.66849999999999998</v>
      </c>
    </row>
    <row r="52" spans="1:13">
      <c r="A52" s="227">
        <v>5</v>
      </c>
      <c r="B52" s="226">
        <v>0.9274</v>
      </c>
      <c r="C52" s="226">
        <v>0.9274</v>
      </c>
      <c r="D52" s="226">
        <v>0.82110000000000005</v>
      </c>
      <c r="E52" s="226">
        <v>0.82110000000000005</v>
      </c>
      <c r="F52" s="226">
        <v>0.82110000000000005</v>
      </c>
      <c r="G52" s="226">
        <v>0.82110000000000005</v>
      </c>
      <c r="H52" s="226">
        <v>0.82110000000000005</v>
      </c>
      <c r="I52" s="226">
        <v>0.66369999999999996</v>
      </c>
      <c r="J52" s="226">
        <v>0.66369999999999996</v>
      </c>
      <c r="K52" s="226">
        <v>0.66369999999999996</v>
      </c>
      <c r="L52" s="226">
        <v>0.66369999999999996</v>
      </c>
      <c r="M52" s="226">
        <v>0.66369999999999996</v>
      </c>
    </row>
    <row r="53" spans="1:13">
      <c r="A53" s="223">
        <v>5.0999999999999996</v>
      </c>
      <c r="B53" s="226">
        <v>0.92410000000000003</v>
      </c>
      <c r="C53" s="226">
        <v>0.92410000000000003</v>
      </c>
      <c r="D53" s="226">
        <v>0.8175</v>
      </c>
      <c r="E53" s="226">
        <v>0.8175</v>
      </c>
      <c r="F53" s="226">
        <v>0.8175</v>
      </c>
      <c r="G53" s="226">
        <v>0.8175</v>
      </c>
      <c r="H53" s="226">
        <v>0.8175</v>
      </c>
      <c r="I53" s="226">
        <v>0.65900000000000003</v>
      </c>
      <c r="J53" s="226">
        <v>0.65900000000000003</v>
      </c>
      <c r="K53" s="226">
        <v>0.65900000000000003</v>
      </c>
      <c r="L53" s="226">
        <v>0.65900000000000003</v>
      </c>
      <c r="M53" s="226">
        <v>0.65900000000000003</v>
      </c>
    </row>
    <row r="54" spans="1:13">
      <c r="A54" s="223">
        <v>5.2</v>
      </c>
      <c r="B54" s="226">
        <v>0.92090000000000005</v>
      </c>
      <c r="C54" s="226">
        <v>0.92090000000000005</v>
      </c>
      <c r="D54" s="226">
        <v>0.81399999999999995</v>
      </c>
      <c r="E54" s="226">
        <v>0.81399999999999995</v>
      </c>
      <c r="F54" s="226">
        <v>0.81399999999999995</v>
      </c>
      <c r="G54" s="226">
        <v>0.81399999999999995</v>
      </c>
      <c r="H54" s="226">
        <v>0.81399999999999995</v>
      </c>
      <c r="I54" s="226">
        <v>0.65449999999999997</v>
      </c>
      <c r="J54" s="226">
        <v>0.65449999999999997</v>
      </c>
      <c r="K54" s="226">
        <v>0.65449999999999997</v>
      </c>
      <c r="L54" s="226">
        <v>0.65449999999999997</v>
      </c>
      <c r="M54" s="226">
        <v>0.65449999999999997</v>
      </c>
    </row>
    <row r="55" spans="1:13">
      <c r="A55" s="223">
        <v>5.3</v>
      </c>
      <c r="B55" s="226">
        <v>0.91790000000000005</v>
      </c>
      <c r="C55" s="226">
        <v>0.91790000000000005</v>
      </c>
      <c r="D55" s="226">
        <v>0.81059999999999999</v>
      </c>
      <c r="E55" s="226">
        <v>0.81059999999999999</v>
      </c>
      <c r="F55" s="226">
        <v>0.81059999999999999</v>
      </c>
      <c r="G55" s="226">
        <v>0.81059999999999999</v>
      </c>
      <c r="H55" s="226">
        <v>0.81059999999999999</v>
      </c>
      <c r="I55" s="226">
        <v>0.6502</v>
      </c>
      <c r="J55" s="226">
        <v>0.6502</v>
      </c>
      <c r="K55" s="226">
        <v>0.6502</v>
      </c>
      <c r="L55" s="226">
        <v>0.6502</v>
      </c>
      <c r="M55" s="226">
        <v>0.6502</v>
      </c>
    </row>
    <row r="56" spans="1:13">
      <c r="A56" s="223">
        <v>5.4</v>
      </c>
      <c r="B56" s="226">
        <v>0.91490000000000005</v>
      </c>
      <c r="C56" s="226">
        <v>0.91490000000000005</v>
      </c>
      <c r="D56" s="226">
        <v>0.80740000000000001</v>
      </c>
      <c r="E56" s="226">
        <v>0.80740000000000001</v>
      </c>
      <c r="F56" s="226">
        <v>0.80740000000000001</v>
      </c>
      <c r="G56" s="226">
        <v>0.80740000000000001</v>
      </c>
      <c r="H56" s="226">
        <v>0.80740000000000001</v>
      </c>
      <c r="I56" s="226">
        <v>0.64590000000000003</v>
      </c>
      <c r="J56" s="226">
        <v>0.64590000000000003</v>
      </c>
      <c r="K56" s="226">
        <v>0.64590000000000003</v>
      </c>
      <c r="L56" s="226">
        <v>0.64590000000000003</v>
      </c>
      <c r="M56" s="226">
        <v>0.64590000000000003</v>
      </c>
    </row>
    <row r="57" spans="1:13">
      <c r="A57" s="223">
        <v>5.5</v>
      </c>
      <c r="B57" s="226">
        <v>0.91200000000000003</v>
      </c>
      <c r="C57" s="226">
        <v>0.91200000000000003</v>
      </c>
      <c r="D57" s="226">
        <v>0.80420000000000003</v>
      </c>
      <c r="E57" s="226">
        <v>0.80420000000000003</v>
      </c>
      <c r="F57" s="226">
        <v>0.80420000000000003</v>
      </c>
      <c r="G57" s="226">
        <v>0.80420000000000003</v>
      </c>
      <c r="H57" s="226">
        <v>0.80420000000000003</v>
      </c>
      <c r="I57" s="226">
        <v>0.64180000000000004</v>
      </c>
      <c r="J57" s="226">
        <v>0.64180000000000004</v>
      </c>
      <c r="K57" s="226">
        <v>0.64180000000000004</v>
      </c>
      <c r="L57" s="226">
        <v>0.64180000000000004</v>
      </c>
      <c r="M57" s="226">
        <v>0.64180000000000004</v>
      </c>
    </row>
    <row r="58" spans="1:13">
      <c r="A58" s="223">
        <v>5.6</v>
      </c>
      <c r="B58" s="226">
        <v>0.90910000000000002</v>
      </c>
      <c r="C58" s="226">
        <v>0.90910000000000002</v>
      </c>
      <c r="D58" s="226">
        <v>0.80120000000000002</v>
      </c>
      <c r="E58" s="226">
        <v>0.80120000000000002</v>
      </c>
      <c r="F58" s="226">
        <v>0.80120000000000002</v>
      </c>
      <c r="G58" s="226">
        <v>0.80120000000000002</v>
      </c>
      <c r="H58" s="226">
        <v>0.80120000000000002</v>
      </c>
      <c r="I58" s="226">
        <v>0.63790000000000002</v>
      </c>
      <c r="J58" s="226">
        <v>0.63790000000000002</v>
      </c>
      <c r="K58" s="226">
        <v>0.63790000000000002</v>
      </c>
      <c r="L58" s="226">
        <v>0.63790000000000002</v>
      </c>
      <c r="M58" s="226">
        <v>0.63790000000000002</v>
      </c>
    </row>
    <row r="59" spans="1:13">
      <c r="A59" s="227">
        <v>5.7</v>
      </c>
      <c r="B59" s="226">
        <v>0.90639999999999998</v>
      </c>
      <c r="C59" s="226">
        <v>0.90639999999999998</v>
      </c>
      <c r="D59" s="226">
        <v>0.79820000000000002</v>
      </c>
      <c r="E59" s="226">
        <v>0.79820000000000002</v>
      </c>
      <c r="F59" s="226">
        <v>0.79820000000000002</v>
      </c>
      <c r="G59" s="226">
        <v>0.79820000000000002</v>
      </c>
      <c r="H59" s="226">
        <v>0.79820000000000002</v>
      </c>
      <c r="I59" s="226">
        <v>0.6341</v>
      </c>
      <c r="J59" s="226">
        <v>0.6341</v>
      </c>
      <c r="K59" s="226">
        <v>0.6341</v>
      </c>
      <c r="L59" s="226">
        <v>0.6341</v>
      </c>
      <c r="M59" s="226">
        <v>0.6341</v>
      </c>
    </row>
    <row r="60" spans="1:13">
      <c r="A60" s="223">
        <v>5.8</v>
      </c>
      <c r="B60" s="226">
        <v>0.90380000000000005</v>
      </c>
      <c r="C60" s="226">
        <v>0.90380000000000005</v>
      </c>
      <c r="D60" s="226">
        <v>0.7954</v>
      </c>
      <c r="E60" s="226">
        <v>0.7954</v>
      </c>
      <c r="F60" s="226">
        <v>0.7954</v>
      </c>
      <c r="G60" s="226">
        <v>0.7954</v>
      </c>
      <c r="H60" s="226">
        <v>0.7954</v>
      </c>
      <c r="I60" s="226">
        <v>0.63039999999999996</v>
      </c>
      <c r="J60" s="226">
        <v>0.63039999999999996</v>
      </c>
      <c r="K60" s="226">
        <v>0.63039999999999996</v>
      </c>
      <c r="L60" s="226">
        <v>0.63039999999999996</v>
      </c>
      <c r="M60" s="226">
        <v>0.63039999999999996</v>
      </c>
    </row>
    <row r="61" spans="1:13">
      <c r="A61" s="223">
        <v>5.9</v>
      </c>
      <c r="B61" s="226">
        <v>0.90129999999999999</v>
      </c>
      <c r="C61" s="226">
        <v>0.90129999999999999</v>
      </c>
      <c r="D61" s="226">
        <v>0.79269999999999996</v>
      </c>
      <c r="E61" s="226">
        <v>0.79269999999999996</v>
      </c>
      <c r="F61" s="226">
        <v>0.79269999999999996</v>
      </c>
      <c r="G61" s="226">
        <v>0.79269999999999996</v>
      </c>
      <c r="H61" s="226">
        <v>0.79269999999999996</v>
      </c>
      <c r="I61" s="226">
        <v>0.62690000000000001</v>
      </c>
      <c r="J61" s="226">
        <v>0.62690000000000001</v>
      </c>
      <c r="K61" s="226">
        <v>0.62690000000000001</v>
      </c>
      <c r="L61" s="226">
        <v>0.62690000000000001</v>
      </c>
      <c r="M61" s="226">
        <v>0.62690000000000001</v>
      </c>
    </row>
    <row r="62" spans="1:13">
      <c r="A62" s="223">
        <v>6</v>
      </c>
      <c r="B62" s="226">
        <v>0.89890000000000003</v>
      </c>
      <c r="C62" s="226">
        <v>0.89890000000000003</v>
      </c>
      <c r="D62" s="226">
        <v>0.79020000000000001</v>
      </c>
      <c r="E62" s="226">
        <v>0.79020000000000001</v>
      </c>
      <c r="F62" s="226">
        <v>0.79020000000000001</v>
      </c>
      <c r="G62" s="226">
        <v>0.79020000000000001</v>
      </c>
      <c r="H62" s="226">
        <v>0.79020000000000001</v>
      </c>
      <c r="I62" s="226">
        <v>0.62350000000000005</v>
      </c>
      <c r="J62" s="226">
        <v>0.62350000000000005</v>
      </c>
      <c r="K62" s="226">
        <v>0.62350000000000005</v>
      </c>
      <c r="L62" s="226">
        <v>0.62350000000000005</v>
      </c>
      <c r="M62" s="226">
        <v>0.62350000000000005</v>
      </c>
    </row>
    <row r="63" spans="1:13">
      <c r="A63" s="223">
        <v>6.1</v>
      </c>
      <c r="B63" s="226">
        <v>0.89649999999999996</v>
      </c>
      <c r="C63" s="226">
        <v>0.89649999999999996</v>
      </c>
      <c r="D63" s="226">
        <v>0.78769999999999996</v>
      </c>
      <c r="E63" s="226">
        <v>0.78769999999999996</v>
      </c>
      <c r="F63" s="226">
        <v>0.78769999999999996</v>
      </c>
      <c r="G63" s="226">
        <v>0.78769999999999996</v>
      </c>
      <c r="H63" s="226">
        <v>0.78769999999999996</v>
      </c>
      <c r="I63" s="226">
        <v>0.62029999999999996</v>
      </c>
      <c r="J63" s="226">
        <v>0.62029999999999996</v>
      </c>
      <c r="K63" s="226">
        <v>0.62029999999999996</v>
      </c>
      <c r="L63" s="226">
        <v>0.62029999999999996</v>
      </c>
      <c r="M63" s="226">
        <v>0.62029999999999996</v>
      </c>
    </row>
    <row r="64" spans="1:13">
      <c r="A64" s="223">
        <v>6.2</v>
      </c>
      <c r="B64" s="226">
        <v>0.89429999999999998</v>
      </c>
      <c r="C64" s="226">
        <v>0.89429999999999998</v>
      </c>
      <c r="D64" s="226">
        <v>0.78520000000000001</v>
      </c>
      <c r="E64" s="226">
        <v>0.78520000000000001</v>
      </c>
      <c r="F64" s="226">
        <v>0.78520000000000001</v>
      </c>
      <c r="G64" s="226">
        <v>0.78520000000000001</v>
      </c>
      <c r="H64" s="226">
        <v>0.78520000000000001</v>
      </c>
      <c r="I64" s="226">
        <v>0.61719999999999997</v>
      </c>
      <c r="J64" s="226">
        <v>0.61719999999999997</v>
      </c>
      <c r="K64" s="226">
        <v>0.61719999999999997</v>
      </c>
      <c r="L64" s="226">
        <v>0.61719999999999997</v>
      </c>
      <c r="M64" s="226">
        <v>0.61719999999999997</v>
      </c>
    </row>
    <row r="65" spans="1:13">
      <c r="A65" s="223">
        <v>6.3</v>
      </c>
      <c r="B65" s="226">
        <v>0.89200000000000002</v>
      </c>
      <c r="C65" s="226">
        <v>0.89200000000000002</v>
      </c>
      <c r="D65" s="226">
        <v>0.78280000000000005</v>
      </c>
      <c r="E65" s="226">
        <v>0.78280000000000005</v>
      </c>
      <c r="F65" s="226">
        <v>0.78280000000000005</v>
      </c>
      <c r="G65" s="226">
        <v>0.78280000000000005</v>
      </c>
      <c r="H65" s="226">
        <v>0.78280000000000005</v>
      </c>
      <c r="I65" s="226">
        <v>0.61409999999999998</v>
      </c>
      <c r="J65" s="226">
        <v>0.61409999999999998</v>
      </c>
      <c r="K65" s="226">
        <v>0.61409999999999998</v>
      </c>
      <c r="L65" s="226">
        <v>0.61409999999999998</v>
      </c>
      <c r="M65" s="226">
        <v>0.61409999999999998</v>
      </c>
    </row>
    <row r="66" spans="1:13">
      <c r="A66" s="223">
        <v>6.4</v>
      </c>
      <c r="B66" s="226">
        <v>0.88990000000000002</v>
      </c>
      <c r="C66" s="226">
        <v>0.88990000000000002</v>
      </c>
      <c r="D66" s="226">
        <v>0.78039999999999998</v>
      </c>
      <c r="E66" s="226">
        <v>0.78039999999999998</v>
      </c>
      <c r="F66" s="226">
        <v>0.78039999999999998</v>
      </c>
      <c r="G66" s="226">
        <v>0.78039999999999998</v>
      </c>
      <c r="H66" s="226">
        <v>0.78039999999999998</v>
      </c>
      <c r="I66" s="226">
        <v>0.61099999999999999</v>
      </c>
      <c r="J66" s="226">
        <v>0.61099999999999999</v>
      </c>
      <c r="K66" s="226">
        <v>0.61099999999999999</v>
      </c>
      <c r="L66" s="226">
        <v>0.61099999999999999</v>
      </c>
      <c r="M66" s="226">
        <v>0.61099999999999999</v>
      </c>
    </row>
    <row r="67" spans="1:13">
      <c r="A67" s="223">
        <v>6.5</v>
      </c>
      <c r="B67" s="226">
        <v>0.88780000000000003</v>
      </c>
      <c r="C67" s="226">
        <v>0.88780000000000003</v>
      </c>
      <c r="D67" s="226">
        <v>0.77810000000000001</v>
      </c>
      <c r="E67" s="226">
        <v>0.77810000000000001</v>
      </c>
      <c r="F67" s="226">
        <v>0.77810000000000001</v>
      </c>
      <c r="G67" s="226">
        <v>0.77810000000000001</v>
      </c>
      <c r="H67" s="226">
        <v>0.77810000000000001</v>
      </c>
      <c r="I67" s="226">
        <v>0.60799999999999998</v>
      </c>
      <c r="J67" s="226">
        <v>0.60799999999999998</v>
      </c>
      <c r="K67" s="226">
        <v>0.60799999999999998</v>
      </c>
      <c r="L67" s="226">
        <v>0.60799999999999998</v>
      </c>
      <c r="M67" s="226">
        <v>0.60799999999999998</v>
      </c>
    </row>
    <row r="68" spans="1:13">
      <c r="A68" s="223">
        <v>6.6</v>
      </c>
      <c r="B68" s="226">
        <v>0.88580000000000003</v>
      </c>
      <c r="C68" s="226">
        <v>0.88580000000000003</v>
      </c>
      <c r="D68" s="226">
        <v>0.77580000000000005</v>
      </c>
      <c r="E68" s="226">
        <v>0.77580000000000005</v>
      </c>
      <c r="F68" s="226">
        <v>0.77580000000000005</v>
      </c>
      <c r="G68" s="226">
        <v>0.77580000000000005</v>
      </c>
      <c r="H68" s="226">
        <v>0.77580000000000005</v>
      </c>
      <c r="I68" s="226">
        <v>0.60499999999999998</v>
      </c>
      <c r="J68" s="226">
        <v>0.60499999999999998</v>
      </c>
      <c r="K68" s="226">
        <v>0.60499999999999998</v>
      </c>
      <c r="L68" s="226">
        <v>0.60499999999999998</v>
      </c>
      <c r="M68" s="226">
        <v>0.60499999999999998</v>
      </c>
    </row>
    <row r="69" spans="1:13">
      <c r="A69" s="223">
        <v>6.7</v>
      </c>
      <c r="B69" s="226">
        <v>0.88380000000000003</v>
      </c>
      <c r="C69" s="226">
        <v>0.88380000000000003</v>
      </c>
      <c r="D69" s="226">
        <v>0.77359999999999995</v>
      </c>
      <c r="E69" s="226">
        <v>0.77359999999999995</v>
      </c>
      <c r="F69" s="226">
        <v>0.77359999999999995</v>
      </c>
      <c r="G69" s="226">
        <v>0.77359999999999995</v>
      </c>
      <c r="H69" s="226">
        <v>0.77359999999999995</v>
      </c>
      <c r="I69" s="226">
        <v>0.60209999999999997</v>
      </c>
      <c r="J69" s="226">
        <v>0.60209999999999997</v>
      </c>
      <c r="K69" s="226">
        <v>0.60209999999999997</v>
      </c>
      <c r="L69" s="226">
        <v>0.60209999999999997</v>
      </c>
      <c r="M69" s="226">
        <v>0.60209999999999997</v>
      </c>
    </row>
    <row r="70" spans="1:13">
      <c r="A70" s="223">
        <v>6.8</v>
      </c>
      <c r="B70" s="226">
        <v>0.88190000000000002</v>
      </c>
      <c r="C70" s="226">
        <v>0.88190000000000002</v>
      </c>
      <c r="D70" s="226">
        <v>0.77159999999999995</v>
      </c>
      <c r="E70" s="226">
        <v>0.77159999999999995</v>
      </c>
      <c r="F70" s="226">
        <v>0.77159999999999995</v>
      </c>
      <c r="G70" s="226">
        <v>0.77159999999999995</v>
      </c>
      <c r="H70" s="226">
        <v>0.77159999999999995</v>
      </c>
      <c r="I70" s="226">
        <v>0.59930000000000005</v>
      </c>
      <c r="J70" s="226">
        <v>0.59930000000000005</v>
      </c>
      <c r="K70" s="226">
        <v>0.59930000000000005</v>
      </c>
      <c r="L70" s="226">
        <v>0.59930000000000005</v>
      </c>
      <c r="M70" s="226">
        <v>0.59930000000000005</v>
      </c>
    </row>
    <row r="71" spans="1:13">
      <c r="A71" s="223">
        <v>6.9</v>
      </c>
      <c r="B71" s="226">
        <v>0.88</v>
      </c>
      <c r="C71" s="226">
        <v>0.88</v>
      </c>
      <c r="D71" s="226">
        <v>0.76949999999999996</v>
      </c>
      <c r="E71" s="226">
        <v>0.76949999999999996</v>
      </c>
      <c r="F71" s="226">
        <v>0.76949999999999996</v>
      </c>
      <c r="G71" s="226">
        <v>0.76949999999999996</v>
      </c>
      <c r="H71" s="226">
        <v>0.76949999999999996</v>
      </c>
      <c r="I71" s="226">
        <v>0.59640000000000004</v>
      </c>
      <c r="J71" s="226">
        <v>0.59640000000000004</v>
      </c>
      <c r="K71" s="226">
        <v>0.59640000000000004</v>
      </c>
      <c r="L71" s="226">
        <v>0.59640000000000004</v>
      </c>
      <c r="M71" s="226">
        <v>0.59640000000000004</v>
      </c>
    </row>
    <row r="72" spans="1:13">
      <c r="A72" s="223">
        <v>7</v>
      </c>
      <c r="B72" s="226">
        <v>0.87819999999999998</v>
      </c>
      <c r="C72" s="226">
        <v>0.87819999999999998</v>
      </c>
      <c r="D72" s="226">
        <v>0.76749999999999996</v>
      </c>
      <c r="E72" s="226">
        <v>0.76749999999999996</v>
      </c>
      <c r="F72" s="226">
        <v>0.76749999999999996</v>
      </c>
      <c r="G72" s="226">
        <v>0.76749999999999996</v>
      </c>
      <c r="H72" s="226">
        <v>0.76749999999999996</v>
      </c>
      <c r="I72" s="226">
        <v>0.59360000000000002</v>
      </c>
      <c r="J72" s="226">
        <v>0.59360000000000002</v>
      </c>
      <c r="K72" s="226">
        <v>0.59360000000000002</v>
      </c>
      <c r="L72" s="226">
        <v>0.59360000000000002</v>
      </c>
      <c r="M72" s="226">
        <v>0.59360000000000002</v>
      </c>
    </row>
    <row r="73" spans="1:13">
      <c r="A73" s="223">
        <v>7.1</v>
      </c>
      <c r="B73" s="226">
        <v>0.87660000000000005</v>
      </c>
      <c r="C73" s="226">
        <v>0.87660000000000005</v>
      </c>
      <c r="D73" s="226">
        <v>0.76570000000000005</v>
      </c>
      <c r="E73" s="226">
        <v>0.76570000000000005</v>
      </c>
      <c r="F73" s="226">
        <v>0.76570000000000005</v>
      </c>
      <c r="G73" s="226">
        <v>0.76570000000000005</v>
      </c>
      <c r="H73" s="226">
        <v>0.76570000000000005</v>
      </c>
      <c r="I73" s="226">
        <v>0.59109999999999996</v>
      </c>
      <c r="J73" s="226">
        <v>0.59109999999999996</v>
      </c>
      <c r="K73" s="226">
        <v>0.59109999999999996</v>
      </c>
      <c r="L73" s="226">
        <v>0.59109999999999996</v>
      </c>
      <c r="M73" s="226">
        <v>0.59109999999999996</v>
      </c>
    </row>
    <row r="74" spans="1:13">
      <c r="A74" s="223">
        <v>7.2</v>
      </c>
      <c r="B74" s="226">
        <v>0.87490000000000001</v>
      </c>
      <c r="C74" s="226">
        <v>0.87490000000000001</v>
      </c>
      <c r="D74" s="226">
        <v>0.76380000000000003</v>
      </c>
      <c r="E74" s="226">
        <v>0.76380000000000003</v>
      </c>
      <c r="F74" s="226">
        <v>0.76380000000000003</v>
      </c>
      <c r="G74" s="226">
        <v>0.76380000000000003</v>
      </c>
      <c r="H74" s="226">
        <v>0.76380000000000003</v>
      </c>
      <c r="I74" s="226">
        <v>0.58860000000000001</v>
      </c>
      <c r="J74" s="226">
        <v>0.58860000000000001</v>
      </c>
      <c r="K74" s="226">
        <v>0.58860000000000001</v>
      </c>
      <c r="L74" s="226">
        <v>0.58860000000000001</v>
      </c>
      <c r="M74" s="226">
        <v>0.58860000000000001</v>
      </c>
    </row>
    <row r="75" spans="1:13">
      <c r="A75" s="223">
        <v>7.3</v>
      </c>
      <c r="B75" s="226">
        <v>0.87329999999999997</v>
      </c>
      <c r="C75" s="226">
        <v>0.87329999999999997</v>
      </c>
      <c r="D75" s="226">
        <v>0.76200000000000001</v>
      </c>
      <c r="E75" s="226">
        <v>0.76200000000000001</v>
      </c>
      <c r="F75" s="226">
        <v>0.76200000000000001</v>
      </c>
      <c r="G75" s="226">
        <v>0.76200000000000001</v>
      </c>
      <c r="H75" s="226">
        <v>0.76200000000000001</v>
      </c>
      <c r="I75" s="226">
        <v>0.58620000000000005</v>
      </c>
      <c r="J75" s="226">
        <v>0.58620000000000005</v>
      </c>
      <c r="K75" s="226">
        <v>0.58620000000000005</v>
      </c>
      <c r="L75" s="226">
        <v>0.58620000000000005</v>
      </c>
      <c r="M75" s="226">
        <v>0.58620000000000005</v>
      </c>
    </row>
    <row r="76" spans="1:13">
      <c r="A76" s="223">
        <v>7.4</v>
      </c>
      <c r="B76" s="226">
        <v>0.87160000000000004</v>
      </c>
      <c r="C76" s="226">
        <v>0.87160000000000004</v>
      </c>
      <c r="D76" s="226">
        <v>0.76029999999999998</v>
      </c>
      <c r="E76" s="226">
        <v>0.76029999999999998</v>
      </c>
      <c r="F76" s="226">
        <v>0.76029999999999998</v>
      </c>
      <c r="G76" s="226">
        <v>0.76029999999999998</v>
      </c>
      <c r="H76" s="226">
        <v>0.76029999999999998</v>
      </c>
      <c r="I76" s="226">
        <v>0.58379999999999999</v>
      </c>
      <c r="J76" s="226">
        <v>0.58379999999999999</v>
      </c>
      <c r="K76" s="226">
        <v>0.58379999999999999</v>
      </c>
      <c r="L76" s="226">
        <v>0.58379999999999999</v>
      </c>
      <c r="M76" s="226">
        <v>0.58379999999999999</v>
      </c>
    </row>
    <row r="77" spans="1:13">
      <c r="A77" s="223">
        <v>7.5</v>
      </c>
      <c r="B77" s="226">
        <v>0.87</v>
      </c>
      <c r="C77" s="226">
        <v>0.87</v>
      </c>
      <c r="D77" s="226">
        <v>0.75849999999999995</v>
      </c>
      <c r="E77" s="226">
        <v>0.75849999999999995</v>
      </c>
      <c r="F77" s="226">
        <v>0.75849999999999995</v>
      </c>
      <c r="G77" s="226">
        <v>0.75849999999999995</v>
      </c>
      <c r="H77" s="226">
        <v>0.75849999999999995</v>
      </c>
      <c r="I77" s="226">
        <v>0.58140000000000003</v>
      </c>
      <c r="J77" s="226">
        <v>0.58140000000000003</v>
      </c>
      <c r="K77" s="226">
        <v>0.58140000000000003</v>
      </c>
      <c r="L77" s="226">
        <v>0.58140000000000003</v>
      </c>
      <c r="M77" s="226">
        <v>0.58140000000000003</v>
      </c>
    </row>
    <row r="78" spans="1:13">
      <c r="A78" s="223">
        <v>7.6</v>
      </c>
      <c r="B78" s="226">
        <v>0.86839999999999995</v>
      </c>
      <c r="C78" s="226">
        <v>0.86839999999999995</v>
      </c>
      <c r="D78" s="226">
        <v>0.75680000000000003</v>
      </c>
      <c r="E78" s="226">
        <v>0.75680000000000003</v>
      </c>
      <c r="F78" s="226">
        <v>0.75680000000000003</v>
      </c>
      <c r="G78" s="226">
        <v>0.75680000000000003</v>
      </c>
      <c r="H78" s="226">
        <v>0.75680000000000003</v>
      </c>
      <c r="I78" s="226">
        <v>0.57899999999999996</v>
      </c>
      <c r="J78" s="226">
        <v>0.57899999999999996</v>
      </c>
      <c r="K78" s="226">
        <v>0.57899999999999996</v>
      </c>
      <c r="L78" s="226">
        <v>0.57899999999999996</v>
      </c>
      <c r="M78" s="226">
        <v>0.57899999999999996</v>
      </c>
    </row>
    <row r="79" spans="1:13">
      <c r="A79" s="223">
        <v>7.7</v>
      </c>
      <c r="B79" s="226">
        <v>0.8669</v>
      </c>
      <c r="C79" s="226">
        <v>0.8669</v>
      </c>
      <c r="D79" s="226">
        <v>0.755</v>
      </c>
      <c r="E79" s="226">
        <v>0.755</v>
      </c>
      <c r="F79" s="226">
        <v>0.755</v>
      </c>
      <c r="G79" s="226">
        <v>0.755</v>
      </c>
      <c r="H79" s="226">
        <v>0.755</v>
      </c>
      <c r="I79" s="226">
        <v>0.57669999999999999</v>
      </c>
      <c r="J79" s="226">
        <v>0.57669999999999999</v>
      </c>
      <c r="K79" s="226">
        <v>0.57669999999999999</v>
      </c>
      <c r="L79" s="226">
        <v>0.57669999999999999</v>
      </c>
      <c r="M79" s="226">
        <v>0.57669999999999999</v>
      </c>
    </row>
    <row r="80" spans="1:13">
      <c r="A80" s="223">
        <v>7.8</v>
      </c>
      <c r="B80" s="226">
        <v>0.86539999999999995</v>
      </c>
      <c r="C80" s="226">
        <v>0.86539999999999995</v>
      </c>
      <c r="D80" s="226">
        <v>0.75329999999999997</v>
      </c>
      <c r="E80" s="226">
        <v>0.75329999999999997</v>
      </c>
      <c r="F80" s="226">
        <v>0.75329999999999997</v>
      </c>
      <c r="G80" s="226">
        <v>0.75329999999999997</v>
      </c>
      <c r="H80" s="226">
        <v>0.75329999999999997</v>
      </c>
      <c r="I80" s="226">
        <v>0.57450000000000001</v>
      </c>
      <c r="J80" s="226">
        <v>0.57450000000000001</v>
      </c>
      <c r="K80" s="226">
        <v>0.57450000000000001</v>
      </c>
      <c r="L80" s="226">
        <v>0.57450000000000001</v>
      </c>
      <c r="M80" s="226">
        <v>0.57450000000000001</v>
      </c>
    </row>
    <row r="81" spans="1:13">
      <c r="A81" s="223">
        <v>7.9</v>
      </c>
      <c r="B81" s="226">
        <v>0.86380000000000001</v>
      </c>
      <c r="C81" s="226">
        <v>0.86380000000000001</v>
      </c>
      <c r="D81" s="226">
        <v>0.75170000000000003</v>
      </c>
      <c r="E81" s="226">
        <v>0.75170000000000003</v>
      </c>
      <c r="F81" s="226">
        <v>0.75170000000000003</v>
      </c>
      <c r="G81" s="226">
        <v>0.75170000000000003</v>
      </c>
      <c r="H81" s="226">
        <v>0.75170000000000003</v>
      </c>
      <c r="I81" s="226">
        <v>0.57220000000000004</v>
      </c>
      <c r="J81" s="226">
        <v>0.57220000000000004</v>
      </c>
      <c r="K81" s="226">
        <v>0.57220000000000004</v>
      </c>
      <c r="L81" s="226">
        <v>0.57220000000000004</v>
      </c>
      <c r="M81" s="226">
        <v>0.57220000000000004</v>
      </c>
    </row>
    <row r="82" spans="1:13">
      <c r="A82" s="223">
        <v>8</v>
      </c>
      <c r="B82" s="226">
        <v>0.86240000000000006</v>
      </c>
      <c r="C82" s="226">
        <v>0.86240000000000006</v>
      </c>
      <c r="D82" s="226">
        <v>0.75</v>
      </c>
      <c r="E82" s="226">
        <v>0.75</v>
      </c>
      <c r="F82" s="226">
        <v>0.75</v>
      </c>
      <c r="G82" s="226">
        <v>0.75</v>
      </c>
      <c r="H82" s="226">
        <v>0.75</v>
      </c>
      <c r="I82" s="226">
        <v>0.56989999999999996</v>
      </c>
      <c r="J82" s="226">
        <v>0.56989999999999996</v>
      </c>
      <c r="K82" s="226">
        <v>0.56989999999999996</v>
      </c>
      <c r="L82" s="226">
        <v>0.56989999999999996</v>
      </c>
      <c r="M82" s="226">
        <v>0.56989999999999996</v>
      </c>
    </row>
    <row r="83" spans="1:13">
      <c r="A83" s="223">
        <v>8.1</v>
      </c>
      <c r="B83" s="226">
        <v>0.86099999999999999</v>
      </c>
      <c r="C83" s="226">
        <v>0.86099999999999999</v>
      </c>
      <c r="D83" s="226">
        <v>0.74850000000000005</v>
      </c>
      <c r="E83" s="226">
        <v>0.74850000000000005</v>
      </c>
      <c r="F83" s="226">
        <v>0.74850000000000005</v>
      </c>
      <c r="G83" s="226">
        <v>0.74850000000000005</v>
      </c>
      <c r="H83" s="226">
        <v>0.74850000000000005</v>
      </c>
      <c r="I83" s="226">
        <v>0.56779999999999997</v>
      </c>
      <c r="J83" s="226">
        <v>0.56779999999999997</v>
      </c>
      <c r="K83" s="226">
        <v>0.56779999999999997</v>
      </c>
      <c r="L83" s="226">
        <v>0.56779999999999997</v>
      </c>
      <c r="M83" s="226">
        <v>0.56779999999999997</v>
      </c>
    </row>
    <row r="84" spans="1:13">
      <c r="A84" s="223">
        <v>8.1999999999999993</v>
      </c>
      <c r="B84" s="226">
        <v>0.85970000000000002</v>
      </c>
      <c r="C84" s="226">
        <v>0.85970000000000002</v>
      </c>
      <c r="D84" s="226">
        <v>0.747</v>
      </c>
      <c r="E84" s="226">
        <v>0.747</v>
      </c>
      <c r="F84" s="226">
        <v>0.747</v>
      </c>
      <c r="G84" s="226">
        <v>0.747</v>
      </c>
      <c r="H84" s="226">
        <v>0.747</v>
      </c>
      <c r="I84" s="226">
        <v>0.56589999999999996</v>
      </c>
      <c r="J84" s="226">
        <v>0.56589999999999996</v>
      </c>
      <c r="K84" s="226">
        <v>0.56589999999999996</v>
      </c>
      <c r="L84" s="226">
        <v>0.56589999999999996</v>
      </c>
      <c r="M84" s="226">
        <v>0.56589999999999996</v>
      </c>
    </row>
    <row r="85" spans="1:13">
      <c r="A85" s="223">
        <v>8.3000000000000007</v>
      </c>
      <c r="B85" s="226">
        <v>0.85840000000000005</v>
      </c>
      <c r="C85" s="226">
        <v>0.85840000000000005</v>
      </c>
      <c r="D85" s="226">
        <v>0.74560000000000004</v>
      </c>
      <c r="E85" s="226">
        <v>0.74560000000000004</v>
      </c>
      <c r="F85" s="226">
        <v>0.74560000000000004</v>
      </c>
      <c r="G85" s="226">
        <v>0.74560000000000004</v>
      </c>
      <c r="H85" s="226">
        <v>0.74560000000000004</v>
      </c>
      <c r="I85" s="226">
        <v>0.56389999999999996</v>
      </c>
      <c r="J85" s="226">
        <v>0.56389999999999996</v>
      </c>
      <c r="K85" s="226">
        <v>0.56389999999999996</v>
      </c>
      <c r="L85" s="226">
        <v>0.56389999999999996</v>
      </c>
      <c r="M85" s="226">
        <v>0.56389999999999996</v>
      </c>
    </row>
    <row r="86" spans="1:13">
      <c r="A86" s="223">
        <v>8.4</v>
      </c>
      <c r="B86" s="226">
        <v>0.85709999999999997</v>
      </c>
      <c r="C86" s="226">
        <v>0.85709999999999997</v>
      </c>
      <c r="D86" s="226">
        <v>0.74419999999999997</v>
      </c>
      <c r="E86" s="226">
        <v>0.74419999999999997</v>
      </c>
      <c r="F86" s="226">
        <v>0.74419999999999997</v>
      </c>
      <c r="G86" s="226">
        <v>0.74419999999999997</v>
      </c>
      <c r="H86" s="226">
        <v>0.74419999999999997</v>
      </c>
      <c r="I86" s="226">
        <v>0.56189999999999996</v>
      </c>
      <c r="J86" s="226">
        <v>0.56189999999999996</v>
      </c>
      <c r="K86" s="226">
        <v>0.56189999999999996</v>
      </c>
      <c r="L86" s="226">
        <v>0.56189999999999996</v>
      </c>
      <c r="M86" s="226">
        <v>0.56189999999999996</v>
      </c>
    </row>
    <row r="87" spans="1:13">
      <c r="A87" s="223">
        <v>8.5</v>
      </c>
      <c r="B87" s="226">
        <v>0.85580000000000001</v>
      </c>
      <c r="C87" s="226">
        <v>0.85580000000000001</v>
      </c>
      <c r="D87" s="226">
        <v>0.74270000000000003</v>
      </c>
      <c r="E87" s="226">
        <v>0.74270000000000003</v>
      </c>
      <c r="F87" s="226">
        <v>0.74270000000000003</v>
      </c>
      <c r="G87" s="226">
        <v>0.74270000000000003</v>
      </c>
      <c r="H87" s="226">
        <v>0.74270000000000003</v>
      </c>
      <c r="I87" s="226">
        <v>0.55989999999999995</v>
      </c>
      <c r="J87" s="226">
        <v>0.55989999999999995</v>
      </c>
      <c r="K87" s="226">
        <v>0.55989999999999995</v>
      </c>
      <c r="L87" s="226">
        <v>0.55989999999999995</v>
      </c>
      <c r="M87" s="226">
        <v>0.55989999999999995</v>
      </c>
    </row>
    <row r="88" spans="1:13">
      <c r="A88" s="223">
        <v>8.6</v>
      </c>
      <c r="B88" s="226">
        <v>0.85450000000000004</v>
      </c>
      <c r="C88" s="226">
        <v>0.85450000000000004</v>
      </c>
      <c r="D88" s="226">
        <v>0.74129999999999996</v>
      </c>
      <c r="E88" s="226">
        <v>0.74129999999999996</v>
      </c>
      <c r="F88" s="226">
        <v>0.74129999999999996</v>
      </c>
      <c r="G88" s="226">
        <v>0.74129999999999996</v>
      </c>
      <c r="H88" s="226">
        <v>0.74129999999999996</v>
      </c>
      <c r="I88" s="226">
        <v>0.55800000000000005</v>
      </c>
      <c r="J88" s="226">
        <v>0.55800000000000005</v>
      </c>
      <c r="K88" s="226">
        <v>0.55800000000000005</v>
      </c>
      <c r="L88" s="226">
        <v>0.55800000000000005</v>
      </c>
      <c r="M88" s="226">
        <v>0.55800000000000005</v>
      </c>
    </row>
    <row r="89" spans="1:13">
      <c r="A89" s="223">
        <v>8.6999999999999993</v>
      </c>
      <c r="B89" s="226">
        <v>0.85329999999999995</v>
      </c>
      <c r="C89" s="226">
        <v>0.85329999999999995</v>
      </c>
      <c r="D89" s="226">
        <v>0.7399</v>
      </c>
      <c r="E89" s="226">
        <v>0.7399</v>
      </c>
      <c r="F89" s="226">
        <v>0.7399</v>
      </c>
      <c r="G89" s="226">
        <v>0.7399</v>
      </c>
      <c r="H89" s="226">
        <v>0.7399</v>
      </c>
      <c r="I89" s="226">
        <v>0.55600000000000005</v>
      </c>
      <c r="J89" s="226">
        <v>0.55600000000000005</v>
      </c>
      <c r="K89" s="226">
        <v>0.55600000000000005</v>
      </c>
      <c r="L89" s="226">
        <v>0.55600000000000005</v>
      </c>
      <c r="M89" s="226">
        <v>0.55600000000000005</v>
      </c>
    </row>
    <row r="90" spans="1:13">
      <c r="A90" s="223">
        <v>8.8000000000000007</v>
      </c>
      <c r="B90" s="226">
        <v>0.85209999999999997</v>
      </c>
      <c r="C90" s="226">
        <v>0.85209999999999997</v>
      </c>
      <c r="D90" s="226">
        <v>0.73850000000000005</v>
      </c>
      <c r="E90" s="226">
        <v>0.73850000000000005</v>
      </c>
      <c r="F90" s="226">
        <v>0.73850000000000005</v>
      </c>
      <c r="G90" s="226">
        <v>0.73850000000000005</v>
      </c>
      <c r="H90" s="226">
        <v>0.73850000000000005</v>
      </c>
      <c r="I90" s="226">
        <v>0.55420000000000003</v>
      </c>
      <c r="J90" s="226">
        <v>0.55420000000000003</v>
      </c>
      <c r="K90" s="226">
        <v>0.55420000000000003</v>
      </c>
      <c r="L90" s="226">
        <v>0.55420000000000003</v>
      </c>
      <c r="M90" s="226">
        <v>0.55420000000000003</v>
      </c>
    </row>
    <row r="91" spans="1:13">
      <c r="A91" s="223">
        <v>8.9</v>
      </c>
      <c r="B91" s="226">
        <v>0.85099999999999998</v>
      </c>
      <c r="C91" s="226">
        <v>0.85099999999999998</v>
      </c>
      <c r="D91" s="226">
        <v>0.73719999999999997</v>
      </c>
      <c r="E91" s="226">
        <v>0.73719999999999997</v>
      </c>
      <c r="F91" s="226">
        <v>0.73719999999999997</v>
      </c>
      <c r="G91" s="226">
        <v>0.73719999999999997</v>
      </c>
      <c r="H91" s="226">
        <v>0.73719999999999997</v>
      </c>
      <c r="I91" s="226">
        <v>0.55230000000000001</v>
      </c>
      <c r="J91" s="226">
        <v>0.55230000000000001</v>
      </c>
      <c r="K91" s="226">
        <v>0.55230000000000001</v>
      </c>
      <c r="L91" s="226">
        <v>0.55230000000000001</v>
      </c>
      <c r="M91" s="226">
        <v>0.55230000000000001</v>
      </c>
    </row>
    <row r="92" spans="1:13">
      <c r="A92" s="227">
        <v>9</v>
      </c>
      <c r="B92" s="226">
        <v>0.8498</v>
      </c>
      <c r="C92" s="226">
        <v>0.8498</v>
      </c>
      <c r="D92" s="226">
        <v>0.7359</v>
      </c>
      <c r="E92" s="226">
        <v>0.7359</v>
      </c>
      <c r="F92" s="226">
        <v>0.7359</v>
      </c>
      <c r="G92" s="226">
        <v>0.7359</v>
      </c>
      <c r="H92" s="226">
        <v>0.7359</v>
      </c>
      <c r="I92" s="226">
        <v>0.55049999999999999</v>
      </c>
      <c r="J92" s="226">
        <v>0.55049999999999999</v>
      </c>
      <c r="K92" s="226">
        <v>0.55049999999999999</v>
      </c>
      <c r="L92" s="226">
        <v>0.55049999999999999</v>
      </c>
      <c r="M92" s="226">
        <v>0.55049999999999999</v>
      </c>
    </row>
    <row r="93" spans="1:13">
      <c r="A93" s="227">
        <v>9.1</v>
      </c>
      <c r="B93" s="226">
        <v>0.84870000000000001</v>
      </c>
      <c r="C93" s="226">
        <v>0.84870000000000001</v>
      </c>
      <c r="D93" s="226">
        <v>0.73470000000000002</v>
      </c>
      <c r="E93" s="226">
        <v>0.73470000000000002</v>
      </c>
      <c r="F93" s="226">
        <v>0.73470000000000002</v>
      </c>
      <c r="G93" s="226">
        <v>0.73470000000000002</v>
      </c>
      <c r="H93" s="226">
        <v>0.73470000000000002</v>
      </c>
      <c r="I93" s="226">
        <v>0.54879999999999995</v>
      </c>
      <c r="J93" s="226">
        <v>0.54879999999999995</v>
      </c>
      <c r="K93" s="226">
        <v>0.54879999999999995</v>
      </c>
      <c r="L93" s="226">
        <v>0.54879999999999995</v>
      </c>
      <c r="M93" s="226">
        <v>0.54879999999999995</v>
      </c>
    </row>
    <row r="94" spans="1:13">
      <c r="A94" s="227">
        <v>9.1999999999999993</v>
      </c>
      <c r="B94" s="226">
        <v>0.84770000000000001</v>
      </c>
      <c r="C94" s="226">
        <v>0.84770000000000001</v>
      </c>
      <c r="D94" s="226">
        <v>0.73350000000000004</v>
      </c>
      <c r="E94" s="226">
        <v>0.73350000000000004</v>
      </c>
      <c r="F94" s="226">
        <v>0.73350000000000004</v>
      </c>
      <c r="G94" s="226">
        <v>0.73350000000000004</v>
      </c>
      <c r="H94" s="226">
        <v>0.73350000000000004</v>
      </c>
      <c r="I94" s="226">
        <v>0.54710000000000003</v>
      </c>
      <c r="J94" s="226">
        <v>0.54710000000000003</v>
      </c>
      <c r="K94" s="226">
        <v>0.54710000000000003</v>
      </c>
      <c r="L94" s="226">
        <v>0.54710000000000003</v>
      </c>
      <c r="M94" s="226">
        <v>0.54710000000000003</v>
      </c>
    </row>
    <row r="95" spans="1:13">
      <c r="A95" s="227">
        <v>9.3000000000000007</v>
      </c>
      <c r="B95" s="226">
        <v>0.84660000000000002</v>
      </c>
      <c r="C95" s="226">
        <v>0.84660000000000002</v>
      </c>
      <c r="D95" s="226">
        <v>0.73229999999999995</v>
      </c>
      <c r="E95" s="226">
        <v>0.73229999999999995</v>
      </c>
      <c r="F95" s="226">
        <v>0.73229999999999995</v>
      </c>
      <c r="G95" s="226">
        <v>0.73229999999999995</v>
      </c>
      <c r="H95" s="226">
        <v>0.73229999999999995</v>
      </c>
      <c r="I95" s="226">
        <v>0.5454</v>
      </c>
      <c r="J95" s="226">
        <v>0.5454</v>
      </c>
      <c r="K95" s="226">
        <v>0.5454</v>
      </c>
      <c r="L95" s="226">
        <v>0.5454</v>
      </c>
      <c r="M95" s="226">
        <v>0.5454</v>
      </c>
    </row>
    <row r="96" spans="1:13">
      <c r="A96" s="227">
        <v>9.4</v>
      </c>
      <c r="B96" s="226">
        <v>0.84550000000000003</v>
      </c>
      <c r="C96" s="226">
        <v>0.84550000000000003</v>
      </c>
      <c r="D96" s="226">
        <v>0.73109999999999997</v>
      </c>
      <c r="E96" s="226">
        <v>0.73109999999999997</v>
      </c>
      <c r="F96" s="226">
        <v>0.73109999999999997</v>
      </c>
      <c r="G96" s="226">
        <v>0.73109999999999997</v>
      </c>
      <c r="H96" s="226">
        <v>0.73109999999999997</v>
      </c>
      <c r="I96" s="226">
        <v>0.54369999999999996</v>
      </c>
      <c r="J96" s="226">
        <v>0.54369999999999996</v>
      </c>
      <c r="K96" s="226">
        <v>0.54369999999999996</v>
      </c>
      <c r="L96" s="226">
        <v>0.54369999999999996</v>
      </c>
      <c r="M96" s="226">
        <v>0.54369999999999996</v>
      </c>
    </row>
    <row r="97" spans="1:14">
      <c r="A97" s="227">
        <v>9.5</v>
      </c>
      <c r="B97" s="226">
        <v>0.84450000000000003</v>
      </c>
      <c r="C97" s="226">
        <v>0.84450000000000003</v>
      </c>
      <c r="D97" s="226">
        <v>0.72989999999999999</v>
      </c>
      <c r="E97" s="226">
        <v>0.72989999999999999</v>
      </c>
      <c r="F97" s="226">
        <v>0.72989999999999999</v>
      </c>
      <c r="G97" s="226">
        <v>0.72989999999999999</v>
      </c>
      <c r="H97" s="226">
        <v>0.72989999999999999</v>
      </c>
      <c r="I97" s="226">
        <v>0.54200000000000004</v>
      </c>
      <c r="J97" s="226">
        <v>0.54200000000000004</v>
      </c>
      <c r="K97" s="226">
        <v>0.54200000000000004</v>
      </c>
      <c r="L97" s="226">
        <v>0.54200000000000004</v>
      </c>
      <c r="M97" s="226">
        <v>0.54200000000000004</v>
      </c>
    </row>
    <row r="98" spans="1:14">
      <c r="A98" s="227">
        <v>9.6</v>
      </c>
      <c r="B98" s="226">
        <v>0.84340000000000004</v>
      </c>
      <c r="C98" s="226">
        <v>0.84340000000000004</v>
      </c>
      <c r="D98" s="226">
        <v>0.72870000000000001</v>
      </c>
      <c r="E98" s="226">
        <v>0.72870000000000001</v>
      </c>
      <c r="F98" s="226">
        <v>0.72870000000000001</v>
      </c>
      <c r="G98" s="226">
        <v>0.72870000000000001</v>
      </c>
      <c r="H98" s="226">
        <v>0.72870000000000001</v>
      </c>
      <c r="I98" s="226">
        <v>0.5403</v>
      </c>
      <c r="J98" s="226">
        <v>0.5403</v>
      </c>
      <c r="K98" s="226">
        <v>0.5403</v>
      </c>
      <c r="L98" s="226">
        <v>0.5403</v>
      </c>
      <c r="M98" s="226">
        <v>0.5403</v>
      </c>
    </row>
    <row r="99" spans="1:14">
      <c r="A99" s="227">
        <v>9.6999999999999993</v>
      </c>
      <c r="B99" s="226">
        <v>0.84230000000000005</v>
      </c>
      <c r="C99" s="226">
        <v>0.84230000000000005</v>
      </c>
      <c r="D99" s="226">
        <v>0.72750000000000004</v>
      </c>
      <c r="E99" s="226">
        <v>0.72750000000000004</v>
      </c>
      <c r="F99" s="226">
        <v>0.72750000000000004</v>
      </c>
      <c r="G99" s="226">
        <v>0.72750000000000004</v>
      </c>
      <c r="H99" s="226">
        <v>0.72750000000000004</v>
      </c>
      <c r="I99" s="226">
        <v>0.53859999999999997</v>
      </c>
      <c r="J99" s="226">
        <v>0.53859999999999997</v>
      </c>
      <c r="K99" s="226">
        <v>0.53859999999999997</v>
      </c>
      <c r="L99" s="226">
        <v>0.53859999999999997</v>
      </c>
      <c r="M99" s="226">
        <v>0.53859999999999997</v>
      </c>
    </row>
    <row r="100" spans="1:14">
      <c r="A100" s="227">
        <v>9.8000000000000007</v>
      </c>
      <c r="B100" s="226">
        <v>0.84140000000000004</v>
      </c>
      <c r="C100" s="226">
        <v>0.84140000000000004</v>
      </c>
      <c r="D100" s="226">
        <v>0.72629999999999995</v>
      </c>
      <c r="E100" s="226">
        <v>0.72629999999999995</v>
      </c>
      <c r="F100" s="226">
        <v>0.72629999999999995</v>
      </c>
      <c r="G100" s="226">
        <v>0.72629999999999995</v>
      </c>
      <c r="H100" s="226">
        <v>0.72629999999999995</v>
      </c>
      <c r="I100" s="226">
        <v>0.53710000000000002</v>
      </c>
      <c r="J100" s="226">
        <v>0.53710000000000002</v>
      </c>
      <c r="K100" s="226">
        <v>0.53710000000000002</v>
      </c>
      <c r="L100" s="226">
        <v>0.53710000000000002</v>
      </c>
      <c r="M100" s="226">
        <v>0.53710000000000002</v>
      </c>
    </row>
    <row r="101" spans="1:14">
      <c r="A101" s="227">
        <v>9.9</v>
      </c>
      <c r="B101" s="226">
        <v>0.84050000000000002</v>
      </c>
      <c r="C101" s="226">
        <v>0.84050000000000002</v>
      </c>
      <c r="D101" s="226">
        <v>0.72519999999999996</v>
      </c>
      <c r="E101" s="226">
        <v>0.72519999999999996</v>
      </c>
      <c r="F101" s="226">
        <v>0.72519999999999996</v>
      </c>
      <c r="G101" s="226">
        <v>0.72519999999999996</v>
      </c>
      <c r="H101" s="226">
        <v>0.72519999999999996</v>
      </c>
      <c r="I101" s="226">
        <v>0.53549999999999998</v>
      </c>
      <c r="J101" s="226">
        <v>0.53549999999999998</v>
      </c>
      <c r="K101" s="226">
        <v>0.53549999999999998</v>
      </c>
      <c r="L101" s="226">
        <v>0.53549999999999998</v>
      </c>
      <c r="M101" s="226">
        <v>0.53549999999999998</v>
      </c>
    </row>
    <row r="102" spans="1:14">
      <c r="A102" s="227">
        <v>10</v>
      </c>
      <c r="B102" s="226">
        <v>0.83950000000000002</v>
      </c>
      <c r="C102" s="226">
        <v>0.83950000000000002</v>
      </c>
      <c r="D102" s="226">
        <v>0.72409999999999997</v>
      </c>
      <c r="E102" s="226">
        <v>0.72409999999999997</v>
      </c>
      <c r="F102" s="226">
        <v>0.72409999999999997</v>
      </c>
      <c r="G102" s="226">
        <v>0.72409999999999997</v>
      </c>
      <c r="H102" s="226">
        <v>0.72409999999999997</v>
      </c>
      <c r="I102" s="226">
        <v>0.53400000000000003</v>
      </c>
      <c r="J102" s="226">
        <v>0.53400000000000003</v>
      </c>
      <c r="K102" s="226">
        <v>0.53400000000000003</v>
      </c>
      <c r="L102" s="226">
        <v>0.53400000000000003</v>
      </c>
      <c r="M102" s="226">
        <v>0.53400000000000003</v>
      </c>
    </row>
    <row r="103" spans="1:14" ht="14.25">
      <c r="A103" s="221" t="s">
        <v>2247</v>
      </c>
      <c r="B103" s="222"/>
      <c r="C103" s="222"/>
      <c r="D103" s="222"/>
      <c r="E103" s="222"/>
      <c r="F103" s="222"/>
      <c r="G103" s="222"/>
      <c r="H103" s="222"/>
      <c r="I103" s="222"/>
      <c r="J103" s="222"/>
      <c r="K103" s="222"/>
      <c r="L103" s="222"/>
      <c r="M103" s="222"/>
      <c r="N103" s="222"/>
    </row>
    <row r="104" spans="1:14" ht="14.25">
      <c r="A104" s="223" t="s">
        <v>2246</v>
      </c>
      <c r="B104" s="224" t="s">
        <v>1655</v>
      </c>
      <c r="C104" s="224" t="s">
        <v>357</v>
      </c>
      <c r="D104" s="224" t="s">
        <v>1679</v>
      </c>
      <c r="E104" s="224" t="s">
        <v>1700</v>
      </c>
      <c r="F104" s="224" t="s">
        <v>1728</v>
      </c>
      <c r="G104" s="224" t="s">
        <v>1763</v>
      </c>
      <c r="H104" s="225" t="s">
        <v>1812</v>
      </c>
      <c r="I104" s="225" t="s">
        <v>1861</v>
      </c>
      <c r="J104" s="228" t="s">
        <v>1901</v>
      </c>
      <c r="K104" s="228" t="s">
        <v>1947</v>
      </c>
      <c r="L104" s="228" t="s">
        <v>1975</v>
      </c>
      <c r="M104" s="228" t="s">
        <v>1997</v>
      </c>
      <c r="N104" s="222">
        <f>SUMPRODUCT((A105:A204=ROUNDDOWN(基准地价修正!G3,1))*(B104:M104=基准地价修正!G2)*(B105:M204))</f>
        <v>0</v>
      </c>
    </row>
    <row r="105" spans="1:14">
      <c r="A105" s="223">
        <v>0.1</v>
      </c>
      <c r="B105" s="226">
        <v>13.733000000000001</v>
      </c>
      <c r="C105" s="226">
        <v>13.733000000000001</v>
      </c>
      <c r="D105" s="226">
        <v>12.787000000000001</v>
      </c>
      <c r="E105" s="226">
        <v>12.787000000000001</v>
      </c>
      <c r="F105" s="226">
        <v>12.787000000000001</v>
      </c>
      <c r="G105" s="226">
        <v>12.787000000000001</v>
      </c>
      <c r="H105" s="226">
        <v>12.787000000000001</v>
      </c>
      <c r="I105" s="226">
        <v>12.384</v>
      </c>
      <c r="J105" s="226">
        <v>12.384</v>
      </c>
      <c r="K105" s="226">
        <v>12.384</v>
      </c>
      <c r="L105" s="226">
        <v>12.384</v>
      </c>
      <c r="M105" s="226">
        <v>12.384</v>
      </c>
    </row>
    <row r="106" spans="1:14">
      <c r="A106" s="223">
        <v>0.2</v>
      </c>
      <c r="B106" s="226">
        <v>6.8665000000000003</v>
      </c>
      <c r="C106" s="226">
        <v>6.8665000000000003</v>
      </c>
      <c r="D106" s="226">
        <v>6.3935000000000004</v>
      </c>
      <c r="E106" s="226">
        <v>6.3935000000000004</v>
      </c>
      <c r="F106" s="226">
        <v>6.3935000000000004</v>
      </c>
      <c r="G106" s="226">
        <v>6.3935000000000004</v>
      </c>
      <c r="H106" s="226">
        <v>6.3935000000000004</v>
      </c>
      <c r="I106" s="226">
        <v>6.1920000000000002</v>
      </c>
      <c r="J106" s="226">
        <v>6.1920000000000002</v>
      </c>
      <c r="K106" s="226">
        <v>6.1920000000000002</v>
      </c>
      <c r="L106" s="226">
        <v>6.1920000000000002</v>
      </c>
      <c r="M106" s="226">
        <v>6.1920000000000002</v>
      </c>
    </row>
    <row r="107" spans="1:14">
      <c r="A107" s="223">
        <v>0.3</v>
      </c>
      <c r="B107" s="226">
        <v>4.5777000000000001</v>
      </c>
      <c r="C107" s="226">
        <v>4.5777000000000001</v>
      </c>
      <c r="D107" s="226">
        <v>4.2622999999999998</v>
      </c>
      <c r="E107" s="226">
        <v>4.2622999999999998</v>
      </c>
      <c r="F107" s="226">
        <v>4.2622999999999998</v>
      </c>
      <c r="G107" s="226">
        <v>4.2622999999999998</v>
      </c>
      <c r="H107" s="226">
        <v>4.2622999999999998</v>
      </c>
      <c r="I107" s="226">
        <v>4.1280000000000001</v>
      </c>
      <c r="J107" s="226">
        <v>4.1280000000000001</v>
      </c>
      <c r="K107" s="226">
        <v>4.1280000000000001</v>
      </c>
      <c r="L107" s="226">
        <v>4.1280000000000001</v>
      </c>
      <c r="M107" s="226">
        <v>4.1280000000000001</v>
      </c>
    </row>
    <row r="108" spans="1:14">
      <c r="A108" s="223">
        <v>0.4</v>
      </c>
      <c r="B108" s="226">
        <v>3.4333</v>
      </c>
      <c r="C108" s="226">
        <v>3.4333</v>
      </c>
      <c r="D108" s="226">
        <v>3.1968000000000001</v>
      </c>
      <c r="E108" s="226">
        <v>3.1968000000000001</v>
      </c>
      <c r="F108" s="226">
        <v>3.1968000000000001</v>
      </c>
      <c r="G108" s="226">
        <v>3.1968000000000001</v>
      </c>
      <c r="H108" s="226">
        <v>3.1968000000000001</v>
      </c>
      <c r="I108" s="226">
        <v>3.0960000000000001</v>
      </c>
      <c r="J108" s="226">
        <v>3.0960000000000001</v>
      </c>
      <c r="K108" s="226">
        <v>3.0960000000000001</v>
      </c>
      <c r="L108" s="226">
        <v>3.0960000000000001</v>
      </c>
      <c r="M108" s="226">
        <v>3.0960000000000001</v>
      </c>
    </row>
    <row r="109" spans="1:14">
      <c r="A109" s="223">
        <v>0.5</v>
      </c>
      <c r="B109" s="226">
        <v>2.7465999999999999</v>
      </c>
      <c r="C109" s="226">
        <v>2.7465999999999999</v>
      </c>
      <c r="D109" s="226">
        <v>2.5573999999999999</v>
      </c>
      <c r="E109" s="226">
        <v>2.5573999999999999</v>
      </c>
      <c r="F109" s="226">
        <v>2.5573999999999999</v>
      </c>
      <c r="G109" s="226">
        <v>2.5573999999999999</v>
      </c>
      <c r="H109" s="226">
        <v>2.5573999999999999</v>
      </c>
      <c r="I109" s="226">
        <v>2.4767999999999999</v>
      </c>
      <c r="J109" s="226">
        <v>2.4767999999999999</v>
      </c>
      <c r="K109" s="226">
        <v>2.4767999999999999</v>
      </c>
      <c r="L109" s="226">
        <v>2.4767999999999999</v>
      </c>
      <c r="M109" s="226">
        <v>2.4767999999999999</v>
      </c>
    </row>
    <row r="110" spans="1:14">
      <c r="A110" s="223">
        <v>0.6</v>
      </c>
      <c r="B110" s="226">
        <v>2.2888000000000002</v>
      </c>
      <c r="C110" s="226">
        <v>2.2888000000000002</v>
      </c>
      <c r="D110" s="226">
        <v>2.1312000000000002</v>
      </c>
      <c r="E110" s="226">
        <v>2.1312000000000002</v>
      </c>
      <c r="F110" s="226">
        <v>2.1312000000000002</v>
      </c>
      <c r="G110" s="226">
        <v>2.1312000000000002</v>
      </c>
      <c r="H110" s="226">
        <v>2.1312000000000002</v>
      </c>
      <c r="I110" s="226">
        <v>2.0640000000000001</v>
      </c>
      <c r="J110" s="226">
        <v>2.0640000000000001</v>
      </c>
      <c r="K110" s="226">
        <v>2.0640000000000001</v>
      </c>
      <c r="L110" s="226">
        <v>2.0640000000000001</v>
      </c>
      <c r="M110" s="226">
        <v>2.0640000000000001</v>
      </c>
    </row>
    <row r="111" spans="1:14">
      <c r="A111" s="223">
        <v>0.7</v>
      </c>
      <c r="B111" s="226">
        <v>1.9619</v>
      </c>
      <c r="C111" s="226">
        <v>1.9619</v>
      </c>
      <c r="D111" s="226">
        <v>1.8267</v>
      </c>
      <c r="E111" s="226">
        <v>1.8267</v>
      </c>
      <c r="F111" s="226">
        <v>1.8267</v>
      </c>
      <c r="G111" s="226">
        <v>1.8267</v>
      </c>
      <c r="H111" s="226">
        <v>1.8267</v>
      </c>
      <c r="I111" s="226">
        <v>1.7690999999999999</v>
      </c>
      <c r="J111" s="226">
        <v>1.7690999999999999</v>
      </c>
      <c r="K111" s="226">
        <v>1.7690999999999999</v>
      </c>
      <c r="L111" s="226">
        <v>1.7690999999999999</v>
      </c>
      <c r="M111" s="226">
        <v>1.7690999999999999</v>
      </c>
    </row>
    <row r="112" spans="1:14">
      <c r="A112" s="223">
        <v>0.8</v>
      </c>
      <c r="B112" s="226">
        <v>1.7165999999999999</v>
      </c>
      <c r="C112" s="226">
        <v>1.7165999999999999</v>
      </c>
      <c r="D112" s="226">
        <v>1.5984</v>
      </c>
      <c r="E112" s="226">
        <v>1.5984</v>
      </c>
      <c r="F112" s="226">
        <v>1.5984</v>
      </c>
      <c r="G112" s="226">
        <v>1.5984</v>
      </c>
      <c r="H112" s="226">
        <v>1.5984</v>
      </c>
      <c r="I112" s="226">
        <v>1.548</v>
      </c>
      <c r="J112" s="226">
        <v>1.548</v>
      </c>
      <c r="K112" s="226">
        <v>1.548</v>
      </c>
      <c r="L112" s="226">
        <v>1.548</v>
      </c>
      <c r="M112" s="226">
        <v>1.548</v>
      </c>
    </row>
    <row r="113" spans="1:13">
      <c r="A113" s="223">
        <v>0.9</v>
      </c>
      <c r="B113" s="226">
        <v>1.5259</v>
      </c>
      <c r="C113" s="226">
        <v>1.5259</v>
      </c>
      <c r="D113" s="226">
        <v>1.4208000000000001</v>
      </c>
      <c r="E113" s="226">
        <v>1.4208000000000001</v>
      </c>
      <c r="F113" s="226">
        <v>1.4208000000000001</v>
      </c>
      <c r="G113" s="226">
        <v>1.4208000000000001</v>
      </c>
      <c r="H113" s="226">
        <v>1.4208000000000001</v>
      </c>
      <c r="I113" s="226">
        <v>1.3759999999999999</v>
      </c>
      <c r="J113" s="226">
        <v>1.3759999999999999</v>
      </c>
      <c r="K113" s="226">
        <v>1.3759999999999999</v>
      </c>
      <c r="L113" s="226">
        <v>1.3759999999999999</v>
      </c>
      <c r="M113" s="226">
        <v>1.3759999999999999</v>
      </c>
    </row>
    <row r="114" spans="1:13">
      <c r="A114" s="223">
        <v>1</v>
      </c>
      <c r="B114" s="226">
        <v>1.3733</v>
      </c>
      <c r="C114" s="226">
        <v>1.3733</v>
      </c>
      <c r="D114" s="226">
        <v>1.2786999999999999</v>
      </c>
      <c r="E114" s="226">
        <v>1.2786999999999999</v>
      </c>
      <c r="F114" s="226">
        <v>1.2786999999999999</v>
      </c>
      <c r="G114" s="226">
        <v>1.2786999999999999</v>
      </c>
      <c r="H114" s="226">
        <v>1.2786999999999999</v>
      </c>
      <c r="I114" s="226">
        <v>1.2383999999999999</v>
      </c>
      <c r="J114" s="226">
        <v>1.2383999999999999</v>
      </c>
      <c r="K114" s="226">
        <v>1.2383999999999999</v>
      </c>
      <c r="L114" s="226">
        <v>1.2383999999999999</v>
      </c>
      <c r="M114" s="226">
        <v>1.2383999999999999</v>
      </c>
    </row>
    <row r="115" spans="1:13">
      <c r="A115" s="223">
        <v>1.1000000000000001</v>
      </c>
      <c r="B115" s="226">
        <v>1.3489</v>
      </c>
      <c r="C115" s="226">
        <v>1.3489</v>
      </c>
      <c r="D115" s="226">
        <v>1.2542</v>
      </c>
      <c r="E115" s="226">
        <v>1.2542</v>
      </c>
      <c r="F115" s="226">
        <v>1.2542</v>
      </c>
      <c r="G115" s="226">
        <v>1.2542</v>
      </c>
      <c r="H115" s="226">
        <v>1.2542</v>
      </c>
      <c r="I115" s="226">
        <v>1.2050000000000001</v>
      </c>
      <c r="J115" s="226">
        <v>1.2050000000000001</v>
      </c>
      <c r="K115" s="226">
        <v>1.2050000000000001</v>
      </c>
      <c r="L115" s="226">
        <v>1.2050000000000001</v>
      </c>
      <c r="M115" s="226">
        <v>1.2050000000000001</v>
      </c>
    </row>
    <row r="116" spans="1:13">
      <c r="A116" s="223">
        <v>1.2</v>
      </c>
      <c r="B116" s="226">
        <v>1.3255999999999999</v>
      </c>
      <c r="C116" s="226">
        <v>1.3255999999999999</v>
      </c>
      <c r="D116" s="226">
        <v>1.2305999999999999</v>
      </c>
      <c r="E116" s="226">
        <v>1.2305999999999999</v>
      </c>
      <c r="F116" s="226">
        <v>1.2305999999999999</v>
      </c>
      <c r="G116" s="226">
        <v>1.2305999999999999</v>
      </c>
      <c r="H116" s="226">
        <v>1.2305999999999999</v>
      </c>
      <c r="I116" s="226">
        <v>1.1741999999999999</v>
      </c>
      <c r="J116" s="226">
        <v>1.1741999999999999</v>
      </c>
      <c r="K116" s="226">
        <v>1.1741999999999999</v>
      </c>
      <c r="L116" s="226">
        <v>1.1741999999999999</v>
      </c>
      <c r="M116" s="226">
        <v>1.1741999999999999</v>
      </c>
    </row>
    <row r="117" spans="1:13">
      <c r="A117" s="223">
        <v>1.3</v>
      </c>
      <c r="B117" s="226">
        <v>1.3032999999999999</v>
      </c>
      <c r="C117" s="226">
        <v>1.3032999999999999</v>
      </c>
      <c r="D117" s="226">
        <v>1.2079</v>
      </c>
      <c r="E117" s="226">
        <v>1.2079</v>
      </c>
      <c r="F117" s="226">
        <v>1.2079</v>
      </c>
      <c r="G117" s="226">
        <v>1.2079</v>
      </c>
      <c r="H117" s="226">
        <v>1.2079</v>
      </c>
      <c r="I117" s="226">
        <v>1.1459999999999999</v>
      </c>
      <c r="J117" s="226">
        <v>1.1459999999999999</v>
      </c>
      <c r="K117" s="226">
        <v>1.1459999999999999</v>
      </c>
      <c r="L117" s="226">
        <v>1.1459999999999999</v>
      </c>
      <c r="M117" s="226">
        <v>1.1459999999999999</v>
      </c>
    </row>
    <row r="118" spans="1:13">
      <c r="A118" s="223">
        <v>1.4</v>
      </c>
      <c r="B118" s="226">
        <v>1.282</v>
      </c>
      <c r="C118" s="226">
        <v>1.282</v>
      </c>
      <c r="D118" s="226">
        <v>1.1861999999999999</v>
      </c>
      <c r="E118" s="226">
        <v>1.1861999999999999</v>
      </c>
      <c r="F118" s="226">
        <v>1.1861999999999999</v>
      </c>
      <c r="G118" s="226">
        <v>1.1861999999999999</v>
      </c>
      <c r="H118" s="226">
        <v>1.1861999999999999</v>
      </c>
      <c r="I118" s="226">
        <v>1.1200000000000001</v>
      </c>
      <c r="J118" s="226">
        <v>1.1200000000000001</v>
      </c>
      <c r="K118" s="226">
        <v>1.1200000000000001</v>
      </c>
      <c r="L118" s="226">
        <v>1.1200000000000001</v>
      </c>
      <c r="M118" s="226">
        <v>1.1200000000000001</v>
      </c>
    </row>
    <row r="119" spans="1:13">
      <c r="A119" s="223">
        <v>1.5</v>
      </c>
      <c r="B119" s="226">
        <v>1.2617</v>
      </c>
      <c r="C119" s="226">
        <v>1.2617</v>
      </c>
      <c r="D119" s="226">
        <v>1.1653</v>
      </c>
      <c r="E119" s="226">
        <v>1.1653</v>
      </c>
      <c r="F119" s="226">
        <v>1.1653</v>
      </c>
      <c r="G119" s="226">
        <v>1.1653</v>
      </c>
      <c r="H119" s="226">
        <v>1.1653</v>
      </c>
      <c r="I119" s="226">
        <v>1.0961000000000001</v>
      </c>
      <c r="J119" s="226">
        <v>1.0961000000000001</v>
      </c>
      <c r="K119" s="226">
        <v>1.0961000000000001</v>
      </c>
      <c r="L119" s="226">
        <v>1.0961000000000001</v>
      </c>
      <c r="M119" s="226">
        <v>1.0961000000000001</v>
      </c>
    </row>
    <row r="120" spans="1:13">
      <c r="A120" s="223">
        <v>1.6</v>
      </c>
      <c r="B120" s="226">
        <v>1.2423</v>
      </c>
      <c r="C120" s="226">
        <v>1.2423</v>
      </c>
      <c r="D120" s="226">
        <v>1.1453</v>
      </c>
      <c r="E120" s="226">
        <v>1.1453</v>
      </c>
      <c r="F120" s="226">
        <v>1.1453</v>
      </c>
      <c r="G120" s="226">
        <v>1.1453</v>
      </c>
      <c r="H120" s="226">
        <v>1.1453</v>
      </c>
      <c r="I120" s="226">
        <v>1.0740000000000001</v>
      </c>
      <c r="J120" s="226">
        <v>1.0740000000000001</v>
      </c>
      <c r="K120" s="226">
        <v>1.0740000000000001</v>
      </c>
      <c r="L120" s="226">
        <v>1.0740000000000001</v>
      </c>
      <c r="M120" s="226">
        <v>1.0740000000000001</v>
      </c>
    </row>
    <row r="121" spans="1:13">
      <c r="A121" s="223">
        <v>1.7</v>
      </c>
      <c r="B121" s="226">
        <v>1.2237</v>
      </c>
      <c r="C121" s="226">
        <v>1.2237</v>
      </c>
      <c r="D121" s="226">
        <v>1.1261000000000001</v>
      </c>
      <c r="E121" s="226">
        <v>1.1261000000000001</v>
      </c>
      <c r="F121" s="226">
        <v>1.1261000000000001</v>
      </c>
      <c r="G121" s="226">
        <v>1.1261000000000001</v>
      </c>
      <c r="H121" s="226">
        <v>1.1261000000000001</v>
      </c>
      <c r="I121" s="226">
        <v>1.0535000000000001</v>
      </c>
      <c r="J121" s="226">
        <v>1.0535000000000001</v>
      </c>
      <c r="K121" s="226">
        <v>1.0535000000000001</v>
      </c>
      <c r="L121" s="226">
        <v>1.0535000000000001</v>
      </c>
      <c r="M121" s="226">
        <v>1.0535000000000001</v>
      </c>
    </row>
    <row r="122" spans="1:13">
      <c r="A122" s="223">
        <v>1.8</v>
      </c>
      <c r="B122" s="226">
        <v>1.206</v>
      </c>
      <c r="C122" s="226">
        <v>1.206</v>
      </c>
      <c r="D122" s="226">
        <v>1.1076999999999999</v>
      </c>
      <c r="E122" s="226">
        <v>1.1076999999999999</v>
      </c>
      <c r="F122" s="226">
        <v>1.1076999999999999</v>
      </c>
      <c r="G122" s="226">
        <v>1.1076999999999999</v>
      </c>
      <c r="H122" s="226">
        <v>1.1076999999999999</v>
      </c>
      <c r="I122" s="226">
        <v>1.0345</v>
      </c>
      <c r="J122" s="226">
        <v>1.0345</v>
      </c>
      <c r="K122" s="226">
        <v>1.0345</v>
      </c>
      <c r="L122" s="226">
        <v>1.0345</v>
      </c>
      <c r="M122" s="226">
        <v>1.0345</v>
      </c>
    </row>
    <row r="123" spans="1:13">
      <c r="A123" s="223">
        <v>1.9</v>
      </c>
      <c r="B123" s="226">
        <v>1.1891</v>
      </c>
      <c r="C123" s="226">
        <v>1.1891</v>
      </c>
      <c r="D123" s="226">
        <v>1.0901000000000001</v>
      </c>
      <c r="E123" s="226">
        <v>1.0901000000000001</v>
      </c>
      <c r="F123" s="226">
        <v>1.0901000000000001</v>
      </c>
      <c r="G123" s="226">
        <v>1.0901000000000001</v>
      </c>
      <c r="H123" s="226">
        <v>1.0901000000000001</v>
      </c>
      <c r="I123" s="226">
        <v>1.0166999999999999</v>
      </c>
      <c r="J123" s="226">
        <v>1.0166999999999999</v>
      </c>
      <c r="K123" s="226">
        <v>1.0166999999999999</v>
      </c>
      <c r="L123" s="226">
        <v>1.0166999999999999</v>
      </c>
      <c r="M123" s="226">
        <v>1.0166999999999999</v>
      </c>
    </row>
    <row r="124" spans="1:13">
      <c r="A124" s="223">
        <v>2</v>
      </c>
      <c r="B124" s="226">
        <v>1.1729000000000001</v>
      </c>
      <c r="C124" s="226">
        <v>1.1729000000000001</v>
      </c>
      <c r="D124" s="226">
        <v>1.0732999999999999</v>
      </c>
      <c r="E124" s="226">
        <v>1.0732999999999999</v>
      </c>
      <c r="F124" s="226">
        <v>1.0732999999999999</v>
      </c>
      <c r="G124" s="226">
        <v>1.0732999999999999</v>
      </c>
      <c r="H124" s="226">
        <v>1.0732999999999999</v>
      </c>
      <c r="I124" s="226">
        <v>1</v>
      </c>
      <c r="J124" s="226">
        <v>1</v>
      </c>
      <c r="K124" s="226">
        <v>1</v>
      </c>
      <c r="L124" s="226">
        <v>1</v>
      </c>
      <c r="M124" s="226">
        <v>1</v>
      </c>
    </row>
    <row r="125" spans="1:13">
      <c r="A125" s="227">
        <v>2.1</v>
      </c>
      <c r="B125" s="226">
        <v>1.1574</v>
      </c>
      <c r="C125" s="226">
        <v>1.1574</v>
      </c>
      <c r="D125" s="226">
        <v>1.0571999999999999</v>
      </c>
      <c r="E125" s="226">
        <v>1.0571999999999999</v>
      </c>
      <c r="F125" s="226">
        <v>1.0571999999999999</v>
      </c>
      <c r="G125" s="226">
        <v>1.0571999999999999</v>
      </c>
      <c r="H125" s="226">
        <v>1.0571999999999999</v>
      </c>
      <c r="I125" s="226">
        <v>0.98409999999999997</v>
      </c>
      <c r="J125" s="226">
        <v>0.98409999999999997</v>
      </c>
      <c r="K125" s="226">
        <v>0.98409999999999997</v>
      </c>
      <c r="L125" s="226">
        <v>0.98409999999999997</v>
      </c>
      <c r="M125" s="226">
        <v>0.98409999999999997</v>
      </c>
    </row>
    <row r="126" spans="1:13">
      <c r="A126" s="227">
        <v>2.2000000000000002</v>
      </c>
      <c r="B126" s="226">
        <v>1.1426000000000001</v>
      </c>
      <c r="C126" s="226">
        <v>1.1426000000000001</v>
      </c>
      <c r="D126" s="226">
        <v>1.0419</v>
      </c>
      <c r="E126" s="226">
        <v>1.0419</v>
      </c>
      <c r="F126" s="226">
        <v>1.0419</v>
      </c>
      <c r="G126" s="226">
        <v>1.0419</v>
      </c>
      <c r="H126" s="226">
        <v>1.0419</v>
      </c>
      <c r="I126" s="226">
        <v>0.96889999999999998</v>
      </c>
      <c r="J126" s="226">
        <v>0.96889999999999998</v>
      </c>
      <c r="K126" s="226">
        <v>0.96889999999999998</v>
      </c>
      <c r="L126" s="226">
        <v>0.96889999999999998</v>
      </c>
      <c r="M126" s="226">
        <v>0.96889999999999998</v>
      </c>
    </row>
    <row r="127" spans="1:13">
      <c r="A127" s="227">
        <v>2.2999999999999998</v>
      </c>
      <c r="B127" s="226">
        <v>1.1285000000000001</v>
      </c>
      <c r="C127" s="226">
        <v>1.1285000000000001</v>
      </c>
      <c r="D127" s="226">
        <v>1.0271999999999999</v>
      </c>
      <c r="E127" s="226">
        <v>1.0271999999999999</v>
      </c>
      <c r="F127" s="226">
        <v>1.0271999999999999</v>
      </c>
      <c r="G127" s="226">
        <v>1.0271999999999999</v>
      </c>
      <c r="H127" s="226">
        <v>1.0271999999999999</v>
      </c>
      <c r="I127" s="226">
        <v>0.95440000000000003</v>
      </c>
      <c r="J127" s="226">
        <v>0.95440000000000003</v>
      </c>
      <c r="K127" s="226">
        <v>0.95440000000000003</v>
      </c>
      <c r="L127" s="226">
        <v>0.95440000000000003</v>
      </c>
      <c r="M127" s="226">
        <v>0.95440000000000003</v>
      </c>
    </row>
    <row r="128" spans="1:13">
      <c r="A128" s="227">
        <v>2.4</v>
      </c>
      <c r="B128" s="226">
        <v>1.1149</v>
      </c>
      <c r="C128" s="226">
        <v>1.1149</v>
      </c>
      <c r="D128" s="226">
        <v>1.0133000000000001</v>
      </c>
      <c r="E128" s="226">
        <v>1.0133000000000001</v>
      </c>
      <c r="F128" s="226">
        <v>1.0133000000000001</v>
      </c>
      <c r="G128" s="226">
        <v>1.0133000000000001</v>
      </c>
      <c r="H128" s="226">
        <v>1.0133000000000001</v>
      </c>
      <c r="I128" s="226">
        <v>0.9405</v>
      </c>
      <c r="J128" s="226">
        <v>0.9405</v>
      </c>
      <c r="K128" s="226">
        <v>0.9405</v>
      </c>
      <c r="L128" s="226">
        <v>0.9405</v>
      </c>
      <c r="M128" s="226">
        <v>0.9405</v>
      </c>
    </row>
    <row r="129" spans="1:13">
      <c r="A129" s="227">
        <v>2.5</v>
      </c>
      <c r="B129" s="226">
        <v>1.1020000000000001</v>
      </c>
      <c r="C129" s="226">
        <v>1.1020000000000001</v>
      </c>
      <c r="D129" s="226">
        <v>1</v>
      </c>
      <c r="E129" s="226">
        <v>1</v>
      </c>
      <c r="F129" s="226">
        <v>1</v>
      </c>
      <c r="G129" s="226">
        <v>1</v>
      </c>
      <c r="H129" s="226">
        <v>1</v>
      </c>
      <c r="I129" s="226">
        <v>0.92730000000000001</v>
      </c>
      <c r="J129" s="226">
        <v>0.92730000000000001</v>
      </c>
      <c r="K129" s="226">
        <v>0.92730000000000001</v>
      </c>
      <c r="L129" s="226">
        <v>0.92730000000000001</v>
      </c>
      <c r="M129" s="226">
        <v>0.92730000000000001</v>
      </c>
    </row>
    <row r="130" spans="1:13">
      <c r="A130" s="227">
        <v>2.6</v>
      </c>
      <c r="B130" s="226">
        <v>1.0895999999999999</v>
      </c>
      <c r="C130" s="226">
        <v>1.0895999999999999</v>
      </c>
      <c r="D130" s="226">
        <v>0.98740000000000006</v>
      </c>
      <c r="E130" s="226">
        <v>0.98740000000000006</v>
      </c>
      <c r="F130" s="226">
        <v>0.98740000000000006</v>
      </c>
      <c r="G130" s="226">
        <v>0.98740000000000006</v>
      </c>
      <c r="H130" s="226">
        <v>0.98740000000000006</v>
      </c>
      <c r="I130" s="226">
        <v>0.91469999999999996</v>
      </c>
      <c r="J130" s="226">
        <v>0.91469999999999996</v>
      </c>
      <c r="K130" s="226">
        <v>0.91469999999999996</v>
      </c>
      <c r="L130" s="226">
        <v>0.91469999999999996</v>
      </c>
      <c r="M130" s="226">
        <v>0.91469999999999996</v>
      </c>
    </row>
    <row r="131" spans="1:13">
      <c r="A131" s="227">
        <v>2.7</v>
      </c>
      <c r="B131" s="226">
        <v>1.0778000000000001</v>
      </c>
      <c r="C131" s="226">
        <v>1.0778000000000001</v>
      </c>
      <c r="D131" s="226">
        <v>0.97540000000000004</v>
      </c>
      <c r="E131" s="226">
        <v>0.97540000000000004</v>
      </c>
      <c r="F131" s="226">
        <v>0.97540000000000004</v>
      </c>
      <c r="G131" s="226">
        <v>0.97540000000000004</v>
      </c>
      <c r="H131" s="226">
        <v>0.97540000000000004</v>
      </c>
      <c r="I131" s="226">
        <v>0.90269999999999995</v>
      </c>
      <c r="J131" s="226">
        <v>0.90269999999999995</v>
      </c>
      <c r="K131" s="226">
        <v>0.90269999999999995</v>
      </c>
      <c r="L131" s="226">
        <v>0.90269999999999995</v>
      </c>
      <c r="M131" s="226">
        <v>0.90269999999999995</v>
      </c>
    </row>
    <row r="132" spans="1:13">
      <c r="A132" s="227">
        <v>2.8</v>
      </c>
      <c r="B132" s="226">
        <v>1.0665</v>
      </c>
      <c r="C132" s="226">
        <v>1.0665</v>
      </c>
      <c r="D132" s="226">
        <v>0.96399999999999997</v>
      </c>
      <c r="E132" s="226">
        <v>0.96399999999999997</v>
      </c>
      <c r="F132" s="226">
        <v>0.96399999999999997</v>
      </c>
      <c r="G132" s="226">
        <v>0.96399999999999997</v>
      </c>
      <c r="H132" s="226">
        <v>0.96399999999999997</v>
      </c>
      <c r="I132" s="226">
        <v>0.89119999999999999</v>
      </c>
      <c r="J132" s="226">
        <v>0.89119999999999999</v>
      </c>
      <c r="K132" s="226">
        <v>0.89119999999999999</v>
      </c>
      <c r="L132" s="226">
        <v>0.89119999999999999</v>
      </c>
      <c r="M132" s="226">
        <v>0.89119999999999999</v>
      </c>
    </row>
    <row r="133" spans="1:13">
      <c r="A133" s="227">
        <v>2.9</v>
      </c>
      <c r="B133" s="226">
        <v>1.0556000000000001</v>
      </c>
      <c r="C133" s="226">
        <v>1.0556000000000001</v>
      </c>
      <c r="D133" s="226">
        <v>0.95330000000000004</v>
      </c>
      <c r="E133" s="226">
        <v>0.95330000000000004</v>
      </c>
      <c r="F133" s="226">
        <v>0.95330000000000004</v>
      </c>
      <c r="G133" s="226">
        <v>0.95330000000000004</v>
      </c>
      <c r="H133" s="226">
        <v>0.95330000000000004</v>
      </c>
      <c r="I133" s="226">
        <v>0.88019999999999998</v>
      </c>
      <c r="J133" s="226">
        <v>0.88019999999999998</v>
      </c>
      <c r="K133" s="226">
        <v>0.88019999999999998</v>
      </c>
      <c r="L133" s="226">
        <v>0.88019999999999998</v>
      </c>
      <c r="M133" s="226">
        <v>0.88019999999999998</v>
      </c>
    </row>
    <row r="134" spans="1:13">
      <c r="A134" s="227">
        <v>3</v>
      </c>
      <c r="B134" s="226">
        <v>1.0452999999999999</v>
      </c>
      <c r="C134" s="226">
        <v>1.0452999999999999</v>
      </c>
      <c r="D134" s="226">
        <v>0.94299999999999995</v>
      </c>
      <c r="E134" s="226">
        <v>0.94299999999999995</v>
      </c>
      <c r="F134" s="226">
        <v>0.94299999999999995</v>
      </c>
      <c r="G134" s="226">
        <v>0.94299999999999995</v>
      </c>
      <c r="H134" s="226">
        <v>0.94299999999999995</v>
      </c>
      <c r="I134" s="226">
        <v>0.86970000000000003</v>
      </c>
      <c r="J134" s="226">
        <v>0.86970000000000003</v>
      </c>
      <c r="K134" s="226">
        <v>0.86970000000000003</v>
      </c>
      <c r="L134" s="226">
        <v>0.86970000000000003</v>
      </c>
      <c r="M134" s="226">
        <v>0.86970000000000003</v>
      </c>
    </row>
    <row r="135" spans="1:13">
      <c r="A135" s="227">
        <v>3.1</v>
      </c>
      <c r="B135" s="226">
        <v>1.0354000000000001</v>
      </c>
      <c r="C135" s="226">
        <v>1.0354000000000001</v>
      </c>
      <c r="D135" s="226">
        <v>0.93330000000000002</v>
      </c>
      <c r="E135" s="226">
        <v>0.93330000000000002</v>
      </c>
      <c r="F135" s="226">
        <v>0.93330000000000002</v>
      </c>
      <c r="G135" s="226">
        <v>0.93330000000000002</v>
      </c>
      <c r="H135" s="226">
        <v>0.93330000000000002</v>
      </c>
      <c r="I135" s="226">
        <v>0.85970000000000002</v>
      </c>
      <c r="J135" s="226">
        <v>0.85970000000000002</v>
      </c>
      <c r="K135" s="226">
        <v>0.85970000000000002</v>
      </c>
      <c r="L135" s="226">
        <v>0.85970000000000002</v>
      </c>
      <c r="M135" s="226">
        <v>0.85970000000000002</v>
      </c>
    </row>
    <row r="136" spans="1:13">
      <c r="A136" s="227">
        <v>3.2</v>
      </c>
      <c r="B136" s="226">
        <v>1.0259</v>
      </c>
      <c r="C136" s="226">
        <v>1.0259</v>
      </c>
      <c r="D136" s="226">
        <v>0.92410000000000003</v>
      </c>
      <c r="E136" s="226">
        <v>0.92410000000000003</v>
      </c>
      <c r="F136" s="226">
        <v>0.92410000000000003</v>
      </c>
      <c r="G136" s="226">
        <v>0.92410000000000003</v>
      </c>
      <c r="H136" s="226">
        <v>0.92410000000000003</v>
      </c>
      <c r="I136" s="226">
        <v>0.85019999999999996</v>
      </c>
      <c r="J136" s="226">
        <v>0.85019999999999996</v>
      </c>
      <c r="K136" s="226">
        <v>0.85019999999999996</v>
      </c>
      <c r="L136" s="226">
        <v>0.85019999999999996</v>
      </c>
      <c r="M136" s="226">
        <v>0.85019999999999996</v>
      </c>
    </row>
    <row r="137" spans="1:13">
      <c r="A137" s="227">
        <v>3.3</v>
      </c>
      <c r="B137" s="226">
        <v>1.0168999999999999</v>
      </c>
      <c r="C137" s="226">
        <v>1.0168999999999999</v>
      </c>
      <c r="D137" s="226">
        <v>0.91539999999999999</v>
      </c>
      <c r="E137" s="226">
        <v>0.91539999999999999</v>
      </c>
      <c r="F137" s="226">
        <v>0.91539999999999999</v>
      </c>
      <c r="G137" s="226">
        <v>0.91539999999999999</v>
      </c>
      <c r="H137" s="226">
        <v>0.91539999999999999</v>
      </c>
      <c r="I137" s="226">
        <v>0.84109999999999996</v>
      </c>
      <c r="J137" s="226">
        <v>0.84109999999999996</v>
      </c>
      <c r="K137" s="226">
        <v>0.84109999999999996</v>
      </c>
      <c r="L137" s="226">
        <v>0.84109999999999996</v>
      </c>
      <c r="M137" s="226">
        <v>0.84109999999999996</v>
      </c>
    </row>
    <row r="138" spans="1:13">
      <c r="A138" s="227">
        <v>3.4</v>
      </c>
      <c r="B138" s="226">
        <v>1.0082</v>
      </c>
      <c r="C138" s="226">
        <v>1.0082</v>
      </c>
      <c r="D138" s="226">
        <v>0.90710000000000002</v>
      </c>
      <c r="E138" s="226">
        <v>0.90710000000000002</v>
      </c>
      <c r="F138" s="226">
        <v>0.90710000000000002</v>
      </c>
      <c r="G138" s="226">
        <v>0.90710000000000002</v>
      </c>
      <c r="H138" s="226">
        <v>0.90710000000000002</v>
      </c>
      <c r="I138" s="226">
        <v>0.83240000000000003</v>
      </c>
      <c r="J138" s="226">
        <v>0.83240000000000003</v>
      </c>
      <c r="K138" s="226">
        <v>0.83240000000000003</v>
      </c>
      <c r="L138" s="226">
        <v>0.83240000000000003</v>
      </c>
      <c r="M138" s="226">
        <v>0.83240000000000003</v>
      </c>
    </row>
    <row r="139" spans="1:13">
      <c r="A139" s="227">
        <v>3.5</v>
      </c>
      <c r="B139" s="226">
        <v>1</v>
      </c>
      <c r="C139" s="226">
        <v>1</v>
      </c>
      <c r="D139" s="226">
        <v>0.89929999999999999</v>
      </c>
      <c r="E139" s="226">
        <v>0.89929999999999999</v>
      </c>
      <c r="F139" s="226">
        <v>0.89929999999999999</v>
      </c>
      <c r="G139" s="226">
        <v>0.89929999999999999</v>
      </c>
      <c r="H139" s="226">
        <v>0.89929999999999999</v>
      </c>
      <c r="I139" s="226">
        <v>0.82410000000000005</v>
      </c>
      <c r="J139" s="226">
        <v>0.82410000000000005</v>
      </c>
      <c r="K139" s="226">
        <v>0.82410000000000005</v>
      </c>
      <c r="L139" s="226">
        <v>0.82410000000000005</v>
      </c>
      <c r="M139" s="226">
        <v>0.82410000000000005</v>
      </c>
    </row>
    <row r="140" spans="1:13">
      <c r="A140" s="227">
        <v>3.6</v>
      </c>
      <c r="B140" s="226">
        <v>0.99219999999999997</v>
      </c>
      <c r="C140" s="226">
        <v>0.99219999999999997</v>
      </c>
      <c r="D140" s="226">
        <v>0.89190000000000003</v>
      </c>
      <c r="E140" s="226">
        <v>0.89190000000000003</v>
      </c>
      <c r="F140" s="226">
        <v>0.89190000000000003</v>
      </c>
      <c r="G140" s="226">
        <v>0.89190000000000003</v>
      </c>
      <c r="H140" s="226">
        <v>0.89190000000000003</v>
      </c>
      <c r="I140" s="226">
        <v>0.81620000000000004</v>
      </c>
      <c r="J140" s="226">
        <v>0.81620000000000004</v>
      </c>
      <c r="K140" s="226">
        <v>0.81620000000000004</v>
      </c>
      <c r="L140" s="226">
        <v>0.81620000000000004</v>
      </c>
      <c r="M140" s="226">
        <v>0.81620000000000004</v>
      </c>
    </row>
    <row r="141" spans="1:13">
      <c r="A141" s="227">
        <v>3.7</v>
      </c>
      <c r="B141" s="226">
        <v>0.98480000000000001</v>
      </c>
      <c r="C141" s="226">
        <v>0.98480000000000001</v>
      </c>
      <c r="D141" s="226">
        <v>0.88480000000000003</v>
      </c>
      <c r="E141" s="226">
        <v>0.88480000000000003</v>
      </c>
      <c r="F141" s="226">
        <v>0.88480000000000003</v>
      </c>
      <c r="G141" s="226">
        <v>0.88480000000000003</v>
      </c>
      <c r="H141" s="226">
        <v>0.88480000000000003</v>
      </c>
      <c r="I141" s="226">
        <v>0.80869999999999997</v>
      </c>
      <c r="J141" s="226">
        <v>0.80869999999999997</v>
      </c>
      <c r="K141" s="226">
        <v>0.80869999999999997</v>
      </c>
      <c r="L141" s="226">
        <v>0.80869999999999997</v>
      </c>
      <c r="M141" s="226">
        <v>0.80869999999999997</v>
      </c>
    </row>
    <row r="142" spans="1:13">
      <c r="A142" s="227">
        <v>3.8</v>
      </c>
      <c r="B142" s="226">
        <v>0.9778</v>
      </c>
      <c r="C142" s="226">
        <v>0.9778</v>
      </c>
      <c r="D142" s="226">
        <v>0.87809999999999999</v>
      </c>
      <c r="E142" s="226">
        <v>0.87809999999999999</v>
      </c>
      <c r="F142" s="226">
        <v>0.87809999999999999</v>
      </c>
      <c r="G142" s="226">
        <v>0.87809999999999999</v>
      </c>
      <c r="H142" s="226">
        <v>0.87809999999999999</v>
      </c>
      <c r="I142" s="226">
        <v>0.80159999999999998</v>
      </c>
      <c r="J142" s="226">
        <v>0.80159999999999998</v>
      </c>
      <c r="K142" s="226">
        <v>0.80159999999999998</v>
      </c>
      <c r="L142" s="226">
        <v>0.80159999999999998</v>
      </c>
      <c r="M142" s="226">
        <v>0.80159999999999998</v>
      </c>
    </row>
    <row r="143" spans="1:13">
      <c r="A143" s="227">
        <v>3.9</v>
      </c>
      <c r="B143" s="226">
        <v>0.97119999999999995</v>
      </c>
      <c r="C143" s="226">
        <v>0.97119999999999995</v>
      </c>
      <c r="D143" s="226">
        <v>0.87180000000000002</v>
      </c>
      <c r="E143" s="226">
        <v>0.87180000000000002</v>
      </c>
      <c r="F143" s="226">
        <v>0.87180000000000002</v>
      </c>
      <c r="G143" s="226">
        <v>0.87180000000000002</v>
      </c>
      <c r="H143" s="226">
        <v>0.87180000000000002</v>
      </c>
      <c r="I143" s="226">
        <v>0.79479999999999995</v>
      </c>
      <c r="J143" s="226">
        <v>0.79479999999999995</v>
      </c>
      <c r="K143" s="226">
        <v>0.79479999999999995</v>
      </c>
      <c r="L143" s="226">
        <v>0.79479999999999995</v>
      </c>
      <c r="M143" s="226">
        <v>0.79479999999999995</v>
      </c>
    </row>
    <row r="144" spans="1:13">
      <c r="A144" s="227">
        <v>4</v>
      </c>
      <c r="B144" s="226">
        <v>0.96499999999999997</v>
      </c>
      <c r="C144" s="226">
        <v>0.96499999999999997</v>
      </c>
      <c r="D144" s="226">
        <v>0.86580000000000001</v>
      </c>
      <c r="E144" s="226">
        <v>0.86580000000000001</v>
      </c>
      <c r="F144" s="226">
        <v>0.86580000000000001</v>
      </c>
      <c r="G144" s="226">
        <v>0.86580000000000001</v>
      </c>
      <c r="H144" s="226">
        <v>0.86580000000000001</v>
      </c>
      <c r="I144" s="226">
        <v>0.7883</v>
      </c>
      <c r="J144" s="226">
        <v>0.7883</v>
      </c>
      <c r="K144" s="226">
        <v>0.7883</v>
      </c>
      <c r="L144" s="226">
        <v>0.7883</v>
      </c>
      <c r="M144" s="226">
        <v>0.7883</v>
      </c>
    </row>
    <row r="145" spans="1:13">
      <c r="A145" s="227">
        <v>4.0999999999999996</v>
      </c>
      <c r="B145" s="226">
        <v>0.95909999999999995</v>
      </c>
      <c r="C145" s="226">
        <v>0.95909999999999995</v>
      </c>
      <c r="D145" s="226">
        <v>0.86009999999999998</v>
      </c>
      <c r="E145" s="226">
        <v>0.86009999999999998</v>
      </c>
      <c r="F145" s="226">
        <v>0.86009999999999998</v>
      </c>
      <c r="G145" s="226">
        <v>0.86009999999999998</v>
      </c>
      <c r="H145" s="226">
        <v>0.86009999999999998</v>
      </c>
      <c r="I145" s="226">
        <v>0.78200000000000003</v>
      </c>
      <c r="J145" s="226">
        <v>0.78200000000000003</v>
      </c>
      <c r="K145" s="226">
        <v>0.78200000000000003</v>
      </c>
      <c r="L145" s="226">
        <v>0.78200000000000003</v>
      </c>
      <c r="M145" s="226">
        <v>0.78200000000000003</v>
      </c>
    </row>
    <row r="146" spans="1:13">
      <c r="A146" s="227">
        <v>4.2</v>
      </c>
      <c r="B146" s="226">
        <v>0.95350000000000001</v>
      </c>
      <c r="C146" s="226">
        <v>0.95350000000000001</v>
      </c>
      <c r="D146" s="226">
        <v>0.85470000000000002</v>
      </c>
      <c r="E146" s="226">
        <v>0.85470000000000002</v>
      </c>
      <c r="F146" s="226">
        <v>0.85470000000000002</v>
      </c>
      <c r="G146" s="226">
        <v>0.85470000000000002</v>
      </c>
      <c r="H146" s="226">
        <v>0.85470000000000002</v>
      </c>
      <c r="I146" s="226">
        <v>0.77600000000000002</v>
      </c>
      <c r="J146" s="226">
        <v>0.77600000000000002</v>
      </c>
      <c r="K146" s="226">
        <v>0.77600000000000002</v>
      </c>
      <c r="L146" s="226">
        <v>0.77600000000000002</v>
      </c>
      <c r="M146" s="226">
        <v>0.77600000000000002</v>
      </c>
    </row>
    <row r="147" spans="1:13">
      <c r="A147" s="227">
        <v>4.3</v>
      </c>
      <c r="B147" s="226">
        <v>0.94820000000000004</v>
      </c>
      <c r="C147" s="226">
        <v>0.94820000000000004</v>
      </c>
      <c r="D147" s="226">
        <v>0.84960000000000002</v>
      </c>
      <c r="E147" s="226">
        <v>0.84960000000000002</v>
      </c>
      <c r="F147" s="226">
        <v>0.84960000000000002</v>
      </c>
      <c r="G147" s="226">
        <v>0.84960000000000002</v>
      </c>
      <c r="H147" s="226">
        <v>0.84960000000000002</v>
      </c>
      <c r="I147" s="226">
        <v>0.77029999999999998</v>
      </c>
      <c r="J147" s="226">
        <v>0.77029999999999998</v>
      </c>
      <c r="K147" s="226">
        <v>0.77029999999999998</v>
      </c>
      <c r="L147" s="226">
        <v>0.77029999999999998</v>
      </c>
      <c r="M147" s="226">
        <v>0.77029999999999998</v>
      </c>
    </row>
    <row r="148" spans="1:13">
      <c r="A148" s="227">
        <v>4.4000000000000004</v>
      </c>
      <c r="B148" s="226">
        <v>0.94320000000000004</v>
      </c>
      <c r="C148" s="226">
        <v>0.94320000000000004</v>
      </c>
      <c r="D148" s="226">
        <v>0.8448</v>
      </c>
      <c r="E148" s="226">
        <v>0.8448</v>
      </c>
      <c r="F148" s="226">
        <v>0.8448</v>
      </c>
      <c r="G148" s="226">
        <v>0.8448</v>
      </c>
      <c r="H148" s="226">
        <v>0.8448</v>
      </c>
      <c r="I148" s="226">
        <v>0.76490000000000002</v>
      </c>
      <c r="J148" s="226">
        <v>0.76490000000000002</v>
      </c>
      <c r="K148" s="226">
        <v>0.76490000000000002</v>
      </c>
      <c r="L148" s="226">
        <v>0.76490000000000002</v>
      </c>
      <c r="M148" s="226">
        <v>0.76490000000000002</v>
      </c>
    </row>
    <row r="149" spans="1:13">
      <c r="A149" s="227">
        <v>4.5</v>
      </c>
      <c r="B149" s="226">
        <v>0.9385</v>
      </c>
      <c r="C149" s="226">
        <v>0.9385</v>
      </c>
      <c r="D149" s="226">
        <v>0.84019999999999995</v>
      </c>
      <c r="E149" s="226">
        <v>0.84019999999999995</v>
      </c>
      <c r="F149" s="226">
        <v>0.84019999999999995</v>
      </c>
      <c r="G149" s="226">
        <v>0.84019999999999995</v>
      </c>
      <c r="H149" s="226">
        <v>0.84019999999999995</v>
      </c>
      <c r="I149" s="226">
        <v>0.75970000000000004</v>
      </c>
      <c r="J149" s="226">
        <v>0.75970000000000004</v>
      </c>
      <c r="K149" s="226">
        <v>0.75970000000000004</v>
      </c>
      <c r="L149" s="226">
        <v>0.75970000000000004</v>
      </c>
      <c r="M149" s="226">
        <v>0.75970000000000004</v>
      </c>
    </row>
    <row r="150" spans="1:13">
      <c r="A150" s="227">
        <v>4.5999999999999996</v>
      </c>
      <c r="B150" s="226">
        <v>0.93410000000000004</v>
      </c>
      <c r="C150" s="226">
        <v>0.93410000000000004</v>
      </c>
      <c r="D150" s="226">
        <v>0.83579999999999999</v>
      </c>
      <c r="E150" s="226">
        <v>0.83579999999999999</v>
      </c>
      <c r="F150" s="226">
        <v>0.83579999999999999</v>
      </c>
      <c r="G150" s="226">
        <v>0.83579999999999999</v>
      </c>
      <c r="H150" s="226">
        <v>0.83579999999999999</v>
      </c>
      <c r="I150" s="226">
        <v>0.75470000000000004</v>
      </c>
      <c r="J150" s="226">
        <v>0.75470000000000004</v>
      </c>
      <c r="K150" s="226">
        <v>0.75470000000000004</v>
      </c>
      <c r="L150" s="226">
        <v>0.75470000000000004</v>
      </c>
      <c r="M150" s="226">
        <v>0.75470000000000004</v>
      </c>
    </row>
    <row r="151" spans="1:13">
      <c r="A151" s="227">
        <v>4.7</v>
      </c>
      <c r="B151" s="226">
        <v>0.92989999999999995</v>
      </c>
      <c r="C151" s="226">
        <v>0.92989999999999995</v>
      </c>
      <c r="D151" s="226">
        <v>0.83160000000000001</v>
      </c>
      <c r="E151" s="226">
        <v>0.83160000000000001</v>
      </c>
      <c r="F151" s="226">
        <v>0.83160000000000001</v>
      </c>
      <c r="G151" s="226">
        <v>0.83160000000000001</v>
      </c>
      <c r="H151" s="226">
        <v>0.83160000000000001</v>
      </c>
      <c r="I151" s="226">
        <v>0.74990000000000001</v>
      </c>
      <c r="J151" s="226">
        <v>0.74990000000000001</v>
      </c>
      <c r="K151" s="226">
        <v>0.74990000000000001</v>
      </c>
      <c r="L151" s="226">
        <v>0.74990000000000001</v>
      </c>
      <c r="M151" s="226">
        <v>0.74990000000000001</v>
      </c>
    </row>
    <row r="152" spans="1:13">
      <c r="A152" s="227">
        <v>4.8</v>
      </c>
      <c r="B152" s="226">
        <v>0.92589999999999995</v>
      </c>
      <c r="C152" s="226">
        <v>0.92589999999999995</v>
      </c>
      <c r="D152" s="226">
        <v>0.82769999999999999</v>
      </c>
      <c r="E152" s="226">
        <v>0.82769999999999999</v>
      </c>
      <c r="F152" s="226">
        <v>0.82769999999999999</v>
      </c>
      <c r="G152" s="226">
        <v>0.82769999999999999</v>
      </c>
      <c r="H152" s="226">
        <v>0.82769999999999999</v>
      </c>
      <c r="I152" s="226">
        <v>0.74529999999999996</v>
      </c>
      <c r="J152" s="226">
        <v>0.74529999999999996</v>
      </c>
      <c r="K152" s="226">
        <v>0.74529999999999996</v>
      </c>
      <c r="L152" s="226">
        <v>0.74529999999999996</v>
      </c>
      <c r="M152" s="226">
        <v>0.74529999999999996</v>
      </c>
    </row>
    <row r="153" spans="1:13">
      <c r="A153" s="227">
        <v>4.9000000000000004</v>
      </c>
      <c r="B153" s="226">
        <v>0.92210000000000003</v>
      </c>
      <c r="C153" s="226">
        <v>0.92210000000000003</v>
      </c>
      <c r="D153" s="226">
        <v>0.82389999999999997</v>
      </c>
      <c r="E153" s="226">
        <v>0.82389999999999997</v>
      </c>
      <c r="F153" s="226">
        <v>0.82389999999999997</v>
      </c>
      <c r="G153" s="226">
        <v>0.82389999999999997</v>
      </c>
      <c r="H153" s="226">
        <v>0.82389999999999997</v>
      </c>
      <c r="I153" s="226">
        <v>0.7409</v>
      </c>
      <c r="J153" s="226">
        <v>0.7409</v>
      </c>
      <c r="K153" s="226">
        <v>0.7409</v>
      </c>
      <c r="L153" s="226">
        <v>0.7409</v>
      </c>
      <c r="M153" s="226">
        <v>0.7409</v>
      </c>
    </row>
    <row r="154" spans="1:13">
      <c r="A154" s="227">
        <v>5</v>
      </c>
      <c r="B154" s="226">
        <v>0.91849999999999998</v>
      </c>
      <c r="C154" s="226">
        <v>0.91849999999999998</v>
      </c>
      <c r="D154" s="226">
        <v>0.82030000000000003</v>
      </c>
      <c r="E154" s="226">
        <v>0.82030000000000003</v>
      </c>
      <c r="F154" s="226">
        <v>0.82030000000000003</v>
      </c>
      <c r="G154" s="226">
        <v>0.82030000000000003</v>
      </c>
      <c r="H154" s="226">
        <v>0.82030000000000003</v>
      </c>
      <c r="I154" s="226">
        <v>0.73670000000000002</v>
      </c>
      <c r="J154" s="226">
        <v>0.73670000000000002</v>
      </c>
      <c r="K154" s="226">
        <v>0.73670000000000002</v>
      </c>
      <c r="L154" s="226">
        <v>0.73670000000000002</v>
      </c>
      <c r="M154" s="226">
        <v>0.73670000000000002</v>
      </c>
    </row>
    <row r="155" spans="1:13">
      <c r="A155" s="223">
        <v>5.0999999999999996</v>
      </c>
      <c r="B155" s="226">
        <v>0.91510000000000002</v>
      </c>
      <c r="C155" s="226">
        <v>0.91510000000000002</v>
      </c>
      <c r="D155" s="226">
        <v>0.81689999999999996</v>
      </c>
      <c r="E155" s="226">
        <v>0.81689999999999996</v>
      </c>
      <c r="F155" s="226">
        <v>0.81689999999999996</v>
      </c>
      <c r="G155" s="226">
        <v>0.81689999999999996</v>
      </c>
      <c r="H155" s="226">
        <v>0.81689999999999996</v>
      </c>
      <c r="I155" s="226">
        <v>0.73270000000000002</v>
      </c>
      <c r="J155" s="226">
        <v>0.73270000000000002</v>
      </c>
      <c r="K155" s="226">
        <v>0.73270000000000002</v>
      </c>
      <c r="L155" s="226">
        <v>0.73270000000000002</v>
      </c>
      <c r="M155" s="226">
        <v>0.73270000000000002</v>
      </c>
    </row>
    <row r="156" spans="1:13">
      <c r="A156" s="223">
        <v>5.2</v>
      </c>
      <c r="B156" s="226">
        <v>0.91190000000000004</v>
      </c>
      <c r="C156" s="226">
        <v>0.91190000000000004</v>
      </c>
      <c r="D156" s="226">
        <v>0.81359999999999999</v>
      </c>
      <c r="E156" s="226">
        <v>0.81359999999999999</v>
      </c>
      <c r="F156" s="226">
        <v>0.81359999999999999</v>
      </c>
      <c r="G156" s="226">
        <v>0.81359999999999999</v>
      </c>
      <c r="H156" s="226">
        <v>0.81359999999999999</v>
      </c>
      <c r="I156" s="226">
        <v>0.72889999999999999</v>
      </c>
      <c r="J156" s="226">
        <v>0.72889999999999999</v>
      </c>
      <c r="K156" s="226">
        <v>0.72889999999999999</v>
      </c>
      <c r="L156" s="226">
        <v>0.72889999999999999</v>
      </c>
      <c r="M156" s="226">
        <v>0.72889999999999999</v>
      </c>
    </row>
    <row r="157" spans="1:13">
      <c r="A157" s="223">
        <v>5.3</v>
      </c>
      <c r="B157" s="226">
        <v>0.90880000000000005</v>
      </c>
      <c r="C157" s="226">
        <v>0.90880000000000005</v>
      </c>
      <c r="D157" s="226">
        <v>0.8105</v>
      </c>
      <c r="E157" s="226">
        <v>0.8105</v>
      </c>
      <c r="F157" s="226">
        <v>0.8105</v>
      </c>
      <c r="G157" s="226">
        <v>0.8105</v>
      </c>
      <c r="H157" s="226">
        <v>0.8105</v>
      </c>
      <c r="I157" s="226">
        <v>0.72529999999999994</v>
      </c>
      <c r="J157" s="226">
        <v>0.72529999999999994</v>
      </c>
      <c r="K157" s="226">
        <v>0.72529999999999994</v>
      </c>
      <c r="L157" s="226">
        <v>0.72529999999999994</v>
      </c>
      <c r="M157" s="226">
        <v>0.72529999999999994</v>
      </c>
    </row>
    <row r="158" spans="1:13">
      <c r="A158" s="223">
        <v>5.4</v>
      </c>
      <c r="B158" s="226">
        <v>0.90580000000000005</v>
      </c>
      <c r="C158" s="226">
        <v>0.90580000000000005</v>
      </c>
      <c r="D158" s="226">
        <v>0.8075</v>
      </c>
      <c r="E158" s="226">
        <v>0.8075</v>
      </c>
      <c r="F158" s="226">
        <v>0.8075</v>
      </c>
      <c r="G158" s="226">
        <v>0.8075</v>
      </c>
      <c r="H158" s="226">
        <v>0.8075</v>
      </c>
      <c r="I158" s="226">
        <v>0.7218</v>
      </c>
      <c r="J158" s="226">
        <v>0.7218</v>
      </c>
      <c r="K158" s="226">
        <v>0.7218</v>
      </c>
      <c r="L158" s="226">
        <v>0.7218</v>
      </c>
      <c r="M158" s="226">
        <v>0.7218</v>
      </c>
    </row>
    <row r="159" spans="1:13">
      <c r="A159" s="223">
        <v>5.5</v>
      </c>
      <c r="B159" s="226">
        <v>0.90290000000000004</v>
      </c>
      <c r="C159" s="226">
        <v>0.90290000000000004</v>
      </c>
      <c r="D159" s="226">
        <v>0.80469999999999997</v>
      </c>
      <c r="E159" s="226">
        <v>0.80469999999999997</v>
      </c>
      <c r="F159" s="226">
        <v>0.80469999999999997</v>
      </c>
      <c r="G159" s="226">
        <v>0.80469999999999997</v>
      </c>
      <c r="H159" s="226">
        <v>0.80469999999999997</v>
      </c>
      <c r="I159" s="226">
        <v>0.71840000000000004</v>
      </c>
      <c r="J159" s="226">
        <v>0.71840000000000004</v>
      </c>
      <c r="K159" s="226">
        <v>0.71840000000000004</v>
      </c>
      <c r="L159" s="226">
        <v>0.71840000000000004</v>
      </c>
      <c r="M159" s="226">
        <v>0.71840000000000004</v>
      </c>
    </row>
    <row r="160" spans="1:13">
      <c r="A160" s="223">
        <v>5.6</v>
      </c>
      <c r="B160" s="226">
        <v>0.90010000000000001</v>
      </c>
      <c r="C160" s="226">
        <v>0.90010000000000001</v>
      </c>
      <c r="D160" s="226">
        <v>0.80200000000000005</v>
      </c>
      <c r="E160" s="226">
        <v>0.80200000000000005</v>
      </c>
      <c r="F160" s="226">
        <v>0.80200000000000005</v>
      </c>
      <c r="G160" s="226">
        <v>0.80200000000000005</v>
      </c>
      <c r="H160" s="226">
        <v>0.80200000000000005</v>
      </c>
      <c r="I160" s="226">
        <v>0.71509999999999996</v>
      </c>
      <c r="J160" s="226">
        <v>0.71509999999999996</v>
      </c>
      <c r="K160" s="226">
        <v>0.71509999999999996</v>
      </c>
      <c r="L160" s="226">
        <v>0.71509999999999996</v>
      </c>
      <c r="M160" s="226">
        <v>0.71509999999999996</v>
      </c>
    </row>
    <row r="161" spans="1:13">
      <c r="A161" s="227">
        <v>5.7</v>
      </c>
      <c r="B161" s="226">
        <v>0.89749999999999996</v>
      </c>
      <c r="C161" s="226">
        <v>0.89749999999999996</v>
      </c>
      <c r="D161" s="226">
        <v>0.79930000000000001</v>
      </c>
      <c r="E161" s="226">
        <v>0.79930000000000001</v>
      </c>
      <c r="F161" s="226">
        <v>0.79930000000000001</v>
      </c>
      <c r="G161" s="226">
        <v>0.79930000000000001</v>
      </c>
      <c r="H161" s="226">
        <v>0.79930000000000001</v>
      </c>
      <c r="I161" s="226">
        <v>0.71189999999999998</v>
      </c>
      <c r="J161" s="226">
        <v>0.71189999999999998</v>
      </c>
      <c r="K161" s="226">
        <v>0.71189999999999998</v>
      </c>
      <c r="L161" s="226">
        <v>0.71189999999999998</v>
      </c>
      <c r="M161" s="226">
        <v>0.71189999999999998</v>
      </c>
    </row>
    <row r="162" spans="1:13">
      <c r="A162" s="223">
        <v>5.8</v>
      </c>
      <c r="B162" s="226">
        <v>0.89500000000000002</v>
      </c>
      <c r="C162" s="226">
        <v>0.89500000000000002</v>
      </c>
      <c r="D162" s="226">
        <v>0.79679999999999995</v>
      </c>
      <c r="E162" s="226">
        <v>0.79679999999999995</v>
      </c>
      <c r="F162" s="226">
        <v>0.79679999999999995</v>
      </c>
      <c r="G162" s="226">
        <v>0.79679999999999995</v>
      </c>
      <c r="H162" s="226">
        <v>0.79679999999999995</v>
      </c>
      <c r="I162" s="226">
        <v>0.70879999999999999</v>
      </c>
      <c r="J162" s="226">
        <v>0.70879999999999999</v>
      </c>
      <c r="K162" s="226">
        <v>0.70879999999999999</v>
      </c>
      <c r="L162" s="226">
        <v>0.70879999999999999</v>
      </c>
      <c r="M162" s="226">
        <v>0.70879999999999999</v>
      </c>
    </row>
    <row r="163" spans="1:13">
      <c r="A163" s="223">
        <v>5.9</v>
      </c>
      <c r="B163" s="226">
        <v>0.89259999999999995</v>
      </c>
      <c r="C163" s="226">
        <v>0.89259999999999995</v>
      </c>
      <c r="D163" s="226">
        <v>0.7944</v>
      </c>
      <c r="E163" s="226">
        <v>0.7944</v>
      </c>
      <c r="F163" s="226">
        <v>0.7944</v>
      </c>
      <c r="G163" s="226">
        <v>0.7944</v>
      </c>
      <c r="H163" s="226">
        <v>0.7944</v>
      </c>
      <c r="I163" s="226">
        <v>0.70579999999999998</v>
      </c>
      <c r="J163" s="226">
        <v>0.70579999999999998</v>
      </c>
      <c r="K163" s="226">
        <v>0.70579999999999998</v>
      </c>
      <c r="L163" s="226">
        <v>0.70579999999999998</v>
      </c>
      <c r="M163" s="226">
        <v>0.70579999999999998</v>
      </c>
    </row>
    <row r="164" spans="1:13">
      <c r="A164" s="223">
        <v>6</v>
      </c>
      <c r="B164" s="226">
        <v>0.89029999999999998</v>
      </c>
      <c r="C164" s="226">
        <v>0.89029999999999998</v>
      </c>
      <c r="D164" s="226">
        <v>0.79200000000000004</v>
      </c>
      <c r="E164" s="226">
        <v>0.79200000000000004</v>
      </c>
      <c r="F164" s="226">
        <v>0.79200000000000004</v>
      </c>
      <c r="G164" s="226">
        <v>0.79200000000000004</v>
      </c>
      <c r="H164" s="226">
        <v>0.79200000000000004</v>
      </c>
      <c r="I164" s="226">
        <v>0.70289999999999997</v>
      </c>
      <c r="J164" s="226">
        <v>0.70289999999999997</v>
      </c>
      <c r="K164" s="226">
        <v>0.70289999999999997</v>
      </c>
      <c r="L164" s="226">
        <v>0.70289999999999997</v>
      </c>
      <c r="M164" s="226">
        <v>0.70289999999999997</v>
      </c>
    </row>
    <row r="165" spans="1:13">
      <c r="A165" s="223">
        <v>6.1</v>
      </c>
      <c r="B165" s="226">
        <v>0.8881</v>
      </c>
      <c r="C165" s="226">
        <v>0.8881</v>
      </c>
      <c r="D165" s="226">
        <v>0.78979999999999995</v>
      </c>
      <c r="E165" s="226">
        <v>0.78979999999999995</v>
      </c>
      <c r="F165" s="226">
        <v>0.78979999999999995</v>
      </c>
      <c r="G165" s="226">
        <v>0.78979999999999995</v>
      </c>
      <c r="H165" s="226">
        <v>0.78979999999999995</v>
      </c>
      <c r="I165" s="226">
        <v>0.70009999999999994</v>
      </c>
      <c r="J165" s="226">
        <v>0.70009999999999994</v>
      </c>
      <c r="K165" s="226">
        <v>0.70009999999999994</v>
      </c>
      <c r="L165" s="226">
        <v>0.70009999999999994</v>
      </c>
      <c r="M165" s="226">
        <v>0.70009999999999994</v>
      </c>
    </row>
    <row r="166" spans="1:13">
      <c r="A166" s="223">
        <v>6.2</v>
      </c>
      <c r="B166" s="226">
        <v>0.88600000000000001</v>
      </c>
      <c r="C166" s="226">
        <v>0.88600000000000001</v>
      </c>
      <c r="D166" s="226">
        <v>0.78759999999999997</v>
      </c>
      <c r="E166" s="226">
        <v>0.78759999999999997</v>
      </c>
      <c r="F166" s="226">
        <v>0.78759999999999997</v>
      </c>
      <c r="G166" s="226">
        <v>0.78759999999999997</v>
      </c>
      <c r="H166" s="226">
        <v>0.78759999999999997</v>
      </c>
      <c r="I166" s="226">
        <v>0.69740000000000002</v>
      </c>
      <c r="J166" s="226">
        <v>0.69740000000000002</v>
      </c>
      <c r="K166" s="226">
        <v>0.69740000000000002</v>
      </c>
      <c r="L166" s="226">
        <v>0.69740000000000002</v>
      </c>
      <c r="M166" s="226">
        <v>0.69740000000000002</v>
      </c>
    </row>
    <row r="167" spans="1:13">
      <c r="A167" s="223">
        <v>6.3</v>
      </c>
      <c r="B167" s="226">
        <v>0.88390000000000002</v>
      </c>
      <c r="C167" s="226">
        <v>0.88390000000000002</v>
      </c>
      <c r="D167" s="226">
        <v>0.78549999999999998</v>
      </c>
      <c r="E167" s="226">
        <v>0.78549999999999998</v>
      </c>
      <c r="F167" s="226">
        <v>0.78549999999999998</v>
      </c>
      <c r="G167" s="226">
        <v>0.78549999999999998</v>
      </c>
      <c r="H167" s="226">
        <v>0.78549999999999998</v>
      </c>
      <c r="I167" s="226">
        <v>0.69479999999999997</v>
      </c>
      <c r="J167" s="226">
        <v>0.69479999999999997</v>
      </c>
      <c r="K167" s="226">
        <v>0.69479999999999997</v>
      </c>
      <c r="L167" s="226">
        <v>0.69479999999999997</v>
      </c>
      <c r="M167" s="226">
        <v>0.69479999999999997</v>
      </c>
    </row>
    <row r="168" spans="1:13">
      <c r="A168" s="223">
        <v>6.4</v>
      </c>
      <c r="B168" s="226">
        <v>0.88190000000000002</v>
      </c>
      <c r="C168" s="226">
        <v>0.88190000000000002</v>
      </c>
      <c r="D168" s="226">
        <v>0.78339999999999999</v>
      </c>
      <c r="E168" s="226">
        <v>0.78339999999999999</v>
      </c>
      <c r="F168" s="226">
        <v>0.78339999999999999</v>
      </c>
      <c r="G168" s="226">
        <v>0.78339999999999999</v>
      </c>
      <c r="H168" s="226">
        <v>0.78339999999999999</v>
      </c>
      <c r="I168" s="226">
        <v>0.69230000000000003</v>
      </c>
      <c r="J168" s="226">
        <v>0.69230000000000003</v>
      </c>
      <c r="K168" s="226">
        <v>0.69230000000000003</v>
      </c>
      <c r="L168" s="226">
        <v>0.69230000000000003</v>
      </c>
      <c r="M168" s="226">
        <v>0.69230000000000003</v>
      </c>
    </row>
    <row r="169" spans="1:13">
      <c r="A169" s="223">
        <v>6.5</v>
      </c>
      <c r="B169" s="226">
        <v>0.88</v>
      </c>
      <c r="C169" s="226">
        <v>0.88</v>
      </c>
      <c r="D169" s="226">
        <v>0.78139999999999998</v>
      </c>
      <c r="E169" s="226">
        <v>0.78139999999999998</v>
      </c>
      <c r="F169" s="226">
        <v>0.78139999999999998</v>
      </c>
      <c r="G169" s="226">
        <v>0.78139999999999998</v>
      </c>
      <c r="H169" s="226">
        <v>0.78139999999999998</v>
      </c>
      <c r="I169" s="226">
        <v>0.68989999999999996</v>
      </c>
      <c r="J169" s="226">
        <v>0.68989999999999996</v>
      </c>
      <c r="K169" s="226">
        <v>0.68989999999999996</v>
      </c>
      <c r="L169" s="226">
        <v>0.68989999999999996</v>
      </c>
      <c r="M169" s="226">
        <v>0.68989999999999996</v>
      </c>
    </row>
    <row r="170" spans="1:13">
      <c r="A170" s="223">
        <v>6.6</v>
      </c>
      <c r="B170" s="226">
        <v>0.87809999999999999</v>
      </c>
      <c r="C170" s="226">
        <v>0.87809999999999999</v>
      </c>
      <c r="D170" s="226">
        <v>0.77949999999999997</v>
      </c>
      <c r="E170" s="226">
        <v>0.77949999999999997</v>
      </c>
      <c r="F170" s="226">
        <v>0.77949999999999997</v>
      </c>
      <c r="G170" s="226">
        <v>0.77949999999999997</v>
      </c>
      <c r="H170" s="226">
        <v>0.77949999999999997</v>
      </c>
      <c r="I170" s="226">
        <v>0.68759999999999999</v>
      </c>
      <c r="J170" s="226">
        <v>0.68759999999999999</v>
      </c>
      <c r="K170" s="226">
        <v>0.68759999999999999</v>
      </c>
      <c r="L170" s="226">
        <v>0.68759999999999999</v>
      </c>
      <c r="M170" s="226">
        <v>0.68759999999999999</v>
      </c>
    </row>
    <row r="171" spans="1:13">
      <c r="A171" s="223">
        <v>6.7</v>
      </c>
      <c r="B171" s="226">
        <v>0.87629999999999997</v>
      </c>
      <c r="C171" s="226">
        <v>0.87629999999999997</v>
      </c>
      <c r="D171" s="226">
        <v>0.77759999999999996</v>
      </c>
      <c r="E171" s="226">
        <v>0.77759999999999996</v>
      </c>
      <c r="F171" s="226">
        <v>0.77759999999999996</v>
      </c>
      <c r="G171" s="226">
        <v>0.77759999999999996</v>
      </c>
      <c r="H171" s="226">
        <v>0.77759999999999996</v>
      </c>
      <c r="I171" s="226">
        <v>0.68530000000000002</v>
      </c>
      <c r="J171" s="226">
        <v>0.68530000000000002</v>
      </c>
      <c r="K171" s="226">
        <v>0.68530000000000002</v>
      </c>
      <c r="L171" s="226">
        <v>0.68530000000000002</v>
      </c>
      <c r="M171" s="226">
        <v>0.68530000000000002</v>
      </c>
    </row>
    <row r="172" spans="1:13">
      <c r="A172" s="223">
        <v>6.8</v>
      </c>
      <c r="B172" s="226">
        <v>0.87450000000000006</v>
      </c>
      <c r="C172" s="226">
        <v>0.87450000000000006</v>
      </c>
      <c r="D172" s="226">
        <v>0.77569999999999995</v>
      </c>
      <c r="E172" s="226">
        <v>0.77569999999999995</v>
      </c>
      <c r="F172" s="226">
        <v>0.77569999999999995</v>
      </c>
      <c r="G172" s="226">
        <v>0.77569999999999995</v>
      </c>
      <c r="H172" s="226">
        <v>0.77569999999999995</v>
      </c>
      <c r="I172" s="226">
        <v>0.68310000000000004</v>
      </c>
      <c r="J172" s="226">
        <v>0.68310000000000004</v>
      </c>
      <c r="K172" s="226">
        <v>0.68310000000000004</v>
      </c>
      <c r="L172" s="226">
        <v>0.68310000000000004</v>
      </c>
      <c r="M172" s="226">
        <v>0.68310000000000004</v>
      </c>
    </row>
    <row r="173" spans="1:13">
      <c r="A173" s="223">
        <v>6.9</v>
      </c>
      <c r="B173" s="226">
        <v>0.87280000000000002</v>
      </c>
      <c r="C173" s="226">
        <v>0.87280000000000002</v>
      </c>
      <c r="D173" s="226">
        <v>0.77390000000000003</v>
      </c>
      <c r="E173" s="226">
        <v>0.77390000000000003</v>
      </c>
      <c r="F173" s="226">
        <v>0.77390000000000003</v>
      </c>
      <c r="G173" s="226">
        <v>0.77390000000000003</v>
      </c>
      <c r="H173" s="226">
        <v>0.77390000000000003</v>
      </c>
      <c r="I173" s="226">
        <v>0.68089999999999995</v>
      </c>
      <c r="J173" s="226">
        <v>0.68089999999999995</v>
      </c>
      <c r="K173" s="226">
        <v>0.68089999999999995</v>
      </c>
      <c r="L173" s="226">
        <v>0.68089999999999995</v>
      </c>
      <c r="M173" s="226">
        <v>0.68089999999999995</v>
      </c>
    </row>
    <row r="174" spans="1:13">
      <c r="A174" s="223">
        <v>7</v>
      </c>
      <c r="B174" s="226">
        <v>0.87109999999999999</v>
      </c>
      <c r="C174" s="226">
        <v>0.87109999999999999</v>
      </c>
      <c r="D174" s="226">
        <v>0.77210000000000001</v>
      </c>
      <c r="E174" s="226">
        <v>0.77210000000000001</v>
      </c>
      <c r="F174" s="226">
        <v>0.77210000000000001</v>
      </c>
      <c r="G174" s="226">
        <v>0.77210000000000001</v>
      </c>
      <c r="H174" s="226">
        <v>0.77210000000000001</v>
      </c>
      <c r="I174" s="226">
        <v>0.67879999999999996</v>
      </c>
      <c r="J174" s="226">
        <v>0.67879999999999996</v>
      </c>
      <c r="K174" s="226">
        <v>0.67879999999999996</v>
      </c>
      <c r="L174" s="226">
        <v>0.67879999999999996</v>
      </c>
      <c r="M174" s="226">
        <v>0.67879999999999996</v>
      </c>
    </row>
    <row r="175" spans="1:13">
      <c r="A175" s="223">
        <v>7.1</v>
      </c>
      <c r="B175" s="226">
        <v>0.86939999999999995</v>
      </c>
      <c r="C175" s="226">
        <v>0.86939999999999995</v>
      </c>
      <c r="D175" s="226">
        <v>0.77039999999999997</v>
      </c>
      <c r="E175" s="226">
        <v>0.77039999999999997</v>
      </c>
      <c r="F175" s="226">
        <v>0.77039999999999997</v>
      </c>
      <c r="G175" s="226">
        <v>0.77039999999999997</v>
      </c>
      <c r="H175" s="226">
        <v>0.77039999999999997</v>
      </c>
      <c r="I175" s="226">
        <v>0.67669999999999997</v>
      </c>
      <c r="J175" s="226">
        <v>0.67669999999999997</v>
      </c>
      <c r="K175" s="226">
        <v>0.67669999999999997</v>
      </c>
      <c r="L175" s="226">
        <v>0.67669999999999997</v>
      </c>
      <c r="M175" s="226">
        <v>0.67669999999999997</v>
      </c>
    </row>
    <row r="176" spans="1:13">
      <c r="A176" s="223">
        <v>7.2</v>
      </c>
      <c r="B176" s="226">
        <v>0.86770000000000003</v>
      </c>
      <c r="C176" s="226">
        <v>0.86770000000000003</v>
      </c>
      <c r="D176" s="226">
        <v>0.76870000000000005</v>
      </c>
      <c r="E176" s="226">
        <v>0.76870000000000005</v>
      </c>
      <c r="F176" s="226">
        <v>0.76870000000000005</v>
      </c>
      <c r="G176" s="226">
        <v>0.76870000000000005</v>
      </c>
      <c r="H176" s="226">
        <v>0.76870000000000005</v>
      </c>
      <c r="I176" s="226">
        <v>0.67469999999999997</v>
      </c>
      <c r="J176" s="226">
        <v>0.67469999999999997</v>
      </c>
      <c r="K176" s="226">
        <v>0.67469999999999997</v>
      </c>
      <c r="L176" s="226">
        <v>0.67469999999999997</v>
      </c>
      <c r="M176" s="226">
        <v>0.67469999999999997</v>
      </c>
    </row>
    <row r="177" spans="1:13">
      <c r="A177" s="223">
        <v>7.3</v>
      </c>
      <c r="B177" s="226">
        <v>0.86609999999999998</v>
      </c>
      <c r="C177" s="226">
        <v>0.86609999999999998</v>
      </c>
      <c r="D177" s="226">
        <v>0.76700000000000002</v>
      </c>
      <c r="E177" s="226">
        <v>0.76700000000000002</v>
      </c>
      <c r="F177" s="226">
        <v>0.76700000000000002</v>
      </c>
      <c r="G177" s="226">
        <v>0.76700000000000002</v>
      </c>
      <c r="H177" s="226">
        <v>0.76700000000000002</v>
      </c>
      <c r="I177" s="226">
        <v>0.67269999999999996</v>
      </c>
      <c r="J177" s="226">
        <v>0.67269999999999996</v>
      </c>
      <c r="K177" s="226">
        <v>0.67269999999999996</v>
      </c>
      <c r="L177" s="226">
        <v>0.67269999999999996</v>
      </c>
      <c r="M177" s="226">
        <v>0.67269999999999996</v>
      </c>
    </row>
    <row r="178" spans="1:13">
      <c r="A178" s="223">
        <v>7.4</v>
      </c>
      <c r="B178" s="226">
        <v>0.86450000000000005</v>
      </c>
      <c r="C178" s="226">
        <v>0.86450000000000005</v>
      </c>
      <c r="D178" s="226">
        <v>0.76529999999999998</v>
      </c>
      <c r="E178" s="226">
        <v>0.76529999999999998</v>
      </c>
      <c r="F178" s="226">
        <v>0.76529999999999998</v>
      </c>
      <c r="G178" s="226">
        <v>0.76529999999999998</v>
      </c>
      <c r="H178" s="226">
        <v>0.76529999999999998</v>
      </c>
      <c r="I178" s="226">
        <v>0.67079999999999995</v>
      </c>
      <c r="J178" s="226">
        <v>0.67079999999999995</v>
      </c>
      <c r="K178" s="226">
        <v>0.67079999999999995</v>
      </c>
      <c r="L178" s="226">
        <v>0.67079999999999995</v>
      </c>
      <c r="M178" s="226">
        <v>0.67079999999999995</v>
      </c>
    </row>
    <row r="179" spans="1:13">
      <c r="A179" s="223">
        <v>7.5</v>
      </c>
      <c r="B179" s="226">
        <v>0.86299999999999999</v>
      </c>
      <c r="C179" s="226">
        <v>0.86299999999999999</v>
      </c>
      <c r="D179" s="226">
        <v>0.76359999999999995</v>
      </c>
      <c r="E179" s="226">
        <v>0.76359999999999995</v>
      </c>
      <c r="F179" s="226">
        <v>0.76359999999999995</v>
      </c>
      <c r="G179" s="226">
        <v>0.76359999999999995</v>
      </c>
      <c r="H179" s="226">
        <v>0.76359999999999995</v>
      </c>
      <c r="I179" s="226">
        <v>0.66890000000000005</v>
      </c>
      <c r="J179" s="226">
        <v>0.66890000000000005</v>
      </c>
      <c r="K179" s="226">
        <v>0.66890000000000005</v>
      </c>
      <c r="L179" s="226">
        <v>0.66890000000000005</v>
      </c>
      <c r="M179" s="226">
        <v>0.66890000000000005</v>
      </c>
    </row>
    <row r="180" spans="1:13">
      <c r="A180" s="223">
        <v>7.6</v>
      </c>
      <c r="B180" s="226">
        <v>0.86150000000000004</v>
      </c>
      <c r="C180" s="226">
        <v>0.86150000000000004</v>
      </c>
      <c r="D180" s="226">
        <v>0.76200000000000001</v>
      </c>
      <c r="E180" s="226">
        <v>0.76200000000000001</v>
      </c>
      <c r="F180" s="226">
        <v>0.76200000000000001</v>
      </c>
      <c r="G180" s="226">
        <v>0.76200000000000001</v>
      </c>
      <c r="H180" s="226">
        <v>0.76200000000000001</v>
      </c>
      <c r="I180" s="226">
        <v>0.66700000000000004</v>
      </c>
      <c r="J180" s="226">
        <v>0.66700000000000004</v>
      </c>
      <c r="K180" s="226">
        <v>0.66700000000000004</v>
      </c>
      <c r="L180" s="226">
        <v>0.66700000000000004</v>
      </c>
      <c r="M180" s="226">
        <v>0.66700000000000004</v>
      </c>
    </row>
    <row r="181" spans="1:13">
      <c r="A181" s="223">
        <v>7.7</v>
      </c>
      <c r="B181" s="226">
        <v>0.86</v>
      </c>
      <c r="C181" s="226">
        <v>0.86</v>
      </c>
      <c r="D181" s="226">
        <v>0.76039999999999996</v>
      </c>
      <c r="E181" s="226">
        <v>0.76039999999999996</v>
      </c>
      <c r="F181" s="226">
        <v>0.76039999999999996</v>
      </c>
      <c r="G181" s="226">
        <v>0.76039999999999996</v>
      </c>
      <c r="H181" s="226">
        <v>0.76039999999999996</v>
      </c>
      <c r="I181" s="226">
        <v>0.66510000000000002</v>
      </c>
      <c r="J181" s="226">
        <v>0.66510000000000002</v>
      </c>
      <c r="K181" s="226">
        <v>0.66510000000000002</v>
      </c>
      <c r="L181" s="226">
        <v>0.66510000000000002</v>
      </c>
      <c r="M181" s="226">
        <v>0.66510000000000002</v>
      </c>
    </row>
    <row r="182" spans="1:13">
      <c r="A182" s="223">
        <v>7.8</v>
      </c>
      <c r="B182" s="226">
        <v>0.85850000000000004</v>
      </c>
      <c r="C182" s="226">
        <v>0.85850000000000004</v>
      </c>
      <c r="D182" s="226">
        <v>0.75880000000000003</v>
      </c>
      <c r="E182" s="226">
        <v>0.75880000000000003</v>
      </c>
      <c r="F182" s="226">
        <v>0.75880000000000003</v>
      </c>
      <c r="G182" s="226">
        <v>0.75880000000000003</v>
      </c>
      <c r="H182" s="226">
        <v>0.75880000000000003</v>
      </c>
      <c r="I182" s="226">
        <v>0.6633</v>
      </c>
      <c r="J182" s="226">
        <v>0.6633</v>
      </c>
      <c r="K182" s="226">
        <v>0.6633</v>
      </c>
      <c r="L182" s="226">
        <v>0.6633</v>
      </c>
      <c r="M182" s="226">
        <v>0.6633</v>
      </c>
    </row>
    <row r="183" spans="1:13">
      <c r="A183" s="223">
        <v>7.9</v>
      </c>
      <c r="B183" s="226">
        <v>0.85699999999999998</v>
      </c>
      <c r="C183" s="226">
        <v>0.85699999999999998</v>
      </c>
      <c r="D183" s="226">
        <v>0.75719999999999998</v>
      </c>
      <c r="E183" s="226">
        <v>0.75719999999999998</v>
      </c>
      <c r="F183" s="226">
        <v>0.75719999999999998</v>
      </c>
      <c r="G183" s="226">
        <v>0.75719999999999998</v>
      </c>
      <c r="H183" s="226">
        <v>0.75719999999999998</v>
      </c>
      <c r="I183" s="226">
        <v>0.66149999999999998</v>
      </c>
      <c r="J183" s="226">
        <v>0.66149999999999998</v>
      </c>
      <c r="K183" s="226">
        <v>0.66149999999999998</v>
      </c>
      <c r="L183" s="226">
        <v>0.66149999999999998</v>
      </c>
      <c r="M183" s="226">
        <v>0.66149999999999998</v>
      </c>
    </row>
    <row r="184" spans="1:13">
      <c r="A184" s="223">
        <v>8</v>
      </c>
      <c r="B184" s="226">
        <v>0.85550000000000004</v>
      </c>
      <c r="C184" s="226">
        <v>0.85550000000000004</v>
      </c>
      <c r="D184" s="226">
        <v>0.75570000000000004</v>
      </c>
      <c r="E184" s="226">
        <v>0.75570000000000004</v>
      </c>
      <c r="F184" s="226">
        <v>0.75570000000000004</v>
      </c>
      <c r="G184" s="226">
        <v>0.75570000000000004</v>
      </c>
      <c r="H184" s="226">
        <v>0.75570000000000004</v>
      </c>
      <c r="I184" s="226">
        <v>0.65969999999999995</v>
      </c>
      <c r="J184" s="226">
        <v>0.65969999999999995</v>
      </c>
      <c r="K184" s="226">
        <v>0.65969999999999995</v>
      </c>
      <c r="L184" s="226">
        <v>0.65969999999999995</v>
      </c>
      <c r="M184" s="226">
        <v>0.65969999999999995</v>
      </c>
    </row>
    <row r="185" spans="1:13">
      <c r="A185" s="223">
        <v>8.1</v>
      </c>
      <c r="B185" s="226">
        <v>0.85399999999999998</v>
      </c>
      <c r="C185" s="226">
        <v>0.85399999999999998</v>
      </c>
      <c r="D185" s="226">
        <v>0.75419999999999998</v>
      </c>
      <c r="E185" s="226">
        <v>0.75419999999999998</v>
      </c>
      <c r="F185" s="226">
        <v>0.75419999999999998</v>
      </c>
      <c r="G185" s="226">
        <v>0.75419999999999998</v>
      </c>
      <c r="H185" s="226">
        <v>0.75419999999999998</v>
      </c>
      <c r="I185" s="226">
        <v>0.65800000000000003</v>
      </c>
      <c r="J185" s="226">
        <v>0.65800000000000003</v>
      </c>
      <c r="K185" s="226">
        <v>0.65800000000000003</v>
      </c>
      <c r="L185" s="226">
        <v>0.65800000000000003</v>
      </c>
      <c r="M185" s="226">
        <v>0.65800000000000003</v>
      </c>
    </row>
    <row r="186" spans="1:13">
      <c r="A186" s="223">
        <v>8.1999999999999993</v>
      </c>
      <c r="B186" s="226">
        <v>0.85250000000000004</v>
      </c>
      <c r="C186" s="226">
        <v>0.85250000000000004</v>
      </c>
      <c r="D186" s="226">
        <v>0.75270000000000004</v>
      </c>
      <c r="E186" s="226">
        <v>0.75270000000000004</v>
      </c>
      <c r="F186" s="226">
        <v>0.75270000000000004</v>
      </c>
      <c r="G186" s="226">
        <v>0.75270000000000004</v>
      </c>
      <c r="H186" s="226">
        <v>0.75270000000000004</v>
      </c>
      <c r="I186" s="226">
        <v>0.65629999999999999</v>
      </c>
      <c r="J186" s="226">
        <v>0.65629999999999999</v>
      </c>
      <c r="K186" s="226">
        <v>0.65629999999999999</v>
      </c>
      <c r="L186" s="226">
        <v>0.65629999999999999</v>
      </c>
      <c r="M186" s="226">
        <v>0.65629999999999999</v>
      </c>
    </row>
    <row r="187" spans="1:13">
      <c r="A187" s="223">
        <v>8.3000000000000007</v>
      </c>
      <c r="B187" s="226">
        <v>0.85109999999999997</v>
      </c>
      <c r="C187" s="226">
        <v>0.85109999999999997</v>
      </c>
      <c r="D187" s="226">
        <v>0.75119999999999998</v>
      </c>
      <c r="E187" s="226">
        <v>0.75119999999999998</v>
      </c>
      <c r="F187" s="226">
        <v>0.75119999999999998</v>
      </c>
      <c r="G187" s="226">
        <v>0.75119999999999998</v>
      </c>
      <c r="H187" s="226">
        <v>0.75119999999999998</v>
      </c>
      <c r="I187" s="226">
        <v>0.65459999999999996</v>
      </c>
      <c r="J187" s="226">
        <v>0.65459999999999996</v>
      </c>
      <c r="K187" s="226">
        <v>0.65459999999999996</v>
      </c>
      <c r="L187" s="226">
        <v>0.65459999999999996</v>
      </c>
      <c r="M187" s="226">
        <v>0.65459999999999996</v>
      </c>
    </row>
    <row r="188" spans="1:13">
      <c r="A188" s="223">
        <v>8.4</v>
      </c>
      <c r="B188" s="226">
        <v>0.84970000000000001</v>
      </c>
      <c r="C188" s="226">
        <v>0.84970000000000001</v>
      </c>
      <c r="D188" s="226">
        <v>0.74970000000000003</v>
      </c>
      <c r="E188" s="226">
        <v>0.74970000000000003</v>
      </c>
      <c r="F188" s="226">
        <v>0.74970000000000003</v>
      </c>
      <c r="G188" s="226">
        <v>0.74970000000000003</v>
      </c>
      <c r="H188" s="226">
        <v>0.74970000000000003</v>
      </c>
      <c r="I188" s="226">
        <v>0.65300000000000002</v>
      </c>
      <c r="J188" s="226">
        <v>0.65300000000000002</v>
      </c>
      <c r="K188" s="226">
        <v>0.65300000000000002</v>
      </c>
      <c r="L188" s="226">
        <v>0.65300000000000002</v>
      </c>
      <c r="M188" s="226">
        <v>0.65300000000000002</v>
      </c>
    </row>
    <row r="189" spans="1:13">
      <c r="A189" s="223">
        <v>8.5</v>
      </c>
      <c r="B189" s="226">
        <v>0.84830000000000005</v>
      </c>
      <c r="C189" s="226">
        <v>0.84830000000000005</v>
      </c>
      <c r="D189" s="226">
        <v>0.74819999999999998</v>
      </c>
      <c r="E189" s="226">
        <v>0.74819999999999998</v>
      </c>
      <c r="F189" s="226">
        <v>0.74819999999999998</v>
      </c>
      <c r="G189" s="226">
        <v>0.74819999999999998</v>
      </c>
      <c r="H189" s="226">
        <v>0.74819999999999998</v>
      </c>
      <c r="I189" s="226">
        <v>0.65139999999999998</v>
      </c>
      <c r="J189" s="226">
        <v>0.65139999999999998</v>
      </c>
      <c r="K189" s="226">
        <v>0.65139999999999998</v>
      </c>
      <c r="L189" s="226">
        <v>0.65139999999999998</v>
      </c>
      <c r="M189" s="226">
        <v>0.65139999999999998</v>
      </c>
    </row>
    <row r="190" spans="1:13">
      <c r="A190" s="223">
        <v>8.6</v>
      </c>
      <c r="B190" s="226">
        <v>0.84689999999999999</v>
      </c>
      <c r="C190" s="226">
        <v>0.84689999999999999</v>
      </c>
      <c r="D190" s="226">
        <v>0.74670000000000003</v>
      </c>
      <c r="E190" s="226">
        <v>0.74670000000000003</v>
      </c>
      <c r="F190" s="226">
        <v>0.74670000000000003</v>
      </c>
      <c r="G190" s="226">
        <v>0.74670000000000003</v>
      </c>
      <c r="H190" s="226">
        <v>0.74670000000000003</v>
      </c>
      <c r="I190" s="226">
        <v>0.64980000000000004</v>
      </c>
      <c r="J190" s="226">
        <v>0.64980000000000004</v>
      </c>
      <c r="K190" s="226">
        <v>0.64980000000000004</v>
      </c>
      <c r="L190" s="226">
        <v>0.64980000000000004</v>
      </c>
      <c r="M190" s="226">
        <v>0.64980000000000004</v>
      </c>
    </row>
    <row r="191" spans="1:13">
      <c r="A191" s="223">
        <v>8.6999999999999993</v>
      </c>
      <c r="B191" s="226">
        <v>0.84550000000000003</v>
      </c>
      <c r="C191" s="226">
        <v>0.84550000000000003</v>
      </c>
      <c r="D191" s="226">
        <v>0.74519999999999997</v>
      </c>
      <c r="E191" s="226">
        <v>0.74519999999999997</v>
      </c>
      <c r="F191" s="226">
        <v>0.74519999999999997</v>
      </c>
      <c r="G191" s="226">
        <v>0.74519999999999997</v>
      </c>
      <c r="H191" s="226">
        <v>0.74519999999999997</v>
      </c>
      <c r="I191" s="226">
        <v>0.6482</v>
      </c>
      <c r="J191" s="226">
        <v>0.6482</v>
      </c>
      <c r="K191" s="226">
        <v>0.6482</v>
      </c>
      <c r="L191" s="226">
        <v>0.6482</v>
      </c>
      <c r="M191" s="226">
        <v>0.6482</v>
      </c>
    </row>
    <row r="192" spans="1:13">
      <c r="A192" s="223">
        <v>8.8000000000000007</v>
      </c>
      <c r="B192" s="226">
        <v>0.84409999999999996</v>
      </c>
      <c r="C192" s="226">
        <v>0.84409999999999996</v>
      </c>
      <c r="D192" s="226">
        <v>0.74370000000000003</v>
      </c>
      <c r="E192" s="226">
        <v>0.74370000000000003</v>
      </c>
      <c r="F192" s="226">
        <v>0.74370000000000003</v>
      </c>
      <c r="G192" s="226">
        <v>0.74370000000000003</v>
      </c>
      <c r="H192" s="226">
        <v>0.74370000000000003</v>
      </c>
      <c r="I192" s="226">
        <v>0.64659999999999995</v>
      </c>
      <c r="J192" s="226">
        <v>0.64659999999999995</v>
      </c>
      <c r="K192" s="226">
        <v>0.64659999999999995</v>
      </c>
      <c r="L192" s="226">
        <v>0.64659999999999995</v>
      </c>
      <c r="M192" s="226">
        <v>0.64659999999999995</v>
      </c>
    </row>
    <row r="193" spans="1:13">
      <c r="A193" s="223">
        <v>8.9</v>
      </c>
      <c r="B193" s="226">
        <v>0.84279999999999999</v>
      </c>
      <c r="C193" s="226">
        <v>0.84279999999999999</v>
      </c>
      <c r="D193" s="226">
        <v>0.74219999999999997</v>
      </c>
      <c r="E193" s="226">
        <v>0.74219999999999997</v>
      </c>
      <c r="F193" s="226">
        <v>0.74219999999999997</v>
      </c>
      <c r="G193" s="226">
        <v>0.74219999999999997</v>
      </c>
      <c r="H193" s="226">
        <v>0.74219999999999997</v>
      </c>
      <c r="I193" s="226">
        <v>0.64500000000000002</v>
      </c>
      <c r="J193" s="226">
        <v>0.64500000000000002</v>
      </c>
      <c r="K193" s="226">
        <v>0.64500000000000002</v>
      </c>
      <c r="L193" s="226">
        <v>0.64500000000000002</v>
      </c>
      <c r="M193" s="226">
        <v>0.64500000000000002</v>
      </c>
    </row>
    <row r="194" spans="1:13">
      <c r="A194" s="227">
        <v>9</v>
      </c>
      <c r="B194" s="226">
        <v>0.84150000000000003</v>
      </c>
      <c r="C194" s="226">
        <v>0.84150000000000003</v>
      </c>
      <c r="D194" s="226">
        <v>0.74070000000000003</v>
      </c>
      <c r="E194" s="226">
        <v>0.74070000000000003</v>
      </c>
      <c r="F194" s="226">
        <v>0.74070000000000003</v>
      </c>
      <c r="G194" s="226">
        <v>0.74070000000000003</v>
      </c>
      <c r="H194" s="226">
        <v>0.74070000000000003</v>
      </c>
      <c r="I194" s="226">
        <v>0.64349999999999996</v>
      </c>
      <c r="J194" s="226">
        <v>0.64349999999999996</v>
      </c>
      <c r="K194" s="226">
        <v>0.64349999999999996</v>
      </c>
      <c r="L194" s="226">
        <v>0.64349999999999996</v>
      </c>
      <c r="M194" s="226">
        <v>0.64349999999999996</v>
      </c>
    </row>
    <row r="195" spans="1:13">
      <c r="A195" s="227">
        <v>9.1</v>
      </c>
      <c r="B195" s="226">
        <v>0.84019999999999995</v>
      </c>
      <c r="C195" s="226">
        <v>0.84019999999999995</v>
      </c>
      <c r="D195" s="226">
        <v>0.73919999999999997</v>
      </c>
      <c r="E195" s="226">
        <v>0.73919999999999997</v>
      </c>
      <c r="F195" s="226">
        <v>0.73919999999999997</v>
      </c>
      <c r="G195" s="226">
        <v>0.73919999999999997</v>
      </c>
      <c r="H195" s="226">
        <v>0.73919999999999997</v>
      </c>
      <c r="I195" s="226">
        <v>0.64200000000000002</v>
      </c>
      <c r="J195" s="226">
        <v>0.64200000000000002</v>
      </c>
      <c r="K195" s="226">
        <v>0.64200000000000002</v>
      </c>
      <c r="L195" s="226">
        <v>0.64200000000000002</v>
      </c>
      <c r="M195" s="226">
        <v>0.64200000000000002</v>
      </c>
    </row>
    <row r="196" spans="1:13">
      <c r="A196" s="227">
        <v>9.1999999999999993</v>
      </c>
      <c r="B196" s="226">
        <v>0.83889999999999998</v>
      </c>
      <c r="C196" s="226">
        <v>0.83889999999999998</v>
      </c>
      <c r="D196" s="226">
        <v>0.73770000000000002</v>
      </c>
      <c r="E196" s="226">
        <v>0.73770000000000002</v>
      </c>
      <c r="F196" s="226">
        <v>0.73770000000000002</v>
      </c>
      <c r="G196" s="226">
        <v>0.73770000000000002</v>
      </c>
      <c r="H196" s="226">
        <v>0.73770000000000002</v>
      </c>
      <c r="I196" s="226">
        <v>0.64059999999999995</v>
      </c>
      <c r="J196" s="226">
        <v>0.64059999999999995</v>
      </c>
      <c r="K196" s="226">
        <v>0.64059999999999995</v>
      </c>
      <c r="L196" s="226">
        <v>0.64059999999999995</v>
      </c>
      <c r="M196" s="226">
        <v>0.64059999999999995</v>
      </c>
    </row>
    <row r="197" spans="1:13">
      <c r="A197" s="227">
        <v>9.3000000000000007</v>
      </c>
      <c r="B197" s="226">
        <v>0.83760000000000001</v>
      </c>
      <c r="C197" s="226">
        <v>0.83760000000000001</v>
      </c>
      <c r="D197" s="226">
        <v>0.73629999999999995</v>
      </c>
      <c r="E197" s="226">
        <v>0.73629999999999995</v>
      </c>
      <c r="F197" s="226">
        <v>0.73629999999999995</v>
      </c>
      <c r="G197" s="226">
        <v>0.73629999999999995</v>
      </c>
      <c r="H197" s="226">
        <v>0.73629999999999995</v>
      </c>
      <c r="I197" s="226">
        <v>0.63919999999999999</v>
      </c>
      <c r="J197" s="226">
        <v>0.63919999999999999</v>
      </c>
      <c r="K197" s="226">
        <v>0.63919999999999999</v>
      </c>
      <c r="L197" s="226">
        <v>0.63919999999999999</v>
      </c>
      <c r="M197" s="226">
        <v>0.63919999999999999</v>
      </c>
    </row>
    <row r="198" spans="1:13">
      <c r="A198" s="227">
        <v>9.4</v>
      </c>
      <c r="B198" s="226">
        <v>0.83630000000000004</v>
      </c>
      <c r="C198" s="226">
        <v>0.83630000000000004</v>
      </c>
      <c r="D198" s="226">
        <v>0.7349</v>
      </c>
      <c r="E198" s="226">
        <v>0.7349</v>
      </c>
      <c r="F198" s="226">
        <v>0.7349</v>
      </c>
      <c r="G198" s="226">
        <v>0.7349</v>
      </c>
      <c r="H198" s="226">
        <v>0.7349</v>
      </c>
      <c r="I198" s="226">
        <v>0.63780000000000003</v>
      </c>
      <c r="J198" s="226">
        <v>0.63780000000000003</v>
      </c>
      <c r="K198" s="226">
        <v>0.63780000000000003</v>
      </c>
      <c r="L198" s="226">
        <v>0.63780000000000003</v>
      </c>
      <c r="M198" s="226">
        <v>0.63780000000000003</v>
      </c>
    </row>
    <row r="199" spans="1:13">
      <c r="A199" s="227">
        <v>9.5</v>
      </c>
      <c r="B199" s="226">
        <v>0.83499999999999996</v>
      </c>
      <c r="C199" s="226">
        <v>0.83499999999999996</v>
      </c>
      <c r="D199" s="226">
        <v>0.73350000000000004</v>
      </c>
      <c r="E199" s="226">
        <v>0.73350000000000004</v>
      </c>
      <c r="F199" s="226">
        <v>0.73350000000000004</v>
      </c>
      <c r="G199" s="226">
        <v>0.73350000000000004</v>
      </c>
      <c r="H199" s="226">
        <v>0.73350000000000004</v>
      </c>
      <c r="I199" s="226">
        <v>0.63639999999999997</v>
      </c>
      <c r="J199" s="226">
        <v>0.63639999999999997</v>
      </c>
      <c r="K199" s="226">
        <v>0.63639999999999997</v>
      </c>
      <c r="L199" s="226">
        <v>0.63639999999999997</v>
      </c>
      <c r="M199" s="226">
        <v>0.63639999999999997</v>
      </c>
    </row>
    <row r="200" spans="1:13">
      <c r="A200" s="227">
        <v>9.6</v>
      </c>
      <c r="B200" s="226">
        <v>0.83379999999999999</v>
      </c>
      <c r="C200" s="226">
        <v>0.83379999999999999</v>
      </c>
      <c r="D200" s="226">
        <v>0.73209999999999997</v>
      </c>
      <c r="E200" s="226">
        <v>0.73209999999999997</v>
      </c>
      <c r="F200" s="226">
        <v>0.73209999999999997</v>
      </c>
      <c r="G200" s="226">
        <v>0.73209999999999997</v>
      </c>
      <c r="H200" s="226">
        <v>0.73209999999999997</v>
      </c>
      <c r="I200" s="226">
        <v>0.63500000000000001</v>
      </c>
      <c r="J200" s="226">
        <v>0.63500000000000001</v>
      </c>
      <c r="K200" s="226">
        <v>0.63500000000000001</v>
      </c>
      <c r="L200" s="226">
        <v>0.63500000000000001</v>
      </c>
      <c r="M200" s="226">
        <v>0.63500000000000001</v>
      </c>
    </row>
    <row r="201" spans="1:13">
      <c r="A201" s="227">
        <v>9.6999999999999993</v>
      </c>
      <c r="B201" s="226">
        <v>0.83260000000000001</v>
      </c>
      <c r="C201" s="226">
        <v>0.83260000000000001</v>
      </c>
      <c r="D201" s="226">
        <v>0.73070000000000002</v>
      </c>
      <c r="E201" s="226">
        <v>0.73070000000000002</v>
      </c>
      <c r="F201" s="226">
        <v>0.73070000000000002</v>
      </c>
      <c r="G201" s="226">
        <v>0.73070000000000002</v>
      </c>
      <c r="H201" s="226">
        <v>0.73070000000000002</v>
      </c>
      <c r="I201" s="226">
        <v>0.63360000000000005</v>
      </c>
      <c r="J201" s="226">
        <v>0.63360000000000005</v>
      </c>
      <c r="K201" s="226">
        <v>0.63360000000000005</v>
      </c>
      <c r="L201" s="226">
        <v>0.63360000000000005</v>
      </c>
      <c r="M201" s="226">
        <v>0.63360000000000005</v>
      </c>
    </row>
    <row r="202" spans="1:13">
      <c r="A202" s="227">
        <v>9.8000000000000007</v>
      </c>
      <c r="B202" s="226">
        <v>0.83140000000000003</v>
      </c>
      <c r="C202" s="226">
        <v>0.83140000000000003</v>
      </c>
      <c r="D202" s="226">
        <v>0.72929999999999995</v>
      </c>
      <c r="E202" s="226">
        <v>0.72929999999999995</v>
      </c>
      <c r="F202" s="226">
        <v>0.72929999999999995</v>
      </c>
      <c r="G202" s="226">
        <v>0.72929999999999995</v>
      </c>
      <c r="H202" s="226">
        <v>0.72929999999999995</v>
      </c>
      <c r="I202" s="226">
        <v>0.63219999999999998</v>
      </c>
      <c r="J202" s="226">
        <v>0.63219999999999998</v>
      </c>
      <c r="K202" s="226">
        <v>0.63219999999999998</v>
      </c>
      <c r="L202" s="226">
        <v>0.63219999999999998</v>
      </c>
      <c r="M202" s="226">
        <v>0.63219999999999998</v>
      </c>
    </row>
    <row r="203" spans="1:13">
      <c r="A203" s="227">
        <v>9.9</v>
      </c>
      <c r="B203" s="226">
        <v>0.83020000000000005</v>
      </c>
      <c r="C203" s="226">
        <v>0.83020000000000005</v>
      </c>
      <c r="D203" s="226">
        <v>0.72799999999999998</v>
      </c>
      <c r="E203" s="226">
        <v>0.72799999999999998</v>
      </c>
      <c r="F203" s="226">
        <v>0.72799999999999998</v>
      </c>
      <c r="G203" s="226">
        <v>0.72799999999999998</v>
      </c>
      <c r="H203" s="226">
        <v>0.72799999999999998</v>
      </c>
      <c r="I203" s="226">
        <v>0.63080000000000003</v>
      </c>
      <c r="J203" s="226">
        <v>0.63080000000000003</v>
      </c>
      <c r="K203" s="226">
        <v>0.63080000000000003</v>
      </c>
      <c r="L203" s="226">
        <v>0.63080000000000003</v>
      </c>
      <c r="M203" s="226">
        <v>0.63080000000000003</v>
      </c>
    </row>
    <row r="204" spans="1:13">
      <c r="A204" s="227">
        <v>10</v>
      </c>
      <c r="B204" s="226">
        <v>0.82899999999999996</v>
      </c>
      <c r="C204" s="226">
        <v>0.82899999999999996</v>
      </c>
      <c r="D204" s="226">
        <v>0.72670000000000001</v>
      </c>
      <c r="E204" s="226">
        <v>0.72670000000000001</v>
      </c>
      <c r="F204" s="226">
        <v>0.72670000000000001</v>
      </c>
      <c r="G204" s="226">
        <v>0.72670000000000001</v>
      </c>
      <c r="H204" s="226">
        <v>0.72670000000000001</v>
      </c>
      <c r="I204" s="226">
        <v>0.62939999999999996</v>
      </c>
      <c r="J204" s="226">
        <v>0.62939999999999996</v>
      </c>
      <c r="K204" s="226">
        <v>0.62939999999999996</v>
      </c>
      <c r="L204" s="226">
        <v>0.62939999999999996</v>
      </c>
      <c r="M204" s="226">
        <v>0.62939999999999996</v>
      </c>
    </row>
    <row r="205" spans="1:13" ht="14.25">
      <c r="A205" s="221" t="s">
        <v>2248</v>
      </c>
      <c r="B205" s="222"/>
      <c r="C205" s="222"/>
      <c r="D205" s="222"/>
      <c r="E205" s="222"/>
      <c r="F205" s="222"/>
      <c r="G205" s="222"/>
      <c r="H205" s="222"/>
      <c r="I205" s="222"/>
      <c r="J205" s="222"/>
      <c r="K205" s="222"/>
      <c r="L205" s="222"/>
      <c r="M205" s="222"/>
    </row>
    <row r="206" spans="1:13">
      <c r="A206" s="223" t="s">
        <v>2246</v>
      </c>
      <c r="B206" s="224" t="s">
        <v>1655</v>
      </c>
      <c r="C206" s="224" t="s">
        <v>357</v>
      </c>
      <c r="D206" s="224" t="s">
        <v>1679</v>
      </c>
      <c r="E206" s="224" t="s">
        <v>1700</v>
      </c>
      <c r="F206" s="224" t="s">
        <v>1728</v>
      </c>
      <c r="G206" s="224" t="s">
        <v>1763</v>
      </c>
      <c r="H206" s="225" t="s">
        <v>1812</v>
      </c>
      <c r="I206" s="225" t="s">
        <v>1861</v>
      </c>
      <c r="J206" s="228" t="s">
        <v>1901</v>
      </c>
      <c r="K206" s="228" t="s">
        <v>1947</v>
      </c>
      <c r="L206" s="228" t="s">
        <v>1975</v>
      </c>
      <c r="M206" s="228" t="s">
        <v>1997</v>
      </c>
    </row>
    <row r="207" spans="1:13">
      <c r="A207" s="223">
        <v>0.1</v>
      </c>
      <c r="B207" s="226">
        <v>12.172000000000001</v>
      </c>
      <c r="C207" s="226">
        <v>12.172000000000001</v>
      </c>
      <c r="D207" s="226">
        <v>12.375999999999999</v>
      </c>
      <c r="E207" s="226">
        <v>12.375999999999999</v>
      </c>
      <c r="F207" s="226">
        <v>12.375999999999999</v>
      </c>
      <c r="G207" s="226">
        <v>12.375999999999999</v>
      </c>
      <c r="H207" s="226">
        <v>12.375999999999999</v>
      </c>
      <c r="I207" s="226">
        <v>11.071999999999999</v>
      </c>
      <c r="J207" s="226">
        <v>11.071999999999999</v>
      </c>
      <c r="K207" s="226">
        <v>11.071999999999999</v>
      </c>
      <c r="L207" s="226">
        <v>11.071999999999999</v>
      </c>
      <c r="M207" s="226">
        <v>11.071999999999999</v>
      </c>
    </row>
    <row r="208" spans="1:13">
      <c r="A208" s="223">
        <v>0.2</v>
      </c>
      <c r="B208" s="226">
        <v>6.0860000000000003</v>
      </c>
      <c r="C208" s="226">
        <v>6.0860000000000003</v>
      </c>
      <c r="D208" s="226">
        <v>6.1879999999999997</v>
      </c>
      <c r="E208" s="226">
        <v>6.1879999999999997</v>
      </c>
      <c r="F208" s="226">
        <v>6.1879999999999997</v>
      </c>
      <c r="G208" s="226">
        <v>6.1879999999999997</v>
      </c>
      <c r="H208" s="226">
        <v>6.1879999999999997</v>
      </c>
      <c r="I208" s="226">
        <v>5.5359999999999996</v>
      </c>
      <c r="J208" s="226">
        <v>5.5359999999999996</v>
      </c>
      <c r="K208" s="226">
        <v>5.5359999999999996</v>
      </c>
      <c r="L208" s="226">
        <v>5.5359999999999996</v>
      </c>
      <c r="M208" s="226">
        <v>5.5359999999999996</v>
      </c>
    </row>
    <row r="209" spans="1:13">
      <c r="A209" s="223">
        <v>0.3</v>
      </c>
      <c r="B209" s="226">
        <v>4.0572999999999997</v>
      </c>
      <c r="C209" s="226">
        <v>4.0572999999999997</v>
      </c>
      <c r="D209" s="226">
        <v>4.1253000000000002</v>
      </c>
      <c r="E209" s="226">
        <v>4.1253000000000002</v>
      </c>
      <c r="F209" s="226">
        <v>4.1253000000000002</v>
      </c>
      <c r="G209" s="226">
        <v>4.1253000000000002</v>
      </c>
      <c r="H209" s="226">
        <v>4.1253000000000002</v>
      </c>
      <c r="I209" s="226">
        <v>3.6907000000000001</v>
      </c>
      <c r="J209" s="226">
        <v>3.6907000000000001</v>
      </c>
      <c r="K209" s="226">
        <v>3.6907000000000001</v>
      </c>
      <c r="L209" s="226">
        <v>3.6907000000000001</v>
      </c>
      <c r="M209" s="226">
        <v>3.6907000000000001</v>
      </c>
    </row>
    <row r="210" spans="1:13">
      <c r="A210" s="223">
        <v>0.4</v>
      </c>
      <c r="B210" s="226">
        <v>3.0430000000000001</v>
      </c>
      <c r="C210" s="226">
        <v>3.0430000000000001</v>
      </c>
      <c r="D210" s="226">
        <v>3.0939999999999999</v>
      </c>
      <c r="E210" s="226">
        <v>3.0939999999999999</v>
      </c>
      <c r="F210" s="226">
        <v>3.0939999999999999</v>
      </c>
      <c r="G210" s="226">
        <v>3.0939999999999999</v>
      </c>
      <c r="H210" s="226">
        <v>3.0939999999999999</v>
      </c>
      <c r="I210" s="226">
        <v>2.7679999999999998</v>
      </c>
      <c r="J210" s="226">
        <v>2.7679999999999998</v>
      </c>
      <c r="K210" s="226">
        <v>2.7679999999999998</v>
      </c>
      <c r="L210" s="226">
        <v>2.7679999999999998</v>
      </c>
      <c r="M210" s="226">
        <v>2.7679999999999998</v>
      </c>
    </row>
    <row r="211" spans="1:13">
      <c r="A211" s="223">
        <v>0.5</v>
      </c>
      <c r="B211" s="226">
        <v>2.4344000000000001</v>
      </c>
      <c r="C211" s="226">
        <v>2.4344000000000001</v>
      </c>
      <c r="D211" s="226">
        <v>2.4752000000000001</v>
      </c>
      <c r="E211" s="226">
        <v>2.4752000000000001</v>
      </c>
      <c r="F211" s="226">
        <v>2.4752000000000001</v>
      </c>
      <c r="G211" s="226">
        <v>2.4752000000000001</v>
      </c>
      <c r="H211" s="226">
        <v>2.4752000000000001</v>
      </c>
      <c r="I211" s="226">
        <v>2.2143999999999999</v>
      </c>
      <c r="J211" s="226">
        <v>2.2143999999999999</v>
      </c>
      <c r="K211" s="226">
        <v>2.2143999999999999</v>
      </c>
      <c r="L211" s="226">
        <v>2.2143999999999999</v>
      </c>
      <c r="M211" s="226">
        <v>2.2143999999999999</v>
      </c>
    </row>
    <row r="212" spans="1:13">
      <c r="A212" s="223">
        <v>0.6</v>
      </c>
      <c r="B212" s="226">
        <v>2.0287000000000002</v>
      </c>
      <c r="C212" s="226">
        <v>2.0287000000000002</v>
      </c>
      <c r="D212" s="226">
        <v>2.0627</v>
      </c>
      <c r="E212" s="226">
        <v>2.0627</v>
      </c>
      <c r="F212" s="226">
        <v>2.0627</v>
      </c>
      <c r="G212" s="226">
        <v>2.0627</v>
      </c>
      <c r="H212" s="226">
        <v>2.0627</v>
      </c>
      <c r="I212" s="226">
        <v>1.8452999999999999</v>
      </c>
      <c r="J212" s="226">
        <v>1.8452999999999999</v>
      </c>
      <c r="K212" s="226">
        <v>1.8452999999999999</v>
      </c>
      <c r="L212" s="226">
        <v>1.8452999999999999</v>
      </c>
      <c r="M212" s="226">
        <v>1.8452999999999999</v>
      </c>
    </row>
    <row r="213" spans="1:13">
      <c r="A213" s="223">
        <v>0.7</v>
      </c>
      <c r="B213" s="226">
        <v>1.7388999999999999</v>
      </c>
      <c r="C213" s="226">
        <v>1.7388999999999999</v>
      </c>
      <c r="D213" s="226">
        <v>1.768</v>
      </c>
      <c r="E213" s="226">
        <v>1.768</v>
      </c>
      <c r="F213" s="226">
        <v>1.768</v>
      </c>
      <c r="G213" s="226">
        <v>1.768</v>
      </c>
      <c r="H213" s="226">
        <v>1.768</v>
      </c>
      <c r="I213" s="226">
        <v>1.5817000000000001</v>
      </c>
      <c r="J213" s="226">
        <v>1.5817000000000001</v>
      </c>
      <c r="K213" s="226">
        <v>1.5817000000000001</v>
      </c>
      <c r="L213" s="226">
        <v>1.5817000000000001</v>
      </c>
      <c r="M213" s="226">
        <v>1.5817000000000001</v>
      </c>
    </row>
    <row r="214" spans="1:13">
      <c r="A214" s="223">
        <v>0.8</v>
      </c>
      <c r="B214" s="226">
        <v>1.5215000000000001</v>
      </c>
      <c r="C214" s="226">
        <v>1.5215000000000001</v>
      </c>
      <c r="D214" s="226">
        <v>1.5469999999999999</v>
      </c>
      <c r="E214" s="226">
        <v>1.5469999999999999</v>
      </c>
      <c r="F214" s="226">
        <v>1.5469999999999999</v>
      </c>
      <c r="G214" s="226">
        <v>1.5469999999999999</v>
      </c>
      <c r="H214" s="226">
        <v>1.5469999999999999</v>
      </c>
      <c r="I214" s="226">
        <v>1.3839999999999999</v>
      </c>
      <c r="J214" s="226">
        <v>1.3839999999999999</v>
      </c>
      <c r="K214" s="226">
        <v>1.3839999999999999</v>
      </c>
      <c r="L214" s="226">
        <v>1.3839999999999999</v>
      </c>
      <c r="M214" s="226">
        <v>1.3839999999999999</v>
      </c>
    </row>
    <row r="215" spans="1:13">
      <c r="A215" s="223">
        <v>0.9</v>
      </c>
      <c r="B215" s="226">
        <v>1.3524</v>
      </c>
      <c r="C215" s="226">
        <v>1.3524</v>
      </c>
      <c r="D215" s="226">
        <v>1.3751</v>
      </c>
      <c r="E215" s="226">
        <v>1.3751</v>
      </c>
      <c r="F215" s="226">
        <v>1.3751</v>
      </c>
      <c r="G215" s="226">
        <v>1.3751</v>
      </c>
      <c r="H215" s="226">
        <v>1.3751</v>
      </c>
      <c r="I215" s="226">
        <v>1.2302</v>
      </c>
      <c r="J215" s="226">
        <v>1.2302</v>
      </c>
      <c r="K215" s="226">
        <v>1.2302</v>
      </c>
      <c r="L215" s="226">
        <v>1.2302</v>
      </c>
      <c r="M215" s="226">
        <v>1.2302</v>
      </c>
    </row>
    <row r="216" spans="1:13">
      <c r="A216" s="223">
        <v>1</v>
      </c>
      <c r="B216" s="226">
        <v>1.2172000000000001</v>
      </c>
      <c r="C216" s="226">
        <v>1.2172000000000001</v>
      </c>
      <c r="D216" s="226">
        <v>1.2376</v>
      </c>
      <c r="E216" s="226">
        <v>1.2376</v>
      </c>
      <c r="F216" s="226">
        <v>1.2376</v>
      </c>
      <c r="G216" s="226">
        <v>1.2376</v>
      </c>
      <c r="H216" s="226">
        <v>1.2376</v>
      </c>
      <c r="I216" s="226">
        <v>1.1072</v>
      </c>
      <c r="J216" s="226">
        <v>1.1072</v>
      </c>
      <c r="K216" s="226">
        <v>1.1072</v>
      </c>
      <c r="L216" s="226">
        <v>1.1072</v>
      </c>
      <c r="M216" s="226">
        <v>1.1072</v>
      </c>
    </row>
    <row r="217" spans="1:13">
      <c r="A217" s="223">
        <v>1.1000000000000001</v>
      </c>
      <c r="B217" s="226">
        <v>1.198</v>
      </c>
      <c r="C217" s="226">
        <v>1.198</v>
      </c>
      <c r="D217" s="226">
        <v>1.2156</v>
      </c>
      <c r="E217" s="226">
        <v>1.2156</v>
      </c>
      <c r="F217" s="226">
        <v>1.2156</v>
      </c>
      <c r="G217" s="226">
        <v>1.2156</v>
      </c>
      <c r="H217" s="226">
        <v>1.2156</v>
      </c>
      <c r="I217" s="226">
        <v>1.0829</v>
      </c>
      <c r="J217" s="226">
        <v>1.0829</v>
      </c>
      <c r="K217" s="226">
        <v>1.0829</v>
      </c>
      <c r="L217" s="226">
        <v>1.0829</v>
      </c>
      <c r="M217" s="226">
        <v>1.0829</v>
      </c>
    </row>
    <row r="218" spans="1:13">
      <c r="A218" s="223">
        <v>1.2</v>
      </c>
      <c r="B218" s="226">
        <v>1.1795</v>
      </c>
      <c r="C218" s="226">
        <v>1.1795</v>
      </c>
      <c r="D218" s="226">
        <v>1.1947000000000001</v>
      </c>
      <c r="E218" s="226">
        <v>1.1947000000000001</v>
      </c>
      <c r="F218" s="226">
        <v>1.1947000000000001</v>
      </c>
      <c r="G218" s="226">
        <v>1.1947000000000001</v>
      </c>
      <c r="H218" s="226">
        <v>1.1947000000000001</v>
      </c>
      <c r="I218" s="226">
        <v>1.0601</v>
      </c>
      <c r="J218" s="226">
        <v>1.0601</v>
      </c>
      <c r="K218" s="226">
        <v>1.0601</v>
      </c>
      <c r="L218" s="226">
        <v>1.0601</v>
      </c>
      <c r="M218" s="226">
        <v>1.0601</v>
      </c>
    </row>
    <row r="219" spans="1:13">
      <c r="A219" s="223">
        <v>1.3</v>
      </c>
      <c r="B219" s="226">
        <v>1.1617999999999999</v>
      </c>
      <c r="C219" s="226">
        <v>1.1617999999999999</v>
      </c>
      <c r="D219" s="226">
        <v>1.1748000000000001</v>
      </c>
      <c r="E219" s="226">
        <v>1.1748000000000001</v>
      </c>
      <c r="F219" s="226">
        <v>1.1748000000000001</v>
      </c>
      <c r="G219" s="226">
        <v>1.1748000000000001</v>
      </c>
      <c r="H219" s="226">
        <v>1.1748000000000001</v>
      </c>
      <c r="I219" s="226">
        <v>1.0387999999999999</v>
      </c>
      <c r="J219" s="226">
        <v>1.0387999999999999</v>
      </c>
      <c r="K219" s="226">
        <v>1.0387999999999999</v>
      </c>
      <c r="L219" s="226">
        <v>1.0387999999999999</v>
      </c>
      <c r="M219" s="226">
        <v>1.0387999999999999</v>
      </c>
    </row>
    <row r="220" spans="1:13">
      <c r="A220" s="223">
        <v>1.4</v>
      </c>
      <c r="B220" s="226">
        <v>1.1448</v>
      </c>
      <c r="C220" s="226">
        <v>1.1448</v>
      </c>
      <c r="D220" s="226">
        <v>1.1557999999999999</v>
      </c>
      <c r="E220" s="226">
        <v>1.1557999999999999</v>
      </c>
      <c r="F220" s="226">
        <v>1.1557999999999999</v>
      </c>
      <c r="G220" s="226">
        <v>1.1557999999999999</v>
      </c>
      <c r="H220" s="226">
        <v>1.1557999999999999</v>
      </c>
      <c r="I220" s="226">
        <v>1.0187999999999999</v>
      </c>
      <c r="J220" s="226">
        <v>1.0187999999999999</v>
      </c>
      <c r="K220" s="226">
        <v>1.0187999999999999</v>
      </c>
      <c r="L220" s="226">
        <v>1.0187999999999999</v>
      </c>
      <c r="M220" s="226">
        <v>1.0187999999999999</v>
      </c>
    </row>
    <row r="221" spans="1:13">
      <c r="A221" s="223">
        <v>1.5</v>
      </c>
      <c r="B221" s="226">
        <v>1.1285000000000001</v>
      </c>
      <c r="C221" s="226">
        <v>1.1285000000000001</v>
      </c>
      <c r="D221" s="226">
        <v>1.1377999999999999</v>
      </c>
      <c r="E221" s="226">
        <v>1.1377999999999999</v>
      </c>
      <c r="F221" s="226">
        <v>1.1377999999999999</v>
      </c>
      <c r="G221" s="226">
        <v>1.1377999999999999</v>
      </c>
      <c r="H221" s="226">
        <v>1.1377999999999999</v>
      </c>
      <c r="I221" s="226">
        <v>1</v>
      </c>
      <c r="J221" s="226">
        <v>1</v>
      </c>
      <c r="K221" s="226">
        <v>1</v>
      </c>
      <c r="L221" s="226">
        <v>1</v>
      </c>
      <c r="M221" s="226">
        <v>1</v>
      </c>
    </row>
    <row r="222" spans="1:13">
      <c r="A222" s="223">
        <v>1.6</v>
      </c>
      <c r="B222" s="226">
        <v>1.1129</v>
      </c>
      <c r="C222" s="226">
        <v>1.1129</v>
      </c>
      <c r="D222" s="226">
        <v>1.1206</v>
      </c>
      <c r="E222" s="226">
        <v>1.1206</v>
      </c>
      <c r="F222" s="226">
        <v>1.1206</v>
      </c>
      <c r="G222" s="226">
        <v>1.1206</v>
      </c>
      <c r="H222" s="226">
        <v>1.1206</v>
      </c>
      <c r="I222" s="226">
        <v>0.98240000000000005</v>
      </c>
      <c r="J222" s="226">
        <v>0.98240000000000005</v>
      </c>
      <c r="K222" s="226">
        <v>0.98240000000000005</v>
      </c>
      <c r="L222" s="226">
        <v>0.98240000000000005</v>
      </c>
      <c r="M222" s="226">
        <v>0.98240000000000005</v>
      </c>
    </row>
    <row r="223" spans="1:13">
      <c r="A223" s="223">
        <v>1.7</v>
      </c>
      <c r="B223" s="226">
        <v>1.0980000000000001</v>
      </c>
      <c r="C223" s="226">
        <v>1.0980000000000001</v>
      </c>
      <c r="D223" s="226">
        <v>1.1043000000000001</v>
      </c>
      <c r="E223" s="226">
        <v>1.1043000000000001</v>
      </c>
      <c r="F223" s="226">
        <v>1.1043000000000001</v>
      </c>
      <c r="G223" s="226">
        <v>1.1043000000000001</v>
      </c>
      <c r="H223" s="226">
        <v>1.1043000000000001</v>
      </c>
      <c r="I223" s="226">
        <v>0.96579999999999999</v>
      </c>
      <c r="J223" s="226">
        <v>0.96579999999999999</v>
      </c>
      <c r="K223" s="226">
        <v>0.96579999999999999</v>
      </c>
      <c r="L223" s="226">
        <v>0.96579999999999999</v>
      </c>
      <c r="M223" s="226">
        <v>0.96579999999999999</v>
      </c>
    </row>
    <row r="224" spans="1:13">
      <c r="A224" s="223">
        <v>1.8</v>
      </c>
      <c r="B224" s="226">
        <v>1.0835999999999999</v>
      </c>
      <c r="C224" s="226">
        <v>1.0835999999999999</v>
      </c>
      <c r="D224" s="226">
        <v>1.0888</v>
      </c>
      <c r="E224" s="226">
        <v>1.0888</v>
      </c>
      <c r="F224" s="226">
        <v>1.0888</v>
      </c>
      <c r="G224" s="226">
        <v>1.0888</v>
      </c>
      <c r="H224" s="226">
        <v>1.0888</v>
      </c>
      <c r="I224" s="226">
        <v>0.95030000000000003</v>
      </c>
      <c r="J224" s="226">
        <v>0.95030000000000003</v>
      </c>
      <c r="K224" s="226">
        <v>0.95030000000000003</v>
      </c>
      <c r="L224" s="226">
        <v>0.95030000000000003</v>
      </c>
      <c r="M224" s="226">
        <v>0.95030000000000003</v>
      </c>
    </row>
    <row r="225" spans="1:13">
      <c r="A225" s="223">
        <v>1.9</v>
      </c>
      <c r="B225" s="226">
        <v>1.0698000000000001</v>
      </c>
      <c r="C225" s="226">
        <v>1.0698000000000001</v>
      </c>
      <c r="D225" s="226">
        <v>1.0741000000000001</v>
      </c>
      <c r="E225" s="226">
        <v>1.0741000000000001</v>
      </c>
      <c r="F225" s="226">
        <v>1.0741000000000001</v>
      </c>
      <c r="G225" s="226">
        <v>1.0741000000000001</v>
      </c>
      <c r="H225" s="226">
        <v>1.0741000000000001</v>
      </c>
      <c r="I225" s="226">
        <v>0.93610000000000004</v>
      </c>
      <c r="J225" s="226">
        <v>0.93610000000000004</v>
      </c>
      <c r="K225" s="226">
        <v>0.93610000000000004</v>
      </c>
      <c r="L225" s="226">
        <v>0.93610000000000004</v>
      </c>
      <c r="M225" s="226">
        <v>0.93610000000000004</v>
      </c>
    </row>
    <row r="226" spans="1:13">
      <c r="A226" s="223">
        <v>2</v>
      </c>
      <c r="B226" s="226">
        <v>1.0568</v>
      </c>
      <c r="C226" s="226">
        <v>1.0568</v>
      </c>
      <c r="D226" s="226">
        <v>1.0601</v>
      </c>
      <c r="E226" s="226">
        <v>1.0601</v>
      </c>
      <c r="F226" s="226">
        <v>1.0601</v>
      </c>
      <c r="G226" s="226">
        <v>1.0601</v>
      </c>
      <c r="H226" s="226">
        <v>1.0601</v>
      </c>
      <c r="I226" s="226">
        <v>0.9224</v>
      </c>
      <c r="J226" s="226">
        <v>0.9224</v>
      </c>
      <c r="K226" s="226">
        <v>0.9224</v>
      </c>
      <c r="L226" s="226">
        <v>0.9224</v>
      </c>
      <c r="M226" s="226">
        <v>0.9224</v>
      </c>
    </row>
    <row r="227" spans="1:13">
      <c r="A227" s="227">
        <v>2.1</v>
      </c>
      <c r="B227" s="226">
        <v>1.0443</v>
      </c>
      <c r="C227" s="226">
        <v>1.0443</v>
      </c>
      <c r="D227" s="226">
        <v>1.0468</v>
      </c>
      <c r="E227" s="226">
        <v>1.0468</v>
      </c>
      <c r="F227" s="226">
        <v>1.0468</v>
      </c>
      <c r="G227" s="226">
        <v>1.0468</v>
      </c>
      <c r="H227" s="226">
        <v>1.0468</v>
      </c>
      <c r="I227" s="226">
        <v>0.90959999999999996</v>
      </c>
      <c r="J227" s="226">
        <v>0.90959999999999996</v>
      </c>
      <c r="K227" s="226">
        <v>0.90959999999999996</v>
      </c>
      <c r="L227" s="226">
        <v>0.90959999999999996</v>
      </c>
      <c r="M227" s="226">
        <v>0.90959999999999996</v>
      </c>
    </row>
    <row r="228" spans="1:13">
      <c r="A228" s="227">
        <v>2.2000000000000002</v>
      </c>
      <c r="B228" s="226">
        <v>1.0325</v>
      </c>
      <c r="C228" s="226">
        <v>1.0325</v>
      </c>
      <c r="D228" s="226">
        <v>1.0342</v>
      </c>
      <c r="E228" s="226">
        <v>1.0342</v>
      </c>
      <c r="F228" s="226">
        <v>1.0342</v>
      </c>
      <c r="G228" s="226">
        <v>1.0342</v>
      </c>
      <c r="H228" s="226">
        <v>1.0342</v>
      </c>
      <c r="I228" s="226">
        <v>0.89749999999999996</v>
      </c>
      <c r="J228" s="226">
        <v>0.89749999999999996</v>
      </c>
      <c r="K228" s="226">
        <v>0.89749999999999996</v>
      </c>
      <c r="L228" s="226">
        <v>0.89749999999999996</v>
      </c>
      <c r="M228" s="226">
        <v>0.89749999999999996</v>
      </c>
    </row>
    <row r="229" spans="1:13">
      <c r="A229" s="227">
        <v>2.2999999999999998</v>
      </c>
      <c r="B229" s="226">
        <v>1.0209999999999999</v>
      </c>
      <c r="C229" s="226">
        <v>1.0209999999999999</v>
      </c>
      <c r="D229" s="226">
        <v>1.0222</v>
      </c>
      <c r="E229" s="226">
        <v>1.0222</v>
      </c>
      <c r="F229" s="226">
        <v>1.0222</v>
      </c>
      <c r="G229" s="226">
        <v>1.0222</v>
      </c>
      <c r="H229" s="226">
        <v>1.0222</v>
      </c>
      <c r="I229" s="226">
        <v>0.88619999999999999</v>
      </c>
      <c r="J229" s="226">
        <v>0.88619999999999999</v>
      </c>
      <c r="K229" s="226">
        <v>0.88619999999999999</v>
      </c>
      <c r="L229" s="226">
        <v>0.88619999999999999</v>
      </c>
      <c r="M229" s="226">
        <v>0.88619999999999999</v>
      </c>
    </row>
    <row r="230" spans="1:13">
      <c r="A230" s="227">
        <v>2.4</v>
      </c>
      <c r="B230" s="226">
        <v>1.0102</v>
      </c>
      <c r="C230" s="226">
        <v>1.0102</v>
      </c>
      <c r="D230" s="226">
        <v>1.0107999999999999</v>
      </c>
      <c r="E230" s="226">
        <v>1.0107999999999999</v>
      </c>
      <c r="F230" s="226">
        <v>1.0107999999999999</v>
      </c>
      <c r="G230" s="226">
        <v>1.0107999999999999</v>
      </c>
      <c r="H230" s="226">
        <v>1.0107999999999999</v>
      </c>
      <c r="I230" s="226">
        <v>0.87529999999999997</v>
      </c>
      <c r="J230" s="226">
        <v>0.87529999999999997</v>
      </c>
      <c r="K230" s="226">
        <v>0.87529999999999997</v>
      </c>
      <c r="L230" s="226">
        <v>0.87529999999999997</v>
      </c>
      <c r="M230" s="226">
        <v>0.87529999999999997</v>
      </c>
    </row>
    <row r="231" spans="1:13">
      <c r="A231" s="227">
        <v>2.5</v>
      </c>
      <c r="B231" s="226">
        <v>1</v>
      </c>
      <c r="C231" s="226">
        <v>1</v>
      </c>
      <c r="D231" s="226">
        <v>1</v>
      </c>
      <c r="E231" s="226">
        <v>1</v>
      </c>
      <c r="F231" s="226">
        <v>1</v>
      </c>
      <c r="G231" s="226">
        <v>1</v>
      </c>
      <c r="H231" s="226">
        <v>1</v>
      </c>
      <c r="I231" s="226">
        <v>0.86509999999999998</v>
      </c>
      <c r="J231" s="226">
        <v>0.86509999999999998</v>
      </c>
      <c r="K231" s="226">
        <v>0.86509999999999998</v>
      </c>
      <c r="L231" s="226">
        <v>0.86509999999999998</v>
      </c>
      <c r="M231" s="226">
        <v>0.86509999999999998</v>
      </c>
    </row>
    <row r="232" spans="1:13">
      <c r="A232" s="227">
        <v>2.6</v>
      </c>
      <c r="B232" s="226">
        <v>0.99029999999999996</v>
      </c>
      <c r="C232" s="226">
        <v>0.99029999999999996</v>
      </c>
      <c r="D232" s="226">
        <v>0.98970000000000002</v>
      </c>
      <c r="E232" s="226">
        <v>0.98970000000000002</v>
      </c>
      <c r="F232" s="226">
        <v>0.98970000000000002</v>
      </c>
      <c r="G232" s="226">
        <v>0.98970000000000002</v>
      </c>
      <c r="H232" s="226">
        <v>0.98970000000000002</v>
      </c>
      <c r="I232" s="226">
        <v>0.85529999999999995</v>
      </c>
      <c r="J232" s="226">
        <v>0.85529999999999995</v>
      </c>
      <c r="K232" s="226">
        <v>0.85529999999999995</v>
      </c>
      <c r="L232" s="226">
        <v>0.85529999999999995</v>
      </c>
      <c r="M232" s="226">
        <v>0.85529999999999995</v>
      </c>
    </row>
    <row r="233" spans="1:13">
      <c r="A233" s="227">
        <v>2.7</v>
      </c>
      <c r="B233" s="226">
        <v>0.98109999999999997</v>
      </c>
      <c r="C233" s="226">
        <v>0.98109999999999997</v>
      </c>
      <c r="D233" s="226">
        <v>0.97989999999999999</v>
      </c>
      <c r="E233" s="226">
        <v>0.97989999999999999</v>
      </c>
      <c r="F233" s="226">
        <v>0.97989999999999999</v>
      </c>
      <c r="G233" s="226">
        <v>0.97989999999999999</v>
      </c>
      <c r="H233" s="226">
        <v>0.97989999999999999</v>
      </c>
      <c r="I233" s="226">
        <v>0.84599999999999997</v>
      </c>
      <c r="J233" s="226">
        <v>0.84599999999999997</v>
      </c>
      <c r="K233" s="226">
        <v>0.84599999999999997</v>
      </c>
      <c r="L233" s="226">
        <v>0.84599999999999997</v>
      </c>
      <c r="M233" s="226">
        <v>0.84599999999999997</v>
      </c>
    </row>
    <row r="234" spans="1:13">
      <c r="A234" s="227">
        <v>2.8</v>
      </c>
      <c r="B234" s="226">
        <v>0.97240000000000004</v>
      </c>
      <c r="C234" s="226">
        <v>0.97240000000000004</v>
      </c>
      <c r="D234" s="226">
        <v>0.97060000000000002</v>
      </c>
      <c r="E234" s="226">
        <v>0.97060000000000002</v>
      </c>
      <c r="F234" s="226">
        <v>0.97060000000000002</v>
      </c>
      <c r="G234" s="226">
        <v>0.97060000000000002</v>
      </c>
      <c r="H234" s="226">
        <v>0.97060000000000002</v>
      </c>
      <c r="I234" s="226">
        <v>0.83709999999999996</v>
      </c>
      <c r="J234" s="226">
        <v>0.83709999999999996</v>
      </c>
      <c r="K234" s="226">
        <v>0.83709999999999996</v>
      </c>
      <c r="L234" s="226">
        <v>0.83709999999999996</v>
      </c>
      <c r="M234" s="226">
        <v>0.83709999999999996</v>
      </c>
    </row>
    <row r="235" spans="1:13">
      <c r="A235" s="227">
        <v>2.9</v>
      </c>
      <c r="B235" s="226">
        <v>0.96419999999999995</v>
      </c>
      <c r="C235" s="226">
        <v>0.96419999999999995</v>
      </c>
      <c r="D235" s="226">
        <v>0.96179999999999999</v>
      </c>
      <c r="E235" s="226">
        <v>0.96179999999999999</v>
      </c>
      <c r="F235" s="226">
        <v>0.96179999999999999</v>
      </c>
      <c r="G235" s="226">
        <v>0.96179999999999999</v>
      </c>
      <c r="H235" s="226">
        <v>0.96179999999999999</v>
      </c>
      <c r="I235" s="226">
        <v>0.82850000000000001</v>
      </c>
      <c r="J235" s="226">
        <v>0.82850000000000001</v>
      </c>
      <c r="K235" s="226">
        <v>0.82850000000000001</v>
      </c>
      <c r="L235" s="226">
        <v>0.82850000000000001</v>
      </c>
      <c r="M235" s="226">
        <v>0.82850000000000001</v>
      </c>
    </row>
    <row r="236" spans="1:13">
      <c r="A236" s="227">
        <v>3</v>
      </c>
      <c r="B236" s="226">
        <v>0.95640000000000003</v>
      </c>
      <c r="C236" s="226">
        <v>0.95640000000000003</v>
      </c>
      <c r="D236" s="226">
        <v>0.95340000000000003</v>
      </c>
      <c r="E236" s="226">
        <v>0.95340000000000003</v>
      </c>
      <c r="F236" s="226">
        <v>0.95340000000000003</v>
      </c>
      <c r="G236" s="226">
        <v>0.95340000000000003</v>
      </c>
      <c r="H236" s="226">
        <v>0.95340000000000003</v>
      </c>
      <c r="I236" s="226">
        <v>0.82040000000000002</v>
      </c>
      <c r="J236" s="226">
        <v>0.82040000000000002</v>
      </c>
      <c r="K236" s="226">
        <v>0.82040000000000002</v>
      </c>
      <c r="L236" s="226">
        <v>0.82040000000000002</v>
      </c>
      <c r="M236" s="226">
        <v>0.82040000000000002</v>
      </c>
    </row>
    <row r="237" spans="1:13">
      <c r="A237" s="227">
        <v>3.1</v>
      </c>
      <c r="B237" s="226">
        <v>0.94899999999999995</v>
      </c>
      <c r="C237" s="226">
        <v>0.94899999999999995</v>
      </c>
      <c r="D237" s="226">
        <v>0.94550000000000001</v>
      </c>
      <c r="E237" s="226">
        <v>0.94550000000000001</v>
      </c>
      <c r="F237" s="226">
        <v>0.94550000000000001</v>
      </c>
      <c r="G237" s="226">
        <v>0.94550000000000001</v>
      </c>
      <c r="H237" s="226">
        <v>0.94550000000000001</v>
      </c>
      <c r="I237" s="226">
        <v>0.81259999999999999</v>
      </c>
      <c r="J237" s="226">
        <v>0.81259999999999999</v>
      </c>
      <c r="K237" s="226">
        <v>0.81259999999999999</v>
      </c>
      <c r="L237" s="226">
        <v>0.81259999999999999</v>
      </c>
      <c r="M237" s="226">
        <v>0.81259999999999999</v>
      </c>
    </row>
    <row r="238" spans="1:13">
      <c r="A238" s="227">
        <v>3.2</v>
      </c>
      <c r="B238" s="226">
        <v>0.94199999999999995</v>
      </c>
      <c r="C238" s="226">
        <v>0.94199999999999995</v>
      </c>
      <c r="D238" s="226">
        <v>0.93789999999999996</v>
      </c>
      <c r="E238" s="226">
        <v>0.93789999999999996</v>
      </c>
      <c r="F238" s="226">
        <v>0.93789999999999996</v>
      </c>
      <c r="G238" s="226">
        <v>0.93789999999999996</v>
      </c>
      <c r="H238" s="226">
        <v>0.93789999999999996</v>
      </c>
      <c r="I238" s="226">
        <v>0.80530000000000002</v>
      </c>
      <c r="J238" s="226">
        <v>0.80530000000000002</v>
      </c>
      <c r="K238" s="226">
        <v>0.80530000000000002</v>
      </c>
      <c r="L238" s="226">
        <v>0.80530000000000002</v>
      </c>
      <c r="M238" s="226">
        <v>0.80530000000000002</v>
      </c>
    </row>
    <row r="239" spans="1:13">
      <c r="A239" s="227">
        <v>3.3</v>
      </c>
      <c r="B239" s="226">
        <v>0.93540000000000001</v>
      </c>
      <c r="C239" s="226">
        <v>0.93540000000000001</v>
      </c>
      <c r="D239" s="226">
        <v>0.93069999999999997</v>
      </c>
      <c r="E239" s="226">
        <v>0.93069999999999997</v>
      </c>
      <c r="F239" s="226">
        <v>0.93069999999999997</v>
      </c>
      <c r="G239" s="226">
        <v>0.93069999999999997</v>
      </c>
      <c r="H239" s="226">
        <v>0.93069999999999997</v>
      </c>
      <c r="I239" s="226">
        <v>0.79820000000000002</v>
      </c>
      <c r="J239" s="226">
        <v>0.79820000000000002</v>
      </c>
      <c r="K239" s="226">
        <v>0.79820000000000002</v>
      </c>
      <c r="L239" s="226">
        <v>0.79820000000000002</v>
      </c>
      <c r="M239" s="226">
        <v>0.79820000000000002</v>
      </c>
    </row>
    <row r="240" spans="1:13">
      <c r="A240" s="227">
        <v>3.4</v>
      </c>
      <c r="B240" s="226">
        <v>0.92920000000000003</v>
      </c>
      <c r="C240" s="226">
        <v>0.92920000000000003</v>
      </c>
      <c r="D240" s="226">
        <v>0.92390000000000005</v>
      </c>
      <c r="E240" s="226">
        <v>0.92390000000000005</v>
      </c>
      <c r="F240" s="226">
        <v>0.92390000000000005</v>
      </c>
      <c r="G240" s="226">
        <v>0.92390000000000005</v>
      </c>
      <c r="H240" s="226">
        <v>0.92390000000000005</v>
      </c>
      <c r="I240" s="226">
        <v>0.79139999999999999</v>
      </c>
      <c r="J240" s="226">
        <v>0.79139999999999999</v>
      </c>
      <c r="K240" s="226">
        <v>0.79139999999999999</v>
      </c>
      <c r="L240" s="226">
        <v>0.79139999999999999</v>
      </c>
      <c r="M240" s="226">
        <v>0.79139999999999999</v>
      </c>
    </row>
    <row r="241" spans="1:13">
      <c r="A241" s="227">
        <v>3.5</v>
      </c>
      <c r="B241" s="226">
        <v>0.9234</v>
      </c>
      <c r="C241" s="226">
        <v>0.9234</v>
      </c>
      <c r="D241" s="226">
        <v>0.91749999999999998</v>
      </c>
      <c r="E241" s="226">
        <v>0.91749999999999998</v>
      </c>
      <c r="F241" s="226">
        <v>0.91749999999999998</v>
      </c>
      <c r="G241" s="226">
        <v>0.91749999999999998</v>
      </c>
      <c r="H241" s="226">
        <v>0.91749999999999998</v>
      </c>
      <c r="I241" s="226">
        <v>0.78490000000000004</v>
      </c>
      <c r="J241" s="226">
        <v>0.78490000000000004</v>
      </c>
      <c r="K241" s="226">
        <v>0.78490000000000004</v>
      </c>
      <c r="L241" s="226">
        <v>0.78490000000000004</v>
      </c>
      <c r="M241" s="226">
        <v>0.78490000000000004</v>
      </c>
    </row>
    <row r="242" spans="1:13">
      <c r="A242" s="227">
        <v>3.6</v>
      </c>
      <c r="B242" s="226">
        <v>0.91790000000000005</v>
      </c>
      <c r="C242" s="226">
        <v>0.91790000000000005</v>
      </c>
      <c r="D242" s="226">
        <v>0.91139999999999999</v>
      </c>
      <c r="E242" s="226">
        <v>0.91139999999999999</v>
      </c>
      <c r="F242" s="226">
        <v>0.91139999999999999</v>
      </c>
      <c r="G242" s="226">
        <v>0.91139999999999999</v>
      </c>
      <c r="H242" s="226">
        <v>0.91139999999999999</v>
      </c>
      <c r="I242" s="226">
        <v>0.77880000000000005</v>
      </c>
      <c r="J242" s="226">
        <v>0.77880000000000005</v>
      </c>
      <c r="K242" s="226">
        <v>0.77880000000000005</v>
      </c>
      <c r="L242" s="226">
        <v>0.77880000000000005</v>
      </c>
      <c r="M242" s="226">
        <v>0.77880000000000005</v>
      </c>
    </row>
    <row r="243" spans="1:13">
      <c r="A243" s="227">
        <v>3.7</v>
      </c>
      <c r="B243" s="226">
        <v>0.91269999999999996</v>
      </c>
      <c r="C243" s="226">
        <v>0.91269999999999996</v>
      </c>
      <c r="D243" s="226">
        <v>0.90559999999999996</v>
      </c>
      <c r="E243" s="226">
        <v>0.90559999999999996</v>
      </c>
      <c r="F243" s="226">
        <v>0.90559999999999996</v>
      </c>
      <c r="G243" s="226">
        <v>0.90559999999999996</v>
      </c>
      <c r="H243" s="226">
        <v>0.90559999999999996</v>
      </c>
      <c r="I243" s="226">
        <v>0.77300000000000002</v>
      </c>
      <c r="J243" s="226">
        <v>0.77300000000000002</v>
      </c>
      <c r="K243" s="226">
        <v>0.77300000000000002</v>
      </c>
      <c r="L243" s="226">
        <v>0.77300000000000002</v>
      </c>
      <c r="M243" s="226">
        <v>0.77300000000000002</v>
      </c>
    </row>
    <row r="244" spans="1:13">
      <c r="A244" s="227">
        <v>3.8</v>
      </c>
      <c r="B244" s="226">
        <v>0.90780000000000005</v>
      </c>
      <c r="C244" s="226">
        <v>0.90780000000000005</v>
      </c>
      <c r="D244" s="226">
        <v>0.90010000000000001</v>
      </c>
      <c r="E244" s="226">
        <v>0.90010000000000001</v>
      </c>
      <c r="F244" s="226">
        <v>0.90010000000000001</v>
      </c>
      <c r="G244" s="226">
        <v>0.90010000000000001</v>
      </c>
      <c r="H244" s="226">
        <v>0.90010000000000001</v>
      </c>
      <c r="I244" s="226">
        <v>0.76739999999999997</v>
      </c>
      <c r="J244" s="226">
        <v>0.76739999999999997</v>
      </c>
      <c r="K244" s="226">
        <v>0.76739999999999997</v>
      </c>
      <c r="L244" s="226">
        <v>0.76739999999999997</v>
      </c>
      <c r="M244" s="226">
        <v>0.76739999999999997</v>
      </c>
    </row>
    <row r="245" spans="1:13">
      <c r="A245" s="227">
        <v>3.9</v>
      </c>
      <c r="B245" s="226">
        <v>0.9032</v>
      </c>
      <c r="C245" s="226">
        <v>0.9032</v>
      </c>
      <c r="D245" s="226">
        <v>0.89490000000000003</v>
      </c>
      <c r="E245" s="226">
        <v>0.89490000000000003</v>
      </c>
      <c r="F245" s="226">
        <v>0.89490000000000003</v>
      </c>
      <c r="G245" s="226">
        <v>0.89490000000000003</v>
      </c>
      <c r="H245" s="226">
        <v>0.89490000000000003</v>
      </c>
      <c r="I245" s="226">
        <v>0.7621</v>
      </c>
      <c r="J245" s="226">
        <v>0.7621</v>
      </c>
      <c r="K245" s="226">
        <v>0.7621</v>
      </c>
      <c r="L245" s="226">
        <v>0.7621</v>
      </c>
      <c r="M245" s="226">
        <v>0.7621</v>
      </c>
    </row>
    <row r="246" spans="1:13">
      <c r="A246" s="227">
        <v>4</v>
      </c>
      <c r="B246" s="226">
        <v>0.89890000000000003</v>
      </c>
      <c r="C246" s="226">
        <v>0.89890000000000003</v>
      </c>
      <c r="D246" s="226">
        <v>0.89</v>
      </c>
      <c r="E246" s="226">
        <v>0.89</v>
      </c>
      <c r="F246" s="226">
        <v>0.89</v>
      </c>
      <c r="G246" s="226">
        <v>0.89</v>
      </c>
      <c r="H246" s="226">
        <v>0.89</v>
      </c>
      <c r="I246" s="226">
        <v>0.7571</v>
      </c>
      <c r="J246" s="226">
        <v>0.7571</v>
      </c>
      <c r="K246" s="226">
        <v>0.7571</v>
      </c>
      <c r="L246" s="226">
        <v>0.7571</v>
      </c>
      <c r="M246" s="226">
        <v>0.7571</v>
      </c>
    </row>
    <row r="247" spans="1:13">
      <c r="A247" s="227">
        <v>4.0999999999999996</v>
      </c>
      <c r="B247" s="226">
        <v>0.89480000000000004</v>
      </c>
      <c r="C247" s="226">
        <v>0.89480000000000004</v>
      </c>
      <c r="D247" s="226">
        <v>0.88539999999999996</v>
      </c>
      <c r="E247" s="226">
        <v>0.88539999999999996</v>
      </c>
      <c r="F247" s="226">
        <v>0.88539999999999996</v>
      </c>
      <c r="G247" s="226">
        <v>0.88539999999999996</v>
      </c>
      <c r="H247" s="226">
        <v>0.88539999999999996</v>
      </c>
      <c r="I247" s="226">
        <v>0.75229999999999997</v>
      </c>
      <c r="J247" s="226">
        <v>0.75229999999999997</v>
      </c>
      <c r="K247" s="226">
        <v>0.75229999999999997</v>
      </c>
      <c r="L247" s="226">
        <v>0.75229999999999997</v>
      </c>
      <c r="M247" s="226">
        <v>0.75229999999999997</v>
      </c>
    </row>
    <row r="248" spans="1:13">
      <c r="A248" s="227">
        <v>4.2</v>
      </c>
      <c r="B248" s="226">
        <v>0.89100000000000001</v>
      </c>
      <c r="C248" s="226">
        <v>0.89100000000000001</v>
      </c>
      <c r="D248" s="226">
        <v>0.88109999999999999</v>
      </c>
      <c r="E248" s="226">
        <v>0.88109999999999999</v>
      </c>
      <c r="F248" s="226">
        <v>0.88109999999999999</v>
      </c>
      <c r="G248" s="226">
        <v>0.88109999999999999</v>
      </c>
      <c r="H248" s="226">
        <v>0.88109999999999999</v>
      </c>
      <c r="I248" s="226">
        <v>0.74780000000000002</v>
      </c>
      <c r="J248" s="226">
        <v>0.74780000000000002</v>
      </c>
      <c r="K248" s="226">
        <v>0.74780000000000002</v>
      </c>
      <c r="L248" s="226">
        <v>0.74780000000000002</v>
      </c>
      <c r="M248" s="226">
        <v>0.74780000000000002</v>
      </c>
    </row>
    <row r="249" spans="1:13">
      <c r="A249" s="227">
        <v>4.3</v>
      </c>
      <c r="B249" s="226">
        <v>0.88739999999999997</v>
      </c>
      <c r="C249" s="226">
        <v>0.88739999999999997</v>
      </c>
      <c r="D249" s="226">
        <v>0.877</v>
      </c>
      <c r="E249" s="226">
        <v>0.877</v>
      </c>
      <c r="F249" s="226">
        <v>0.877</v>
      </c>
      <c r="G249" s="226">
        <v>0.877</v>
      </c>
      <c r="H249" s="226">
        <v>0.877</v>
      </c>
      <c r="I249" s="226">
        <v>0.74329999999999996</v>
      </c>
      <c r="J249" s="226">
        <v>0.74329999999999996</v>
      </c>
      <c r="K249" s="226">
        <v>0.74329999999999996</v>
      </c>
      <c r="L249" s="226">
        <v>0.74329999999999996</v>
      </c>
      <c r="M249" s="226">
        <v>0.74329999999999996</v>
      </c>
    </row>
    <row r="250" spans="1:13">
      <c r="A250" s="227">
        <v>4.4000000000000004</v>
      </c>
      <c r="B250" s="226">
        <v>0.88400000000000001</v>
      </c>
      <c r="C250" s="226">
        <v>0.88400000000000001</v>
      </c>
      <c r="D250" s="226">
        <v>0.87309999999999999</v>
      </c>
      <c r="E250" s="226">
        <v>0.87309999999999999</v>
      </c>
      <c r="F250" s="226">
        <v>0.87309999999999999</v>
      </c>
      <c r="G250" s="226">
        <v>0.87309999999999999</v>
      </c>
      <c r="H250" s="226">
        <v>0.87309999999999999</v>
      </c>
      <c r="I250" s="226">
        <v>0.73909999999999998</v>
      </c>
      <c r="J250" s="226">
        <v>0.73909999999999998</v>
      </c>
      <c r="K250" s="226">
        <v>0.73909999999999998</v>
      </c>
      <c r="L250" s="226">
        <v>0.73909999999999998</v>
      </c>
      <c r="M250" s="226">
        <v>0.73909999999999998</v>
      </c>
    </row>
    <row r="251" spans="1:13">
      <c r="A251" s="227">
        <v>4.5</v>
      </c>
      <c r="B251" s="226">
        <v>0.88080000000000003</v>
      </c>
      <c r="C251" s="226">
        <v>0.88080000000000003</v>
      </c>
      <c r="D251" s="226">
        <v>0.86939999999999995</v>
      </c>
      <c r="E251" s="226">
        <v>0.86939999999999995</v>
      </c>
      <c r="F251" s="226">
        <v>0.86939999999999995</v>
      </c>
      <c r="G251" s="226">
        <v>0.86939999999999995</v>
      </c>
      <c r="H251" s="226">
        <v>0.86939999999999995</v>
      </c>
      <c r="I251" s="226">
        <v>0.73499999999999999</v>
      </c>
      <c r="J251" s="226">
        <v>0.73499999999999999</v>
      </c>
      <c r="K251" s="226">
        <v>0.73499999999999999</v>
      </c>
      <c r="L251" s="226">
        <v>0.73499999999999999</v>
      </c>
      <c r="M251" s="226">
        <v>0.73499999999999999</v>
      </c>
    </row>
    <row r="252" spans="1:13">
      <c r="A252" s="227">
        <v>4.5999999999999996</v>
      </c>
      <c r="B252" s="226">
        <v>0.87780000000000002</v>
      </c>
      <c r="C252" s="226">
        <v>0.87780000000000002</v>
      </c>
      <c r="D252" s="226">
        <v>0.8659</v>
      </c>
      <c r="E252" s="226">
        <v>0.8659</v>
      </c>
      <c r="F252" s="226">
        <v>0.8659</v>
      </c>
      <c r="G252" s="226">
        <v>0.8659</v>
      </c>
      <c r="H252" s="226">
        <v>0.8659</v>
      </c>
      <c r="I252" s="226">
        <v>0.73109999999999997</v>
      </c>
      <c r="J252" s="226">
        <v>0.73109999999999997</v>
      </c>
      <c r="K252" s="226">
        <v>0.73109999999999997</v>
      </c>
      <c r="L252" s="226">
        <v>0.73109999999999997</v>
      </c>
      <c r="M252" s="226">
        <v>0.73109999999999997</v>
      </c>
    </row>
    <row r="253" spans="1:13">
      <c r="A253" s="227">
        <v>4.7</v>
      </c>
      <c r="B253" s="226">
        <v>0.875</v>
      </c>
      <c r="C253" s="226">
        <v>0.875</v>
      </c>
      <c r="D253" s="226">
        <v>0.86260000000000003</v>
      </c>
      <c r="E253" s="226">
        <v>0.86260000000000003</v>
      </c>
      <c r="F253" s="226">
        <v>0.86260000000000003</v>
      </c>
      <c r="G253" s="226">
        <v>0.86260000000000003</v>
      </c>
      <c r="H253" s="226">
        <v>0.86260000000000003</v>
      </c>
      <c r="I253" s="226">
        <v>0.72750000000000004</v>
      </c>
      <c r="J253" s="226">
        <v>0.72750000000000004</v>
      </c>
      <c r="K253" s="226">
        <v>0.72750000000000004</v>
      </c>
      <c r="L253" s="226">
        <v>0.72750000000000004</v>
      </c>
      <c r="M253" s="226">
        <v>0.72750000000000004</v>
      </c>
    </row>
    <row r="254" spans="1:13">
      <c r="A254" s="227">
        <v>4.8</v>
      </c>
      <c r="B254" s="226">
        <v>0.87229999999999996</v>
      </c>
      <c r="C254" s="226">
        <v>0.87229999999999996</v>
      </c>
      <c r="D254" s="226">
        <v>0.85950000000000004</v>
      </c>
      <c r="E254" s="226">
        <v>0.85950000000000004</v>
      </c>
      <c r="F254" s="226">
        <v>0.85950000000000004</v>
      </c>
      <c r="G254" s="226">
        <v>0.85950000000000004</v>
      </c>
      <c r="H254" s="226">
        <v>0.85950000000000004</v>
      </c>
      <c r="I254" s="226">
        <v>0.72399999999999998</v>
      </c>
      <c r="J254" s="226">
        <v>0.72399999999999998</v>
      </c>
      <c r="K254" s="226">
        <v>0.72399999999999998</v>
      </c>
      <c r="L254" s="226">
        <v>0.72399999999999998</v>
      </c>
      <c r="M254" s="226">
        <v>0.72399999999999998</v>
      </c>
    </row>
    <row r="255" spans="1:13">
      <c r="A255" s="227">
        <v>4.9000000000000004</v>
      </c>
      <c r="B255" s="226">
        <v>0.86980000000000002</v>
      </c>
      <c r="C255" s="226">
        <v>0.86980000000000002</v>
      </c>
      <c r="D255" s="226">
        <v>0.85660000000000003</v>
      </c>
      <c r="E255" s="226">
        <v>0.85660000000000003</v>
      </c>
      <c r="F255" s="226">
        <v>0.85660000000000003</v>
      </c>
      <c r="G255" s="226">
        <v>0.85660000000000003</v>
      </c>
      <c r="H255" s="226">
        <v>0.85660000000000003</v>
      </c>
      <c r="I255" s="226">
        <v>0.7208</v>
      </c>
      <c r="J255" s="226">
        <v>0.7208</v>
      </c>
      <c r="K255" s="226">
        <v>0.7208</v>
      </c>
      <c r="L255" s="226">
        <v>0.7208</v>
      </c>
      <c r="M255" s="226">
        <v>0.7208</v>
      </c>
    </row>
    <row r="256" spans="1:13">
      <c r="A256" s="227">
        <v>5</v>
      </c>
      <c r="B256" s="226">
        <v>0.86739999999999995</v>
      </c>
      <c r="C256" s="226">
        <v>0.86739999999999995</v>
      </c>
      <c r="D256" s="226">
        <v>0.8538</v>
      </c>
      <c r="E256" s="226">
        <v>0.8538</v>
      </c>
      <c r="F256" s="226">
        <v>0.8538</v>
      </c>
      <c r="G256" s="226">
        <v>0.8538</v>
      </c>
      <c r="H256" s="226">
        <v>0.8538</v>
      </c>
      <c r="I256" s="226">
        <v>0.71760000000000002</v>
      </c>
      <c r="J256" s="226">
        <v>0.71760000000000002</v>
      </c>
      <c r="K256" s="226">
        <v>0.71760000000000002</v>
      </c>
      <c r="L256" s="226">
        <v>0.71760000000000002</v>
      </c>
      <c r="M256" s="226">
        <v>0.71760000000000002</v>
      </c>
    </row>
    <row r="257" spans="1:13">
      <c r="A257" s="223">
        <v>5.0999999999999996</v>
      </c>
      <c r="B257" s="226">
        <v>0.86519999999999997</v>
      </c>
      <c r="C257" s="226">
        <v>0.86519999999999997</v>
      </c>
      <c r="D257" s="226">
        <v>0.85109999999999997</v>
      </c>
      <c r="E257" s="226">
        <v>0.85109999999999997</v>
      </c>
      <c r="F257" s="226">
        <v>0.85109999999999997</v>
      </c>
      <c r="G257" s="226">
        <v>0.85109999999999997</v>
      </c>
      <c r="H257" s="226">
        <v>0.85109999999999997</v>
      </c>
      <c r="I257" s="226">
        <v>0.7147</v>
      </c>
      <c r="J257" s="226">
        <v>0.7147</v>
      </c>
      <c r="K257" s="226">
        <v>0.7147</v>
      </c>
      <c r="L257" s="226">
        <v>0.7147</v>
      </c>
      <c r="M257" s="226">
        <v>0.7147</v>
      </c>
    </row>
    <row r="258" spans="1:13">
      <c r="A258" s="223">
        <v>5.2</v>
      </c>
      <c r="B258" s="226">
        <v>0.86309999999999998</v>
      </c>
      <c r="C258" s="226">
        <v>0.86309999999999998</v>
      </c>
      <c r="D258" s="226">
        <v>0.84860000000000002</v>
      </c>
      <c r="E258" s="226">
        <v>0.84860000000000002</v>
      </c>
      <c r="F258" s="226">
        <v>0.84860000000000002</v>
      </c>
      <c r="G258" s="226">
        <v>0.84860000000000002</v>
      </c>
      <c r="H258" s="226">
        <v>0.84860000000000002</v>
      </c>
      <c r="I258" s="226">
        <v>0.71189999999999998</v>
      </c>
      <c r="J258" s="226">
        <v>0.71189999999999998</v>
      </c>
      <c r="K258" s="226">
        <v>0.71189999999999998</v>
      </c>
      <c r="L258" s="226">
        <v>0.71189999999999998</v>
      </c>
      <c r="M258" s="226">
        <v>0.71189999999999998</v>
      </c>
    </row>
    <row r="259" spans="1:13">
      <c r="A259" s="223">
        <v>5.3</v>
      </c>
      <c r="B259" s="226">
        <v>0.86119999999999997</v>
      </c>
      <c r="C259" s="226">
        <v>0.86119999999999997</v>
      </c>
      <c r="D259" s="226">
        <v>0.84619999999999995</v>
      </c>
      <c r="E259" s="226">
        <v>0.84619999999999995</v>
      </c>
      <c r="F259" s="226">
        <v>0.84619999999999995</v>
      </c>
      <c r="G259" s="226">
        <v>0.84619999999999995</v>
      </c>
      <c r="H259" s="226">
        <v>0.84619999999999995</v>
      </c>
      <c r="I259" s="226">
        <v>0.70909999999999995</v>
      </c>
      <c r="J259" s="226">
        <v>0.70909999999999995</v>
      </c>
      <c r="K259" s="226">
        <v>0.70909999999999995</v>
      </c>
      <c r="L259" s="226">
        <v>0.70909999999999995</v>
      </c>
      <c r="M259" s="226">
        <v>0.70909999999999995</v>
      </c>
    </row>
    <row r="260" spans="1:13">
      <c r="A260" s="223">
        <v>5.4</v>
      </c>
      <c r="B260" s="226">
        <v>0.85940000000000005</v>
      </c>
      <c r="C260" s="226">
        <v>0.85940000000000005</v>
      </c>
      <c r="D260" s="226">
        <v>0.84389999999999998</v>
      </c>
      <c r="E260" s="226">
        <v>0.84389999999999998</v>
      </c>
      <c r="F260" s="226">
        <v>0.84389999999999998</v>
      </c>
      <c r="G260" s="226">
        <v>0.84389999999999998</v>
      </c>
      <c r="H260" s="226">
        <v>0.84389999999999998</v>
      </c>
      <c r="I260" s="226">
        <v>0.70650000000000002</v>
      </c>
      <c r="J260" s="226">
        <v>0.70650000000000002</v>
      </c>
      <c r="K260" s="226">
        <v>0.70650000000000002</v>
      </c>
      <c r="L260" s="226">
        <v>0.70650000000000002</v>
      </c>
      <c r="M260" s="226">
        <v>0.70650000000000002</v>
      </c>
    </row>
    <row r="261" spans="1:13">
      <c r="A261" s="223">
        <v>5.5</v>
      </c>
      <c r="B261" s="226">
        <v>0.85770000000000002</v>
      </c>
      <c r="C261" s="226">
        <v>0.85770000000000002</v>
      </c>
      <c r="D261" s="226">
        <v>0.84179999999999999</v>
      </c>
      <c r="E261" s="226">
        <v>0.84179999999999999</v>
      </c>
      <c r="F261" s="226">
        <v>0.84179999999999999</v>
      </c>
      <c r="G261" s="226">
        <v>0.84179999999999999</v>
      </c>
      <c r="H261" s="226">
        <v>0.84179999999999999</v>
      </c>
      <c r="I261" s="226">
        <v>0.70399999999999996</v>
      </c>
      <c r="J261" s="226">
        <v>0.70399999999999996</v>
      </c>
      <c r="K261" s="226">
        <v>0.70399999999999996</v>
      </c>
      <c r="L261" s="226">
        <v>0.70399999999999996</v>
      </c>
      <c r="M261" s="226">
        <v>0.70399999999999996</v>
      </c>
    </row>
    <row r="262" spans="1:13">
      <c r="A262" s="223">
        <v>5.6</v>
      </c>
      <c r="B262" s="226">
        <v>0.85599999999999998</v>
      </c>
      <c r="C262" s="226">
        <v>0.85599999999999998</v>
      </c>
      <c r="D262" s="226">
        <v>0.83979999999999999</v>
      </c>
      <c r="E262" s="226">
        <v>0.83979999999999999</v>
      </c>
      <c r="F262" s="226">
        <v>0.83979999999999999</v>
      </c>
      <c r="G262" s="226">
        <v>0.83979999999999999</v>
      </c>
      <c r="H262" s="226">
        <v>0.83979999999999999</v>
      </c>
      <c r="I262" s="226">
        <v>0.7016</v>
      </c>
      <c r="J262" s="226">
        <v>0.7016</v>
      </c>
      <c r="K262" s="226">
        <v>0.7016</v>
      </c>
      <c r="L262" s="226">
        <v>0.7016</v>
      </c>
      <c r="M262" s="226">
        <v>0.7016</v>
      </c>
    </row>
    <row r="263" spans="1:13">
      <c r="A263" s="227">
        <v>5.7</v>
      </c>
      <c r="B263" s="226">
        <v>0.85440000000000005</v>
      </c>
      <c r="C263" s="226">
        <v>0.85440000000000005</v>
      </c>
      <c r="D263" s="226">
        <v>0.83789999999999998</v>
      </c>
      <c r="E263" s="226">
        <v>0.83789999999999998</v>
      </c>
      <c r="F263" s="226">
        <v>0.83789999999999998</v>
      </c>
      <c r="G263" s="226">
        <v>0.83789999999999998</v>
      </c>
      <c r="H263" s="226">
        <v>0.83789999999999998</v>
      </c>
      <c r="I263" s="226">
        <v>0.69940000000000002</v>
      </c>
      <c r="J263" s="226">
        <v>0.69940000000000002</v>
      </c>
      <c r="K263" s="226">
        <v>0.69940000000000002</v>
      </c>
      <c r="L263" s="226">
        <v>0.69940000000000002</v>
      </c>
      <c r="M263" s="226">
        <v>0.69940000000000002</v>
      </c>
    </row>
    <row r="264" spans="1:13">
      <c r="A264" s="223">
        <v>5.8</v>
      </c>
      <c r="B264" s="226">
        <v>0.85289999999999999</v>
      </c>
      <c r="C264" s="226">
        <v>0.85289999999999999</v>
      </c>
      <c r="D264" s="226">
        <v>0.83599999999999997</v>
      </c>
      <c r="E264" s="226">
        <v>0.83599999999999997</v>
      </c>
      <c r="F264" s="226">
        <v>0.83599999999999997</v>
      </c>
      <c r="G264" s="226">
        <v>0.83599999999999997</v>
      </c>
      <c r="H264" s="226">
        <v>0.83599999999999997</v>
      </c>
      <c r="I264" s="226">
        <v>0.69720000000000004</v>
      </c>
      <c r="J264" s="226">
        <v>0.69720000000000004</v>
      </c>
      <c r="K264" s="226">
        <v>0.69720000000000004</v>
      </c>
      <c r="L264" s="226">
        <v>0.69720000000000004</v>
      </c>
      <c r="M264" s="226">
        <v>0.69720000000000004</v>
      </c>
    </row>
    <row r="265" spans="1:13">
      <c r="A265" s="223">
        <v>5.9</v>
      </c>
      <c r="B265" s="226">
        <v>0.85150000000000003</v>
      </c>
      <c r="C265" s="226">
        <v>0.85150000000000003</v>
      </c>
      <c r="D265" s="226">
        <v>0.83430000000000004</v>
      </c>
      <c r="E265" s="226">
        <v>0.83430000000000004</v>
      </c>
      <c r="F265" s="226">
        <v>0.83430000000000004</v>
      </c>
      <c r="G265" s="226">
        <v>0.83430000000000004</v>
      </c>
      <c r="H265" s="226">
        <v>0.83430000000000004</v>
      </c>
      <c r="I265" s="226">
        <v>0.69520000000000004</v>
      </c>
      <c r="J265" s="226">
        <v>0.69520000000000004</v>
      </c>
      <c r="K265" s="226">
        <v>0.69520000000000004</v>
      </c>
      <c r="L265" s="226">
        <v>0.69520000000000004</v>
      </c>
      <c r="M265" s="226">
        <v>0.69520000000000004</v>
      </c>
    </row>
    <row r="266" spans="1:13">
      <c r="A266" s="223">
        <v>6</v>
      </c>
      <c r="B266" s="226">
        <v>0.85019999999999996</v>
      </c>
      <c r="C266" s="226">
        <v>0.85019999999999996</v>
      </c>
      <c r="D266" s="226">
        <v>0.8327</v>
      </c>
      <c r="E266" s="226">
        <v>0.8327</v>
      </c>
      <c r="F266" s="226">
        <v>0.8327</v>
      </c>
      <c r="G266" s="226">
        <v>0.8327</v>
      </c>
      <c r="H266" s="226">
        <v>0.8327</v>
      </c>
      <c r="I266" s="226">
        <v>0.69320000000000004</v>
      </c>
      <c r="J266" s="226">
        <v>0.69320000000000004</v>
      </c>
      <c r="K266" s="226">
        <v>0.69320000000000004</v>
      </c>
      <c r="L266" s="226">
        <v>0.69320000000000004</v>
      </c>
      <c r="M266" s="226">
        <v>0.69320000000000004</v>
      </c>
    </row>
    <row r="267" spans="1:13">
      <c r="A267" s="223">
        <v>6.1</v>
      </c>
      <c r="B267" s="226">
        <v>0.84899999999999998</v>
      </c>
      <c r="C267" s="226">
        <v>0.84899999999999998</v>
      </c>
      <c r="D267" s="226">
        <v>0.83109999999999995</v>
      </c>
      <c r="E267" s="226">
        <v>0.83109999999999995</v>
      </c>
      <c r="F267" s="226">
        <v>0.83109999999999995</v>
      </c>
      <c r="G267" s="226">
        <v>0.83109999999999995</v>
      </c>
      <c r="H267" s="226">
        <v>0.83109999999999995</v>
      </c>
      <c r="I267" s="226">
        <v>0.69130000000000003</v>
      </c>
      <c r="J267" s="226">
        <v>0.69130000000000003</v>
      </c>
      <c r="K267" s="226">
        <v>0.69130000000000003</v>
      </c>
      <c r="L267" s="226">
        <v>0.69130000000000003</v>
      </c>
      <c r="M267" s="226">
        <v>0.69130000000000003</v>
      </c>
    </row>
    <row r="268" spans="1:13">
      <c r="A268" s="223">
        <v>6.2</v>
      </c>
      <c r="B268" s="226">
        <v>0.8478</v>
      </c>
      <c r="C268" s="226">
        <v>0.8478</v>
      </c>
      <c r="D268" s="226">
        <v>0.8296</v>
      </c>
      <c r="E268" s="226">
        <v>0.8296</v>
      </c>
      <c r="F268" s="226">
        <v>0.8296</v>
      </c>
      <c r="G268" s="226">
        <v>0.8296</v>
      </c>
      <c r="H268" s="226">
        <v>0.8296</v>
      </c>
      <c r="I268" s="226">
        <v>0.68940000000000001</v>
      </c>
      <c r="J268" s="226">
        <v>0.68940000000000001</v>
      </c>
      <c r="K268" s="226">
        <v>0.68940000000000001</v>
      </c>
      <c r="L268" s="226">
        <v>0.68940000000000001</v>
      </c>
      <c r="M268" s="226">
        <v>0.68940000000000001</v>
      </c>
    </row>
    <row r="269" spans="1:13">
      <c r="A269" s="223">
        <v>6.3</v>
      </c>
      <c r="B269" s="226">
        <v>0.84670000000000001</v>
      </c>
      <c r="C269" s="226">
        <v>0.84670000000000001</v>
      </c>
      <c r="D269" s="226">
        <v>0.82820000000000005</v>
      </c>
      <c r="E269" s="226">
        <v>0.82820000000000005</v>
      </c>
      <c r="F269" s="226">
        <v>0.82820000000000005</v>
      </c>
      <c r="G269" s="226">
        <v>0.82820000000000005</v>
      </c>
      <c r="H269" s="226">
        <v>0.82820000000000005</v>
      </c>
      <c r="I269" s="226">
        <v>0.68769999999999998</v>
      </c>
      <c r="J269" s="226">
        <v>0.68769999999999998</v>
      </c>
      <c r="K269" s="226">
        <v>0.68769999999999998</v>
      </c>
      <c r="L269" s="226">
        <v>0.68769999999999998</v>
      </c>
      <c r="M269" s="226">
        <v>0.68769999999999998</v>
      </c>
    </row>
    <row r="270" spans="1:13">
      <c r="A270" s="223">
        <v>6.4</v>
      </c>
      <c r="B270" s="226">
        <v>0.84570000000000001</v>
      </c>
      <c r="C270" s="226">
        <v>0.84570000000000001</v>
      </c>
      <c r="D270" s="226">
        <v>0.82689999999999997</v>
      </c>
      <c r="E270" s="226">
        <v>0.82689999999999997</v>
      </c>
      <c r="F270" s="226">
        <v>0.82689999999999997</v>
      </c>
      <c r="G270" s="226">
        <v>0.82689999999999997</v>
      </c>
      <c r="H270" s="226">
        <v>0.82689999999999997</v>
      </c>
      <c r="I270" s="226">
        <v>0.68610000000000004</v>
      </c>
      <c r="J270" s="226">
        <v>0.68610000000000004</v>
      </c>
      <c r="K270" s="226">
        <v>0.68610000000000004</v>
      </c>
      <c r="L270" s="226">
        <v>0.68610000000000004</v>
      </c>
      <c r="M270" s="226">
        <v>0.68610000000000004</v>
      </c>
    </row>
    <row r="271" spans="1:13">
      <c r="A271" s="223">
        <v>6.5</v>
      </c>
      <c r="B271" s="226">
        <v>0.84470000000000001</v>
      </c>
      <c r="C271" s="226">
        <v>0.84470000000000001</v>
      </c>
      <c r="D271" s="226">
        <v>0.82569999999999999</v>
      </c>
      <c r="E271" s="226">
        <v>0.82569999999999999</v>
      </c>
      <c r="F271" s="226">
        <v>0.82569999999999999</v>
      </c>
      <c r="G271" s="226">
        <v>0.82569999999999999</v>
      </c>
      <c r="H271" s="226">
        <v>0.82569999999999999</v>
      </c>
      <c r="I271" s="226">
        <v>0.68440000000000001</v>
      </c>
      <c r="J271" s="226">
        <v>0.68440000000000001</v>
      </c>
      <c r="K271" s="226">
        <v>0.68440000000000001</v>
      </c>
      <c r="L271" s="226">
        <v>0.68440000000000001</v>
      </c>
      <c r="M271" s="226">
        <v>0.68440000000000001</v>
      </c>
    </row>
    <row r="272" spans="1:13">
      <c r="A272" s="223">
        <v>6.6</v>
      </c>
      <c r="B272" s="226">
        <v>0.84370000000000001</v>
      </c>
      <c r="C272" s="226">
        <v>0.84370000000000001</v>
      </c>
      <c r="D272" s="226">
        <v>0.82450000000000001</v>
      </c>
      <c r="E272" s="226">
        <v>0.82450000000000001</v>
      </c>
      <c r="F272" s="226">
        <v>0.82450000000000001</v>
      </c>
      <c r="G272" s="226">
        <v>0.82450000000000001</v>
      </c>
      <c r="H272" s="226">
        <v>0.82450000000000001</v>
      </c>
      <c r="I272" s="226">
        <v>0.68289999999999995</v>
      </c>
      <c r="J272" s="226">
        <v>0.68289999999999995</v>
      </c>
      <c r="K272" s="226">
        <v>0.68289999999999995</v>
      </c>
      <c r="L272" s="226">
        <v>0.68289999999999995</v>
      </c>
      <c r="M272" s="226">
        <v>0.68289999999999995</v>
      </c>
    </row>
    <row r="273" spans="1:13">
      <c r="A273" s="223">
        <v>6.7</v>
      </c>
      <c r="B273" s="226">
        <v>0.8427</v>
      </c>
      <c r="C273" s="226">
        <v>0.8427</v>
      </c>
      <c r="D273" s="226">
        <v>0.82330000000000003</v>
      </c>
      <c r="E273" s="226">
        <v>0.82330000000000003</v>
      </c>
      <c r="F273" s="226">
        <v>0.82330000000000003</v>
      </c>
      <c r="G273" s="226">
        <v>0.82330000000000003</v>
      </c>
      <c r="H273" s="226">
        <v>0.82330000000000003</v>
      </c>
      <c r="I273" s="226">
        <v>0.68130000000000002</v>
      </c>
      <c r="J273" s="226">
        <v>0.68130000000000002</v>
      </c>
      <c r="K273" s="226">
        <v>0.68130000000000002</v>
      </c>
      <c r="L273" s="226">
        <v>0.68130000000000002</v>
      </c>
      <c r="M273" s="226">
        <v>0.68130000000000002</v>
      </c>
    </row>
    <row r="274" spans="1:13">
      <c r="A274" s="223">
        <v>6.8</v>
      </c>
      <c r="B274" s="226">
        <v>0.84179999999999999</v>
      </c>
      <c r="C274" s="226">
        <v>0.84179999999999999</v>
      </c>
      <c r="D274" s="226">
        <v>0.82210000000000005</v>
      </c>
      <c r="E274" s="226">
        <v>0.82210000000000005</v>
      </c>
      <c r="F274" s="226">
        <v>0.82210000000000005</v>
      </c>
      <c r="G274" s="226">
        <v>0.82210000000000005</v>
      </c>
      <c r="H274" s="226">
        <v>0.82210000000000005</v>
      </c>
      <c r="I274" s="226">
        <v>0.67979999999999996</v>
      </c>
      <c r="J274" s="226">
        <v>0.67979999999999996</v>
      </c>
      <c r="K274" s="226">
        <v>0.67979999999999996</v>
      </c>
      <c r="L274" s="226">
        <v>0.67979999999999996</v>
      </c>
      <c r="M274" s="226">
        <v>0.67979999999999996</v>
      </c>
    </row>
    <row r="275" spans="1:13">
      <c r="A275" s="223">
        <v>6.9</v>
      </c>
      <c r="B275" s="226">
        <v>0.84089999999999998</v>
      </c>
      <c r="C275" s="226">
        <v>0.84089999999999998</v>
      </c>
      <c r="D275" s="226">
        <v>0.82099999999999995</v>
      </c>
      <c r="E275" s="226">
        <v>0.82099999999999995</v>
      </c>
      <c r="F275" s="226">
        <v>0.82099999999999995</v>
      </c>
      <c r="G275" s="226">
        <v>0.82099999999999995</v>
      </c>
      <c r="H275" s="226">
        <v>0.82099999999999995</v>
      </c>
      <c r="I275" s="226">
        <v>0.67849999999999999</v>
      </c>
      <c r="J275" s="226">
        <v>0.67849999999999999</v>
      </c>
      <c r="K275" s="226">
        <v>0.67849999999999999</v>
      </c>
      <c r="L275" s="226">
        <v>0.67849999999999999</v>
      </c>
      <c r="M275" s="226">
        <v>0.67849999999999999</v>
      </c>
    </row>
    <row r="276" spans="1:13">
      <c r="A276" s="223">
        <v>7</v>
      </c>
      <c r="B276" s="226">
        <v>0.84009999999999996</v>
      </c>
      <c r="C276" s="226">
        <v>0.84009999999999996</v>
      </c>
      <c r="D276" s="226">
        <v>0.81989999999999996</v>
      </c>
      <c r="E276" s="226">
        <v>0.81989999999999996</v>
      </c>
      <c r="F276" s="226">
        <v>0.81989999999999996</v>
      </c>
      <c r="G276" s="226">
        <v>0.81989999999999996</v>
      </c>
      <c r="H276" s="226">
        <v>0.81989999999999996</v>
      </c>
      <c r="I276" s="226">
        <v>0.67720000000000002</v>
      </c>
      <c r="J276" s="226">
        <v>0.67720000000000002</v>
      </c>
      <c r="K276" s="226">
        <v>0.67720000000000002</v>
      </c>
      <c r="L276" s="226">
        <v>0.67720000000000002</v>
      </c>
      <c r="M276" s="226">
        <v>0.67720000000000002</v>
      </c>
    </row>
    <row r="277" spans="1:13">
      <c r="A277" s="223">
        <v>7.1</v>
      </c>
      <c r="B277" s="226">
        <v>0.83930000000000005</v>
      </c>
      <c r="C277" s="226">
        <v>0.83930000000000005</v>
      </c>
      <c r="D277" s="226">
        <v>0.81889999999999996</v>
      </c>
      <c r="E277" s="226">
        <v>0.81889999999999996</v>
      </c>
      <c r="F277" s="226">
        <v>0.81889999999999996</v>
      </c>
      <c r="G277" s="226">
        <v>0.81889999999999996</v>
      </c>
      <c r="H277" s="226">
        <v>0.81889999999999996</v>
      </c>
      <c r="I277" s="226">
        <v>0.67589999999999995</v>
      </c>
      <c r="J277" s="226">
        <v>0.67589999999999995</v>
      </c>
      <c r="K277" s="226">
        <v>0.67589999999999995</v>
      </c>
      <c r="L277" s="226">
        <v>0.67589999999999995</v>
      </c>
      <c r="M277" s="226">
        <v>0.67589999999999995</v>
      </c>
    </row>
    <row r="278" spans="1:13">
      <c r="A278" s="223">
        <v>7.2</v>
      </c>
      <c r="B278" s="226">
        <v>0.83850000000000002</v>
      </c>
      <c r="C278" s="226">
        <v>0.83850000000000002</v>
      </c>
      <c r="D278" s="226">
        <v>0.81789999999999996</v>
      </c>
      <c r="E278" s="226">
        <v>0.81789999999999996</v>
      </c>
      <c r="F278" s="226">
        <v>0.81789999999999996</v>
      </c>
      <c r="G278" s="226">
        <v>0.81789999999999996</v>
      </c>
      <c r="H278" s="226">
        <v>0.81789999999999996</v>
      </c>
      <c r="I278" s="226">
        <v>0.67459999999999998</v>
      </c>
      <c r="J278" s="226">
        <v>0.67459999999999998</v>
      </c>
      <c r="K278" s="226">
        <v>0.67459999999999998</v>
      </c>
      <c r="L278" s="226">
        <v>0.67459999999999998</v>
      </c>
      <c r="M278" s="226">
        <v>0.67459999999999998</v>
      </c>
    </row>
    <row r="279" spans="1:13">
      <c r="A279" s="223">
        <v>7.3</v>
      </c>
      <c r="B279" s="226">
        <v>0.8377</v>
      </c>
      <c r="C279" s="226">
        <v>0.8377</v>
      </c>
      <c r="D279" s="226">
        <v>0.81689999999999996</v>
      </c>
      <c r="E279" s="226">
        <v>0.81689999999999996</v>
      </c>
      <c r="F279" s="226">
        <v>0.81689999999999996</v>
      </c>
      <c r="G279" s="226">
        <v>0.81689999999999996</v>
      </c>
      <c r="H279" s="226">
        <v>0.81689999999999996</v>
      </c>
      <c r="I279" s="226">
        <v>0.6734</v>
      </c>
      <c r="J279" s="226">
        <v>0.6734</v>
      </c>
      <c r="K279" s="226">
        <v>0.6734</v>
      </c>
      <c r="L279" s="226">
        <v>0.6734</v>
      </c>
      <c r="M279" s="226">
        <v>0.6734</v>
      </c>
    </row>
    <row r="280" spans="1:13">
      <c r="A280" s="223">
        <v>7.4</v>
      </c>
      <c r="B280" s="226">
        <v>0.83699999999999997</v>
      </c>
      <c r="C280" s="226">
        <v>0.83699999999999997</v>
      </c>
      <c r="D280" s="226">
        <v>0.81599999999999995</v>
      </c>
      <c r="E280" s="226">
        <v>0.81599999999999995</v>
      </c>
      <c r="F280" s="226">
        <v>0.81599999999999995</v>
      </c>
      <c r="G280" s="226">
        <v>0.81599999999999995</v>
      </c>
      <c r="H280" s="226">
        <v>0.81599999999999995</v>
      </c>
      <c r="I280" s="226">
        <v>0.67210000000000003</v>
      </c>
      <c r="J280" s="226">
        <v>0.67210000000000003</v>
      </c>
      <c r="K280" s="226">
        <v>0.67210000000000003</v>
      </c>
      <c r="L280" s="226">
        <v>0.67210000000000003</v>
      </c>
      <c r="M280" s="226">
        <v>0.67210000000000003</v>
      </c>
    </row>
    <row r="281" spans="1:13">
      <c r="A281" s="223">
        <v>7.5</v>
      </c>
      <c r="B281" s="226">
        <v>0.83630000000000004</v>
      </c>
      <c r="C281" s="226">
        <v>0.83630000000000004</v>
      </c>
      <c r="D281" s="226">
        <v>0.81510000000000005</v>
      </c>
      <c r="E281" s="226">
        <v>0.81510000000000005</v>
      </c>
      <c r="F281" s="226">
        <v>0.81510000000000005</v>
      </c>
      <c r="G281" s="226">
        <v>0.81510000000000005</v>
      </c>
      <c r="H281" s="226">
        <v>0.81510000000000005</v>
      </c>
      <c r="I281" s="226">
        <v>0.67090000000000005</v>
      </c>
      <c r="J281" s="226">
        <v>0.67090000000000005</v>
      </c>
      <c r="K281" s="226">
        <v>0.67090000000000005</v>
      </c>
      <c r="L281" s="226">
        <v>0.67090000000000005</v>
      </c>
      <c r="M281" s="226">
        <v>0.67090000000000005</v>
      </c>
    </row>
    <row r="282" spans="1:13">
      <c r="A282" s="223">
        <v>7.6</v>
      </c>
      <c r="B282" s="226">
        <v>0.83560000000000001</v>
      </c>
      <c r="C282" s="226">
        <v>0.83560000000000001</v>
      </c>
      <c r="D282" s="226">
        <v>0.81420000000000003</v>
      </c>
      <c r="E282" s="226">
        <v>0.81420000000000003</v>
      </c>
      <c r="F282" s="226">
        <v>0.81420000000000003</v>
      </c>
      <c r="G282" s="226">
        <v>0.81420000000000003</v>
      </c>
      <c r="H282" s="226">
        <v>0.81420000000000003</v>
      </c>
      <c r="I282" s="226">
        <v>0.66979999999999995</v>
      </c>
      <c r="J282" s="226">
        <v>0.66979999999999995</v>
      </c>
      <c r="K282" s="226">
        <v>0.66979999999999995</v>
      </c>
      <c r="L282" s="226">
        <v>0.66979999999999995</v>
      </c>
      <c r="M282" s="226">
        <v>0.66979999999999995</v>
      </c>
    </row>
    <row r="283" spans="1:13">
      <c r="A283" s="223">
        <v>7.7</v>
      </c>
      <c r="B283" s="226">
        <v>0.83489999999999998</v>
      </c>
      <c r="C283" s="226">
        <v>0.83489999999999998</v>
      </c>
      <c r="D283" s="226">
        <v>0.81330000000000002</v>
      </c>
      <c r="E283" s="226">
        <v>0.81330000000000002</v>
      </c>
      <c r="F283" s="226">
        <v>0.81330000000000002</v>
      </c>
      <c r="G283" s="226">
        <v>0.81330000000000002</v>
      </c>
      <c r="H283" s="226">
        <v>0.81330000000000002</v>
      </c>
      <c r="I283" s="226">
        <v>0.66869999999999996</v>
      </c>
      <c r="J283" s="226">
        <v>0.66869999999999996</v>
      </c>
      <c r="K283" s="226">
        <v>0.66869999999999996</v>
      </c>
      <c r="L283" s="226">
        <v>0.66869999999999996</v>
      </c>
      <c r="M283" s="226">
        <v>0.66869999999999996</v>
      </c>
    </row>
    <row r="284" spans="1:13">
      <c r="A284" s="223">
        <v>7.8</v>
      </c>
      <c r="B284" s="226">
        <v>0.83420000000000005</v>
      </c>
      <c r="C284" s="226">
        <v>0.83420000000000005</v>
      </c>
      <c r="D284" s="226">
        <v>0.81240000000000001</v>
      </c>
      <c r="E284" s="226">
        <v>0.81240000000000001</v>
      </c>
      <c r="F284" s="226">
        <v>0.81240000000000001</v>
      </c>
      <c r="G284" s="226">
        <v>0.81240000000000001</v>
      </c>
      <c r="H284" s="226">
        <v>0.81240000000000001</v>
      </c>
      <c r="I284" s="226">
        <v>0.66759999999999997</v>
      </c>
      <c r="J284" s="226">
        <v>0.66759999999999997</v>
      </c>
      <c r="K284" s="226">
        <v>0.66759999999999997</v>
      </c>
      <c r="L284" s="226">
        <v>0.66759999999999997</v>
      </c>
      <c r="M284" s="226">
        <v>0.66759999999999997</v>
      </c>
    </row>
    <row r="285" spans="1:13">
      <c r="A285" s="223">
        <v>7.9</v>
      </c>
      <c r="B285" s="226">
        <v>0.83350000000000002</v>
      </c>
      <c r="C285" s="226">
        <v>0.83350000000000002</v>
      </c>
      <c r="D285" s="226">
        <v>0.81159999999999999</v>
      </c>
      <c r="E285" s="226">
        <v>0.81159999999999999</v>
      </c>
      <c r="F285" s="226">
        <v>0.81159999999999999</v>
      </c>
      <c r="G285" s="226">
        <v>0.81159999999999999</v>
      </c>
      <c r="H285" s="226">
        <v>0.81159999999999999</v>
      </c>
      <c r="I285" s="226">
        <v>0.66649999999999998</v>
      </c>
      <c r="J285" s="226">
        <v>0.66649999999999998</v>
      </c>
      <c r="K285" s="226">
        <v>0.66649999999999998</v>
      </c>
      <c r="L285" s="226">
        <v>0.66649999999999998</v>
      </c>
      <c r="M285" s="226">
        <v>0.66649999999999998</v>
      </c>
    </row>
    <row r="286" spans="1:13">
      <c r="A286" s="223">
        <v>8</v>
      </c>
      <c r="B286" s="226">
        <v>0.83279999999999998</v>
      </c>
      <c r="C286" s="226">
        <v>0.83279999999999998</v>
      </c>
      <c r="D286" s="226">
        <v>0.81079999999999997</v>
      </c>
      <c r="E286" s="226">
        <v>0.81079999999999997</v>
      </c>
      <c r="F286" s="226">
        <v>0.81079999999999997</v>
      </c>
      <c r="G286" s="226">
        <v>0.81079999999999997</v>
      </c>
      <c r="H286" s="226">
        <v>0.81079999999999997</v>
      </c>
      <c r="I286" s="226">
        <v>0.66549999999999998</v>
      </c>
      <c r="J286" s="226">
        <v>0.66549999999999998</v>
      </c>
      <c r="K286" s="226">
        <v>0.66549999999999998</v>
      </c>
      <c r="L286" s="226">
        <v>0.66549999999999998</v>
      </c>
      <c r="M286" s="226">
        <v>0.66549999999999998</v>
      </c>
    </row>
    <row r="287" spans="1:13">
      <c r="A287" s="223">
        <v>8.1</v>
      </c>
      <c r="B287" s="226">
        <v>0.83220000000000005</v>
      </c>
      <c r="C287" s="226">
        <v>0.83220000000000005</v>
      </c>
      <c r="D287" s="226">
        <v>0.81</v>
      </c>
      <c r="E287" s="226">
        <v>0.81</v>
      </c>
      <c r="F287" s="226">
        <v>0.81</v>
      </c>
      <c r="G287" s="226">
        <v>0.81</v>
      </c>
      <c r="H287" s="226">
        <v>0.81</v>
      </c>
      <c r="I287" s="226">
        <v>0.66439999999999999</v>
      </c>
      <c r="J287" s="226">
        <v>0.66439999999999999</v>
      </c>
      <c r="K287" s="226">
        <v>0.66439999999999999</v>
      </c>
      <c r="L287" s="226">
        <v>0.66439999999999999</v>
      </c>
      <c r="M287" s="226">
        <v>0.66439999999999999</v>
      </c>
    </row>
    <row r="288" spans="1:13">
      <c r="A288" s="223">
        <v>8.1999999999999993</v>
      </c>
      <c r="B288" s="226">
        <v>0.83160000000000001</v>
      </c>
      <c r="C288" s="226">
        <v>0.83160000000000001</v>
      </c>
      <c r="D288" s="226">
        <v>0.80920000000000003</v>
      </c>
      <c r="E288" s="226">
        <v>0.80920000000000003</v>
      </c>
      <c r="F288" s="226">
        <v>0.80920000000000003</v>
      </c>
      <c r="G288" s="226">
        <v>0.80920000000000003</v>
      </c>
      <c r="H288" s="226">
        <v>0.80920000000000003</v>
      </c>
      <c r="I288" s="226">
        <v>0.66339999999999999</v>
      </c>
      <c r="J288" s="226">
        <v>0.66339999999999999</v>
      </c>
      <c r="K288" s="226">
        <v>0.66339999999999999</v>
      </c>
      <c r="L288" s="226">
        <v>0.66339999999999999</v>
      </c>
      <c r="M288" s="226">
        <v>0.66339999999999999</v>
      </c>
    </row>
    <row r="289" spans="1:13">
      <c r="A289" s="223">
        <v>8.3000000000000007</v>
      </c>
      <c r="B289" s="226">
        <v>0.83099999999999996</v>
      </c>
      <c r="C289" s="226">
        <v>0.83099999999999996</v>
      </c>
      <c r="D289" s="226">
        <v>0.80840000000000001</v>
      </c>
      <c r="E289" s="226">
        <v>0.80840000000000001</v>
      </c>
      <c r="F289" s="226">
        <v>0.80840000000000001</v>
      </c>
      <c r="G289" s="226">
        <v>0.80840000000000001</v>
      </c>
      <c r="H289" s="226">
        <v>0.80840000000000001</v>
      </c>
      <c r="I289" s="226">
        <v>0.66239999999999999</v>
      </c>
      <c r="J289" s="226">
        <v>0.66239999999999999</v>
      </c>
      <c r="K289" s="226">
        <v>0.66239999999999999</v>
      </c>
      <c r="L289" s="226">
        <v>0.66239999999999999</v>
      </c>
      <c r="M289" s="226">
        <v>0.66239999999999999</v>
      </c>
    </row>
    <row r="290" spans="1:13">
      <c r="A290" s="223">
        <v>8.4</v>
      </c>
      <c r="B290" s="226">
        <v>0.83040000000000003</v>
      </c>
      <c r="C290" s="226">
        <v>0.83040000000000003</v>
      </c>
      <c r="D290" s="226">
        <v>0.80759999999999998</v>
      </c>
      <c r="E290" s="226">
        <v>0.80759999999999998</v>
      </c>
      <c r="F290" s="226">
        <v>0.80759999999999998</v>
      </c>
      <c r="G290" s="226">
        <v>0.80759999999999998</v>
      </c>
      <c r="H290" s="226">
        <v>0.80759999999999998</v>
      </c>
      <c r="I290" s="226">
        <v>0.66139999999999999</v>
      </c>
      <c r="J290" s="226">
        <v>0.66139999999999999</v>
      </c>
      <c r="K290" s="226">
        <v>0.66139999999999999</v>
      </c>
      <c r="L290" s="226">
        <v>0.66139999999999999</v>
      </c>
      <c r="M290" s="226">
        <v>0.66139999999999999</v>
      </c>
    </row>
    <row r="291" spans="1:13">
      <c r="A291" s="223">
        <v>8.5</v>
      </c>
      <c r="B291" s="226">
        <v>0.82979999999999998</v>
      </c>
      <c r="C291" s="226">
        <v>0.82979999999999998</v>
      </c>
      <c r="D291" s="226">
        <v>0.80679999999999996</v>
      </c>
      <c r="E291" s="226">
        <v>0.80679999999999996</v>
      </c>
      <c r="F291" s="226">
        <v>0.80679999999999996</v>
      </c>
      <c r="G291" s="226">
        <v>0.80679999999999996</v>
      </c>
      <c r="H291" s="226">
        <v>0.80679999999999996</v>
      </c>
      <c r="I291" s="226">
        <v>0.66049999999999998</v>
      </c>
      <c r="J291" s="226">
        <v>0.66049999999999998</v>
      </c>
      <c r="K291" s="226">
        <v>0.66049999999999998</v>
      </c>
      <c r="L291" s="226">
        <v>0.66049999999999998</v>
      </c>
      <c r="M291" s="226">
        <v>0.66049999999999998</v>
      </c>
    </row>
    <row r="292" spans="1:13">
      <c r="A292" s="223">
        <v>8.6</v>
      </c>
      <c r="B292" s="226">
        <v>0.82920000000000005</v>
      </c>
      <c r="C292" s="226">
        <v>0.82920000000000005</v>
      </c>
      <c r="D292" s="226">
        <v>0.80600000000000005</v>
      </c>
      <c r="E292" s="226">
        <v>0.80600000000000005</v>
      </c>
      <c r="F292" s="226">
        <v>0.80600000000000005</v>
      </c>
      <c r="G292" s="226">
        <v>0.80600000000000005</v>
      </c>
      <c r="H292" s="226">
        <v>0.80600000000000005</v>
      </c>
      <c r="I292" s="226">
        <v>0.65949999999999998</v>
      </c>
      <c r="J292" s="226">
        <v>0.65949999999999998</v>
      </c>
      <c r="K292" s="226">
        <v>0.65949999999999998</v>
      </c>
      <c r="L292" s="226">
        <v>0.65949999999999998</v>
      </c>
      <c r="M292" s="226">
        <v>0.65949999999999998</v>
      </c>
    </row>
    <row r="293" spans="1:13">
      <c r="A293" s="223">
        <v>8.6999999999999993</v>
      </c>
      <c r="B293" s="226">
        <v>0.8286</v>
      </c>
      <c r="C293" s="226">
        <v>0.8286</v>
      </c>
      <c r="D293" s="226">
        <v>0.80520000000000003</v>
      </c>
      <c r="E293" s="226">
        <v>0.80520000000000003</v>
      </c>
      <c r="F293" s="226">
        <v>0.80520000000000003</v>
      </c>
      <c r="G293" s="226">
        <v>0.80520000000000003</v>
      </c>
      <c r="H293" s="226">
        <v>0.80520000000000003</v>
      </c>
      <c r="I293" s="226">
        <v>0.65859999999999996</v>
      </c>
      <c r="J293" s="226">
        <v>0.65859999999999996</v>
      </c>
      <c r="K293" s="226">
        <v>0.65859999999999996</v>
      </c>
      <c r="L293" s="226">
        <v>0.65859999999999996</v>
      </c>
      <c r="M293" s="226">
        <v>0.65859999999999996</v>
      </c>
    </row>
    <row r="294" spans="1:13">
      <c r="A294" s="223">
        <v>8.8000000000000007</v>
      </c>
      <c r="B294" s="226">
        <v>0.82799999999999996</v>
      </c>
      <c r="C294" s="226">
        <v>0.82799999999999996</v>
      </c>
      <c r="D294" s="226">
        <v>0.8044</v>
      </c>
      <c r="E294" s="226">
        <v>0.8044</v>
      </c>
      <c r="F294" s="226">
        <v>0.8044</v>
      </c>
      <c r="G294" s="226">
        <v>0.8044</v>
      </c>
      <c r="H294" s="226">
        <v>0.8044</v>
      </c>
      <c r="I294" s="226">
        <v>0.65759999999999996</v>
      </c>
      <c r="J294" s="226">
        <v>0.65759999999999996</v>
      </c>
      <c r="K294" s="226">
        <v>0.65759999999999996</v>
      </c>
      <c r="L294" s="226">
        <v>0.65759999999999996</v>
      </c>
      <c r="M294" s="226">
        <v>0.65759999999999996</v>
      </c>
    </row>
    <row r="295" spans="1:13">
      <c r="A295" s="223">
        <v>8.9</v>
      </c>
      <c r="B295" s="226">
        <v>0.82740000000000002</v>
      </c>
      <c r="C295" s="226">
        <v>0.82740000000000002</v>
      </c>
      <c r="D295" s="226">
        <v>0.80359999999999998</v>
      </c>
      <c r="E295" s="226">
        <v>0.80359999999999998</v>
      </c>
      <c r="F295" s="226">
        <v>0.80359999999999998</v>
      </c>
      <c r="G295" s="226">
        <v>0.80359999999999998</v>
      </c>
      <c r="H295" s="226">
        <v>0.80359999999999998</v>
      </c>
      <c r="I295" s="226">
        <v>0.65669999999999995</v>
      </c>
      <c r="J295" s="226">
        <v>0.65669999999999995</v>
      </c>
      <c r="K295" s="226">
        <v>0.65669999999999995</v>
      </c>
      <c r="L295" s="226">
        <v>0.65669999999999995</v>
      </c>
      <c r="M295" s="226">
        <v>0.65669999999999995</v>
      </c>
    </row>
    <row r="296" spans="1:13">
      <c r="A296" s="227">
        <v>9</v>
      </c>
      <c r="B296" s="226">
        <v>0.82679999999999998</v>
      </c>
      <c r="C296" s="226">
        <v>0.82679999999999998</v>
      </c>
      <c r="D296" s="226">
        <v>0.80279999999999996</v>
      </c>
      <c r="E296" s="226">
        <v>0.80279999999999996</v>
      </c>
      <c r="F296" s="226">
        <v>0.80279999999999996</v>
      </c>
      <c r="G296" s="226">
        <v>0.80279999999999996</v>
      </c>
      <c r="H296" s="226">
        <v>0.80279999999999996</v>
      </c>
      <c r="I296" s="226">
        <v>0.65569999999999995</v>
      </c>
      <c r="J296" s="226">
        <v>0.65569999999999995</v>
      </c>
      <c r="K296" s="226">
        <v>0.65569999999999995</v>
      </c>
      <c r="L296" s="226">
        <v>0.65569999999999995</v>
      </c>
      <c r="M296" s="226">
        <v>0.65569999999999995</v>
      </c>
    </row>
    <row r="297" spans="1:13">
      <c r="A297" s="227">
        <v>9.1</v>
      </c>
      <c r="B297" s="226">
        <v>0.82620000000000005</v>
      </c>
      <c r="C297" s="226">
        <v>0.82620000000000005</v>
      </c>
      <c r="D297" s="226">
        <v>0.80200000000000005</v>
      </c>
      <c r="E297" s="226">
        <v>0.80200000000000005</v>
      </c>
      <c r="F297" s="226">
        <v>0.80200000000000005</v>
      </c>
      <c r="G297" s="226">
        <v>0.80200000000000005</v>
      </c>
      <c r="H297" s="226">
        <v>0.80200000000000005</v>
      </c>
      <c r="I297" s="226">
        <v>0.65480000000000005</v>
      </c>
      <c r="J297" s="226">
        <v>0.65480000000000005</v>
      </c>
      <c r="K297" s="226">
        <v>0.65480000000000005</v>
      </c>
      <c r="L297" s="226">
        <v>0.65480000000000005</v>
      </c>
      <c r="M297" s="226">
        <v>0.65480000000000005</v>
      </c>
    </row>
    <row r="298" spans="1:13">
      <c r="A298" s="227">
        <v>9.1999999999999993</v>
      </c>
      <c r="B298" s="226">
        <v>0.8256</v>
      </c>
      <c r="C298" s="226">
        <v>0.8256</v>
      </c>
      <c r="D298" s="226">
        <v>0.80120000000000002</v>
      </c>
      <c r="E298" s="226">
        <v>0.80120000000000002</v>
      </c>
      <c r="F298" s="226">
        <v>0.80120000000000002</v>
      </c>
      <c r="G298" s="226">
        <v>0.80120000000000002</v>
      </c>
      <c r="H298" s="226">
        <v>0.80120000000000002</v>
      </c>
      <c r="I298" s="226">
        <v>0.65380000000000005</v>
      </c>
      <c r="J298" s="226">
        <v>0.65380000000000005</v>
      </c>
      <c r="K298" s="226">
        <v>0.65380000000000005</v>
      </c>
      <c r="L298" s="226">
        <v>0.65380000000000005</v>
      </c>
      <c r="M298" s="226">
        <v>0.65380000000000005</v>
      </c>
    </row>
    <row r="299" spans="1:13">
      <c r="A299" s="227">
        <v>9.3000000000000007</v>
      </c>
      <c r="B299" s="226">
        <v>0.82499999999999996</v>
      </c>
      <c r="C299" s="226">
        <v>0.82499999999999996</v>
      </c>
      <c r="D299" s="226">
        <v>0.8004</v>
      </c>
      <c r="E299" s="226">
        <v>0.8004</v>
      </c>
      <c r="F299" s="226">
        <v>0.8004</v>
      </c>
      <c r="G299" s="226">
        <v>0.8004</v>
      </c>
      <c r="H299" s="226">
        <v>0.8004</v>
      </c>
      <c r="I299" s="226">
        <v>0.65290000000000004</v>
      </c>
      <c r="J299" s="226">
        <v>0.65290000000000004</v>
      </c>
      <c r="K299" s="226">
        <v>0.65290000000000004</v>
      </c>
      <c r="L299" s="226">
        <v>0.65290000000000004</v>
      </c>
      <c r="M299" s="226">
        <v>0.65290000000000004</v>
      </c>
    </row>
    <row r="300" spans="1:13">
      <c r="A300" s="227">
        <v>9.4</v>
      </c>
      <c r="B300" s="226">
        <v>0.82440000000000002</v>
      </c>
      <c r="C300" s="226">
        <v>0.82440000000000002</v>
      </c>
      <c r="D300" s="226">
        <v>0.79959999999999998</v>
      </c>
      <c r="E300" s="226">
        <v>0.79959999999999998</v>
      </c>
      <c r="F300" s="226">
        <v>0.79959999999999998</v>
      </c>
      <c r="G300" s="226">
        <v>0.79959999999999998</v>
      </c>
      <c r="H300" s="226">
        <v>0.79959999999999998</v>
      </c>
      <c r="I300" s="226">
        <v>0.65190000000000003</v>
      </c>
      <c r="J300" s="226">
        <v>0.65190000000000003</v>
      </c>
      <c r="K300" s="226">
        <v>0.65190000000000003</v>
      </c>
      <c r="L300" s="226">
        <v>0.65190000000000003</v>
      </c>
      <c r="M300" s="226">
        <v>0.65190000000000003</v>
      </c>
    </row>
    <row r="301" spans="1:13">
      <c r="A301" s="227">
        <v>9.5</v>
      </c>
      <c r="B301" s="226">
        <v>0.82379999999999998</v>
      </c>
      <c r="C301" s="226">
        <v>0.82379999999999998</v>
      </c>
      <c r="D301" s="226">
        <v>0.79879999999999995</v>
      </c>
      <c r="E301" s="226">
        <v>0.79879999999999995</v>
      </c>
      <c r="F301" s="226">
        <v>0.79879999999999995</v>
      </c>
      <c r="G301" s="226">
        <v>0.79879999999999995</v>
      </c>
      <c r="H301" s="226">
        <v>0.79879999999999995</v>
      </c>
      <c r="I301" s="226">
        <v>0.65100000000000002</v>
      </c>
      <c r="J301" s="226">
        <v>0.65100000000000002</v>
      </c>
      <c r="K301" s="226">
        <v>0.65100000000000002</v>
      </c>
      <c r="L301" s="226">
        <v>0.65100000000000002</v>
      </c>
      <c r="M301" s="226">
        <v>0.65100000000000002</v>
      </c>
    </row>
    <row r="302" spans="1:13">
      <c r="A302" s="227">
        <v>9.6</v>
      </c>
      <c r="B302" s="226">
        <v>0.82320000000000004</v>
      </c>
      <c r="C302" s="226">
        <v>0.82320000000000004</v>
      </c>
      <c r="D302" s="226">
        <v>0.79800000000000004</v>
      </c>
      <c r="E302" s="226">
        <v>0.79800000000000004</v>
      </c>
      <c r="F302" s="226">
        <v>0.79800000000000004</v>
      </c>
      <c r="G302" s="226">
        <v>0.79800000000000004</v>
      </c>
      <c r="H302" s="226">
        <v>0.79800000000000004</v>
      </c>
      <c r="I302" s="226">
        <v>0.65</v>
      </c>
      <c r="J302" s="226">
        <v>0.65</v>
      </c>
      <c r="K302" s="226">
        <v>0.65</v>
      </c>
      <c r="L302" s="226">
        <v>0.65</v>
      </c>
      <c r="M302" s="226">
        <v>0.65</v>
      </c>
    </row>
    <row r="303" spans="1:13">
      <c r="A303" s="227">
        <v>9.6999999999999993</v>
      </c>
      <c r="B303" s="226">
        <v>0.8226</v>
      </c>
      <c r="C303" s="226">
        <v>0.8226</v>
      </c>
      <c r="D303" s="226">
        <v>0.79720000000000002</v>
      </c>
      <c r="E303" s="226">
        <v>0.79720000000000002</v>
      </c>
      <c r="F303" s="226">
        <v>0.79720000000000002</v>
      </c>
      <c r="G303" s="226">
        <v>0.79720000000000002</v>
      </c>
      <c r="H303" s="226">
        <v>0.79720000000000002</v>
      </c>
      <c r="I303" s="226">
        <v>0.64900000000000002</v>
      </c>
      <c r="J303" s="226">
        <v>0.64900000000000002</v>
      </c>
      <c r="K303" s="226">
        <v>0.64900000000000002</v>
      </c>
      <c r="L303" s="226">
        <v>0.64900000000000002</v>
      </c>
      <c r="M303" s="226">
        <v>0.64900000000000002</v>
      </c>
    </row>
    <row r="304" spans="1:13">
      <c r="A304" s="227">
        <v>9.8000000000000007</v>
      </c>
      <c r="B304" s="226">
        <v>0.82199999999999995</v>
      </c>
      <c r="C304" s="226">
        <v>0.82199999999999995</v>
      </c>
      <c r="D304" s="226">
        <v>0.7964</v>
      </c>
      <c r="E304" s="226">
        <v>0.7964</v>
      </c>
      <c r="F304" s="226">
        <v>0.7964</v>
      </c>
      <c r="G304" s="226">
        <v>0.7964</v>
      </c>
      <c r="H304" s="226">
        <v>0.7964</v>
      </c>
      <c r="I304" s="226">
        <v>0.64810000000000001</v>
      </c>
      <c r="J304" s="226">
        <v>0.64810000000000001</v>
      </c>
      <c r="K304" s="226">
        <v>0.64810000000000001</v>
      </c>
      <c r="L304" s="226">
        <v>0.64810000000000001</v>
      </c>
      <c r="M304" s="226">
        <v>0.64810000000000001</v>
      </c>
    </row>
    <row r="305" spans="1:13">
      <c r="A305" s="227">
        <v>9.9</v>
      </c>
      <c r="B305" s="226">
        <v>0.82140000000000002</v>
      </c>
      <c r="C305" s="226">
        <v>0.82140000000000002</v>
      </c>
      <c r="D305" s="226">
        <v>0.79559999999999997</v>
      </c>
      <c r="E305" s="226">
        <v>0.79559999999999997</v>
      </c>
      <c r="F305" s="226">
        <v>0.79559999999999997</v>
      </c>
      <c r="G305" s="226">
        <v>0.79559999999999997</v>
      </c>
      <c r="H305" s="226">
        <v>0.79559999999999997</v>
      </c>
      <c r="I305" s="226">
        <v>0.64710000000000001</v>
      </c>
      <c r="J305" s="226">
        <v>0.64710000000000001</v>
      </c>
      <c r="K305" s="226">
        <v>0.64710000000000001</v>
      </c>
      <c r="L305" s="226">
        <v>0.64710000000000001</v>
      </c>
      <c r="M305" s="226">
        <v>0.64710000000000001</v>
      </c>
    </row>
    <row r="306" spans="1:13">
      <c r="A306" s="227">
        <v>10</v>
      </c>
      <c r="B306" s="226">
        <v>0.82079999999999997</v>
      </c>
      <c r="C306" s="226">
        <v>0.82079999999999997</v>
      </c>
      <c r="D306" s="226">
        <v>0.79479999999999995</v>
      </c>
      <c r="E306" s="226">
        <v>0.79479999999999995</v>
      </c>
      <c r="F306" s="226">
        <v>0.79479999999999995</v>
      </c>
      <c r="G306" s="226">
        <v>0.79479999999999995</v>
      </c>
      <c r="H306" s="226">
        <v>0.79479999999999995</v>
      </c>
      <c r="I306" s="226">
        <v>0.6462</v>
      </c>
      <c r="J306" s="226">
        <v>0.6462</v>
      </c>
      <c r="K306" s="226">
        <v>0.6462</v>
      </c>
      <c r="L306" s="226">
        <v>0.6462</v>
      </c>
      <c r="M306" s="226">
        <v>0.6462</v>
      </c>
    </row>
    <row r="307" spans="1:13" ht="14.25">
      <c r="A307" s="221" t="s">
        <v>2249</v>
      </c>
      <c r="B307" s="222"/>
      <c r="C307" s="222"/>
      <c r="D307" s="222"/>
      <c r="E307" s="222"/>
      <c r="F307" s="222"/>
      <c r="G307" s="222"/>
      <c r="H307" s="222"/>
      <c r="I307" s="222"/>
      <c r="J307" s="222"/>
      <c r="K307" s="222"/>
      <c r="L307" s="222"/>
      <c r="M307" s="222"/>
    </row>
    <row r="308" spans="1:13">
      <c r="A308" s="223" t="s">
        <v>2246</v>
      </c>
      <c r="B308" s="224" t="s">
        <v>1655</v>
      </c>
      <c r="C308" s="224" t="s">
        <v>357</v>
      </c>
      <c r="D308" s="224" t="s">
        <v>1679</v>
      </c>
      <c r="E308" s="224" t="s">
        <v>1700</v>
      </c>
      <c r="F308" s="224" t="s">
        <v>1728</v>
      </c>
      <c r="G308" s="224" t="s">
        <v>1763</v>
      </c>
      <c r="H308" s="225" t="s">
        <v>1812</v>
      </c>
      <c r="I308" s="225" t="s">
        <v>1861</v>
      </c>
      <c r="J308" s="228" t="s">
        <v>1901</v>
      </c>
      <c r="K308" s="228" t="s">
        <v>1947</v>
      </c>
      <c r="L308" s="228" t="s">
        <v>1975</v>
      </c>
      <c r="M308" s="228" t="s">
        <v>1997</v>
      </c>
    </row>
    <row r="309" spans="1:13">
      <c r="A309" s="223">
        <v>0.1</v>
      </c>
      <c r="B309" s="226">
        <v>11.506</v>
      </c>
      <c r="C309" s="226">
        <v>11.506</v>
      </c>
      <c r="D309" s="226">
        <v>12.015000000000001</v>
      </c>
      <c r="E309" s="226">
        <v>12.015000000000001</v>
      </c>
      <c r="F309" s="226">
        <v>12.015000000000001</v>
      </c>
      <c r="G309" s="226">
        <v>11.118</v>
      </c>
      <c r="H309" s="226">
        <v>11.118</v>
      </c>
      <c r="I309" s="226">
        <v>10</v>
      </c>
      <c r="J309" s="226">
        <v>10</v>
      </c>
      <c r="K309" s="226">
        <v>10</v>
      </c>
      <c r="L309" s="226">
        <v>10</v>
      </c>
      <c r="M309" s="226">
        <v>10</v>
      </c>
    </row>
    <row r="310" spans="1:13">
      <c r="A310" s="223">
        <v>0.2</v>
      </c>
      <c r="B310" s="226">
        <v>5.7530000000000001</v>
      </c>
      <c r="C310" s="226">
        <v>5.7530000000000001</v>
      </c>
      <c r="D310" s="226">
        <v>6.0075000000000003</v>
      </c>
      <c r="E310" s="226">
        <v>6.0075000000000003</v>
      </c>
      <c r="F310" s="226">
        <v>6.0075000000000003</v>
      </c>
      <c r="G310" s="226">
        <v>5.5590000000000002</v>
      </c>
      <c r="H310" s="226">
        <v>5.5590000000000002</v>
      </c>
      <c r="I310" s="226">
        <v>5</v>
      </c>
      <c r="J310" s="226">
        <v>5</v>
      </c>
      <c r="K310" s="226">
        <v>5</v>
      </c>
      <c r="L310" s="226">
        <v>5</v>
      </c>
      <c r="M310" s="226">
        <v>5</v>
      </c>
    </row>
    <row r="311" spans="1:13">
      <c r="A311" s="223">
        <v>0.3</v>
      </c>
      <c r="B311" s="226">
        <v>3.8353000000000002</v>
      </c>
      <c r="C311" s="226">
        <v>3.8353000000000002</v>
      </c>
      <c r="D311" s="226">
        <v>4.0049999999999999</v>
      </c>
      <c r="E311" s="226">
        <v>4.0049999999999999</v>
      </c>
      <c r="F311" s="226">
        <v>4.0049999999999999</v>
      </c>
      <c r="G311" s="226">
        <v>3.706</v>
      </c>
      <c r="H311" s="226">
        <v>3.706</v>
      </c>
      <c r="I311" s="226">
        <v>3.3332999999999999</v>
      </c>
      <c r="J311" s="226">
        <v>3.3332999999999999</v>
      </c>
      <c r="K311" s="226">
        <v>3.3332999999999999</v>
      </c>
      <c r="L311" s="226">
        <v>3.3332999999999999</v>
      </c>
      <c r="M311" s="226">
        <v>3.3332999999999999</v>
      </c>
    </row>
    <row r="312" spans="1:13">
      <c r="A312" s="223">
        <v>0.4</v>
      </c>
      <c r="B312" s="226">
        <v>2.8765000000000001</v>
      </c>
      <c r="C312" s="226">
        <v>2.8765000000000001</v>
      </c>
      <c r="D312" s="226">
        <v>3.0038</v>
      </c>
      <c r="E312" s="226">
        <v>3.0038</v>
      </c>
      <c r="F312" s="226">
        <v>3.0038</v>
      </c>
      <c r="G312" s="226">
        <v>2.7795000000000001</v>
      </c>
      <c r="H312" s="226">
        <v>2.7795000000000001</v>
      </c>
      <c r="I312" s="226">
        <v>2.5</v>
      </c>
      <c r="J312" s="226">
        <v>2.5</v>
      </c>
      <c r="K312" s="226">
        <v>2.5</v>
      </c>
      <c r="L312" s="226">
        <v>2.5</v>
      </c>
      <c r="M312" s="226">
        <v>2.5</v>
      </c>
    </row>
    <row r="313" spans="1:13">
      <c r="A313" s="223">
        <v>0.5</v>
      </c>
      <c r="B313" s="226">
        <v>2.3012000000000001</v>
      </c>
      <c r="C313" s="226">
        <v>2.3012000000000001</v>
      </c>
      <c r="D313" s="226">
        <v>2.403</v>
      </c>
      <c r="E313" s="226">
        <v>2.403</v>
      </c>
      <c r="F313" s="226">
        <v>2.403</v>
      </c>
      <c r="G313" s="226">
        <v>2.2235999999999998</v>
      </c>
      <c r="H313" s="226">
        <v>2.2235999999999998</v>
      </c>
      <c r="I313" s="226">
        <v>2</v>
      </c>
      <c r="J313" s="226">
        <v>2</v>
      </c>
      <c r="K313" s="226">
        <v>2</v>
      </c>
      <c r="L313" s="226">
        <v>2</v>
      </c>
      <c r="M313" s="226">
        <v>2</v>
      </c>
    </row>
    <row r="314" spans="1:13">
      <c r="A314" s="223">
        <v>0.6</v>
      </c>
      <c r="B314" s="226">
        <v>1.9177</v>
      </c>
      <c r="C314" s="226">
        <v>1.9177</v>
      </c>
      <c r="D314" s="226">
        <v>2.0024999999999999</v>
      </c>
      <c r="E314" s="226">
        <v>2.0024999999999999</v>
      </c>
      <c r="F314" s="226">
        <v>2.0024999999999999</v>
      </c>
      <c r="G314" s="226">
        <v>1.853</v>
      </c>
      <c r="H314" s="226">
        <v>1.853</v>
      </c>
      <c r="I314" s="226">
        <v>1.6667000000000001</v>
      </c>
      <c r="J314" s="226">
        <v>1.6667000000000001</v>
      </c>
      <c r="K314" s="226">
        <v>1.6667000000000001</v>
      </c>
      <c r="L314" s="226">
        <v>1.6667000000000001</v>
      </c>
      <c r="M314" s="226">
        <v>1.6667000000000001</v>
      </c>
    </row>
    <row r="315" spans="1:13">
      <c r="A315" s="223">
        <v>0.7</v>
      </c>
      <c r="B315" s="226">
        <v>1.6436999999999999</v>
      </c>
      <c r="C315" s="226">
        <v>1.6436999999999999</v>
      </c>
      <c r="D315" s="226">
        <v>1.7163999999999999</v>
      </c>
      <c r="E315" s="226">
        <v>1.7163999999999999</v>
      </c>
      <c r="F315" s="226">
        <v>1.7163999999999999</v>
      </c>
      <c r="G315" s="226">
        <v>1.5883</v>
      </c>
      <c r="H315" s="226">
        <v>1.5883</v>
      </c>
      <c r="I315" s="226">
        <v>1.4286000000000001</v>
      </c>
      <c r="J315" s="226">
        <v>1.4286000000000001</v>
      </c>
      <c r="K315" s="226">
        <v>1.4286000000000001</v>
      </c>
      <c r="L315" s="226">
        <v>1.4286000000000001</v>
      </c>
      <c r="M315" s="226">
        <v>1.4286000000000001</v>
      </c>
    </row>
    <row r="316" spans="1:13">
      <c r="A316" s="223">
        <v>0.8</v>
      </c>
      <c r="B316" s="226">
        <v>1.4382999999999999</v>
      </c>
      <c r="C316" s="226">
        <v>1.4382999999999999</v>
      </c>
      <c r="D316" s="226">
        <v>1.5019</v>
      </c>
      <c r="E316" s="226">
        <v>1.5019</v>
      </c>
      <c r="F316" s="226">
        <v>1.5019</v>
      </c>
      <c r="G316" s="226">
        <v>1.3897999999999999</v>
      </c>
      <c r="H316" s="226">
        <v>1.3897999999999999</v>
      </c>
      <c r="I316" s="226">
        <v>1.25</v>
      </c>
      <c r="J316" s="226">
        <v>1.25</v>
      </c>
      <c r="K316" s="226">
        <v>1.25</v>
      </c>
      <c r="L316" s="226">
        <v>1.25</v>
      </c>
      <c r="M316" s="226">
        <v>1.25</v>
      </c>
    </row>
    <row r="317" spans="1:13">
      <c r="A317" s="223">
        <v>0.9</v>
      </c>
      <c r="B317" s="226">
        <v>1.2784</v>
      </c>
      <c r="C317" s="226">
        <v>1.2784</v>
      </c>
      <c r="D317" s="226">
        <v>1.335</v>
      </c>
      <c r="E317" s="226">
        <v>1.335</v>
      </c>
      <c r="F317" s="226">
        <v>1.335</v>
      </c>
      <c r="G317" s="226">
        <v>1.2353000000000001</v>
      </c>
      <c r="H317" s="226">
        <v>1.2353000000000001</v>
      </c>
      <c r="I317" s="226">
        <v>1.1111</v>
      </c>
      <c r="J317" s="226">
        <v>1.1111</v>
      </c>
      <c r="K317" s="226">
        <v>1.1111</v>
      </c>
      <c r="L317" s="226">
        <v>1.1111</v>
      </c>
      <c r="M317" s="226">
        <v>1.1111</v>
      </c>
    </row>
    <row r="318" spans="1:13">
      <c r="A318" s="223">
        <v>1</v>
      </c>
      <c r="B318" s="226">
        <v>1.1506000000000001</v>
      </c>
      <c r="C318" s="226">
        <v>1.1506000000000001</v>
      </c>
      <c r="D318" s="226">
        <v>1.2015</v>
      </c>
      <c r="E318" s="226">
        <v>1.2015</v>
      </c>
      <c r="F318" s="226">
        <v>1.2015</v>
      </c>
      <c r="G318" s="226">
        <v>1.1117999999999999</v>
      </c>
      <c r="H318" s="226">
        <v>1.1117999999999999</v>
      </c>
      <c r="I318" s="226">
        <v>1</v>
      </c>
      <c r="J318" s="226">
        <v>1</v>
      </c>
      <c r="K318" s="226">
        <v>1</v>
      </c>
      <c r="L318" s="226">
        <v>1</v>
      </c>
      <c r="M318" s="226">
        <v>1</v>
      </c>
    </row>
    <row r="319" spans="1:13">
      <c r="A319" s="223">
        <v>1.1000000000000001</v>
      </c>
      <c r="B319" s="226">
        <v>1.1158999999999999</v>
      </c>
      <c r="C319" s="226">
        <v>1.1158999999999999</v>
      </c>
      <c r="D319" s="226">
        <v>1.1440999999999999</v>
      </c>
      <c r="E319" s="226">
        <v>1.1440999999999999</v>
      </c>
      <c r="F319" s="226">
        <v>1.1440999999999999</v>
      </c>
      <c r="G319" s="226">
        <v>1.0492999999999999</v>
      </c>
      <c r="H319" s="226">
        <v>1.0492999999999999</v>
      </c>
      <c r="I319" s="226">
        <v>0.93730000000000002</v>
      </c>
      <c r="J319" s="226">
        <v>0.93730000000000002</v>
      </c>
      <c r="K319" s="226">
        <v>0.93730000000000002</v>
      </c>
      <c r="L319" s="226">
        <v>0.93730000000000002</v>
      </c>
      <c r="M319" s="226">
        <v>0.93730000000000002</v>
      </c>
    </row>
    <row r="320" spans="1:13">
      <c r="A320" s="223">
        <v>1.2</v>
      </c>
      <c r="B320" s="226">
        <v>1.0837000000000001</v>
      </c>
      <c r="C320" s="226">
        <v>1.0837000000000001</v>
      </c>
      <c r="D320" s="226">
        <v>1.0972999999999999</v>
      </c>
      <c r="E320" s="226">
        <v>1.0972999999999999</v>
      </c>
      <c r="F320" s="226">
        <v>1.0972999999999999</v>
      </c>
      <c r="G320" s="226">
        <v>1</v>
      </c>
      <c r="H320" s="226">
        <v>1</v>
      </c>
      <c r="I320" s="226">
        <v>0.88890000000000002</v>
      </c>
      <c r="J320" s="226">
        <v>0.88890000000000002</v>
      </c>
      <c r="K320" s="226">
        <v>0.88890000000000002</v>
      </c>
      <c r="L320" s="226">
        <v>0.88890000000000002</v>
      </c>
      <c r="M320" s="226">
        <v>0.88890000000000002</v>
      </c>
    </row>
    <row r="321" spans="1:13">
      <c r="A321" s="223">
        <v>1.3</v>
      </c>
      <c r="B321" s="226">
        <v>1.0538000000000001</v>
      </c>
      <c r="C321" s="226">
        <v>1.0538000000000001</v>
      </c>
      <c r="D321" s="226">
        <v>1.0589999999999999</v>
      </c>
      <c r="E321" s="226">
        <v>1.0589999999999999</v>
      </c>
      <c r="F321" s="226">
        <v>1.0589999999999999</v>
      </c>
      <c r="G321" s="226">
        <v>0.96140000000000003</v>
      </c>
      <c r="H321" s="226">
        <v>0.96140000000000003</v>
      </c>
      <c r="I321" s="226">
        <v>0.85209999999999997</v>
      </c>
      <c r="J321" s="226">
        <v>0.85209999999999997</v>
      </c>
      <c r="K321" s="226">
        <v>0.85209999999999997</v>
      </c>
      <c r="L321" s="226">
        <v>0.85209999999999997</v>
      </c>
      <c r="M321" s="226">
        <v>0.85209999999999997</v>
      </c>
    </row>
    <row r="322" spans="1:13">
      <c r="A322" s="223">
        <v>1.4</v>
      </c>
      <c r="B322" s="226">
        <v>1.026</v>
      </c>
      <c r="C322" s="226">
        <v>1.026</v>
      </c>
      <c r="D322" s="226">
        <v>1.0271999999999999</v>
      </c>
      <c r="E322" s="226">
        <v>1.0271999999999999</v>
      </c>
      <c r="F322" s="226">
        <v>1.0271999999999999</v>
      </c>
      <c r="G322" s="226">
        <v>0.93079999999999996</v>
      </c>
      <c r="H322" s="226">
        <v>0.93079999999999996</v>
      </c>
      <c r="I322" s="226">
        <v>0.82379999999999998</v>
      </c>
      <c r="J322" s="226">
        <v>0.82379999999999998</v>
      </c>
      <c r="K322" s="226">
        <v>0.82379999999999998</v>
      </c>
      <c r="L322" s="226">
        <v>0.82379999999999998</v>
      </c>
      <c r="M322" s="226">
        <v>0.82379999999999998</v>
      </c>
    </row>
    <row r="323" spans="1:13">
      <c r="A323" s="223">
        <v>1.5</v>
      </c>
      <c r="B323" s="226">
        <v>1</v>
      </c>
      <c r="C323" s="226">
        <v>1</v>
      </c>
      <c r="D323" s="226">
        <v>1</v>
      </c>
      <c r="E323" s="226">
        <v>1</v>
      </c>
      <c r="F323" s="226">
        <v>1</v>
      </c>
      <c r="G323" s="226">
        <v>0.90559999999999996</v>
      </c>
      <c r="H323" s="226">
        <v>0.90559999999999996</v>
      </c>
      <c r="I323" s="226">
        <v>0.80110000000000003</v>
      </c>
      <c r="J323" s="226">
        <v>0.80110000000000003</v>
      </c>
      <c r="K323" s="226">
        <v>0.80110000000000003</v>
      </c>
      <c r="L323" s="226">
        <v>0.80110000000000003</v>
      </c>
      <c r="M323" s="226">
        <v>0.80110000000000003</v>
      </c>
    </row>
    <row r="324" spans="1:13">
      <c r="A324" s="223">
        <v>1.6</v>
      </c>
      <c r="B324" s="226">
        <v>0.97570000000000001</v>
      </c>
      <c r="C324" s="226">
        <v>0.97570000000000001</v>
      </c>
      <c r="D324" s="226">
        <v>0.97519999999999996</v>
      </c>
      <c r="E324" s="226">
        <v>0.97519999999999996</v>
      </c>
      <c r="F324" s="226">
        <v>0.97519999999999996</v>
      </c>
      <c r="G324" s="226">
        <v>0.8831</v>
      </c>
      <c r="H324" s="226">
        <v>0.8831</v>
      </c>
      <c r="I324" s="226">
        <v>0.78100000000000003</v>
      </c>
      <c r="J324" s="226">
        <v>0.78100000000000003</v>
      </c>
      <c r="K324" s="226">
        <v>0.78100000000000003</v>
      </c>
      <c r="L324" s="226">
        <v>0.78100000000000003</v>
      </c>
      <c r="M324" s="226">
        <v>0.78100000000000003</v>
      </c>
    </row>
    <row r="325" spans="1:13">
      <c r="A325" s="223">
        <v>1.7</v>
      </c>
      <c r="B325" s="226">
        <v>0.95289999999999997</v>
      </c>
      <c r="C325" s="226">
        <v>0.95289999999999997</v>
      </c>
      <c r="D325" s="226">
        <v>0.95189999999999997</v>
      </c>
      <c r="E325" s="226">
        <v>0.95189999999999997</v>
      </c>
      <c r="F325" s="226">
        <v>0.95189999999999997</v>
      </c>
      <c r="G325" s="226">
        <v>0.86180000000000001</v>
      </c>
      <c r="H325" s="226">
        <v>0.86180000000000001</v>
      </c>
      <c r="I325" s="226">
        <v>0.7621</v>
      </c>
      <c r="J325" s="226">
        <v>0.7621</v>
      </c>
      <c r="K325" s="226">
        <v>0.7621</v>
      </c>
      <c r="L325" s="226">
        <v>0.7621</v>
      </c>
      <c r="M325" s="226">
        <v>0.7621</v>
      </c>
    </row>
    <row r="326" spans="1:13">
      <c r="A326" s="223">
        <v>1.8</v>
      </c>
      <c r="B326" s="226">
        <v>0.93149999999999999</v>
      </c>
      <c r="C326" s="226">
        <v>0.93149999999999999</v>
      </c>
      <c r="D326" s="226">
        <v>0.93</v>
      </c>
      <c r="E326" s="226">
        <v>0.93</v>
      </c>
      <c r="F326" s="226">
        <v>0.93</v>
      </c>
      <c r="G326" s="226">
        <v>0.84179999999999999</v>
      </c>
      <c r="H326" s="226">
        <v>0.84179999999999999</v>
      </c>
      <c r="I326" s="226">
        <v>0.74419999999999997</v>
      </c>
      <c r="J326" s="226">
        <v>0.74419999999999997</v>
      </c>
      <c r="K326" s="226">
        <v>0.74419999999999997</v>
      </c>
      <c r="L326" s="226">
        <v>0.74419999999999997</v>
      </c>
      <c r="M326" s="226">
        <v>0.74419999999999997</v>
      </c>
    </row>
    <row r="327" spans="1:13">
      <c r="A327" s="223">
        <v>1.9</v>
      </c>
      <c r="B327" s="226">
        <v>0.91139999999999999</v>
      </c>
      <c r="C327" s="226">
        <v>0.91139999999999999</v>
      </c>
      <c r="D327" s="226">
        <v>0.90939999999999999</v>
      </c>
      <c r="E327" s="226">
        <v>0.90939999999999999</v>
      </c>
      <c r="F327" s="226">
        <v>0.90939999999999999</v>
      </c>
      <c r="G327" s="226">
        <v>0.82289999999999996</v>
      </c>
      <c r="H327" s="226">
        <v>0.82289999999999996</v>
      </c>
      <c r="I327" s="226">
        <v>0.72740000000000005</v>
      </c>
      <c r="J327" s="226">
        <v>0.72740000000000005</v>
      </c>
      <c r="K327" s="226">
        <v>0.72740000000000005</v>
      </c>
      <c r="L327" s="226">
        <v>0.72740000000000005</v>
      </c>
      <c r="M327" s="226">
        <v>0.72740000000000005</v>
      </c>
    </row>
    <row r="328" spans="1:13">
      <c r="A328" s="223">
        <v>2</v>
      </c>
      <c r="B328" s="226">
        <v>0.89270000000000005</v>
      </c>
      <c r="C328" s="226">
        <v>0.89270000000000005</v>
      </c>
      <c r="D328" s="226">
        <v>0.8901</v>
      </c>
      <c r="E328" s="226">
        <v>0.8901</v>
      </c>
      <c r="F328" s="226">
        <v>0.8901</v>
      </c>
      <c r="G328" s="226">
        <v>0.80530000000000002</v>
      </c>
      <c r="H328" s="226">
        <v>0.80530000000000002</v>
      </c>
      <c r="I328" s="226">
        <v>0.71160000000000001</v>
      </c>
      <c r="J328" s="226">
        <v>0.71160000000000001</v>
      </c>
      <c r="K328" s="226">
        <v>0.71160000000000001</v>
      </c>
      <c r="L328" s="226">
        <v>0.71160000000000001</v>
      </c>
      <c r="M328" s="226">
        <v>0.71160000000000001</v>
      </c>
    </row>
    <row r="329" spans="1:13">
      <c r="A329" s="227">
        <v>2.1</v>
      </c>
      <c r="B329" s="226">
        <v>0.87519999999999998</v>
      </c>
      <c r="C329" s="226">
        <v>0.87519999999999998</v>
      </c>
      <c r="D329" s="226">
        <v>0.872</v>
      </c>
      <c r="E329" s="226">
        <v>0.872</v>
      </c>
      <c r="F329" s="226">
        <v>0.872</v>
      </c>
      <c r="G329" s="226">
        <v>0.78869999999999996</v>
      </c>
      <c r="H329" s="226">
        <v>0.78869999999999996</v>
      </c>
      <c r="I329" s="226">
        <v>0.69669999999999999</v>
      </c>
      <c r="J329" s="226">
        <v>0.69669999999999999</v>
      </c>
      <c r="K329" s="226">
        <v>0.69669999999999999</v>
      </c>
      <c r="L329" s="226">
        <v>0.69669999999999999</v>
      </c>
      <c r="M329" s="226">
        <v>0.69669999999999999</v>
      </c>
    </row>
    <row r="330" spans="1:13">
      <c r="A330" s="227">
        <v>2.2000000000000002</v>
      </c>
      <c r="B330" s="226">
        <v>0.85880000000000001</v>
      </c>
      <c r="C330" s="226">
        <v>0.85880000000000001</v>
      </c>
      <c r="D330" s="226">
        <v>0.85499999999999998</v>
      </c>
      <c r="E330" s="226">
        <v>0.85499999999999998</v>
      </c>
      <c r="F330" s="226">
        <v>0.85499999999999998</v>
      </c>
      <c r="G330" s="226">
        <v>0.77300000000000002</v>
      </c>
      <c r="H330" s="226">
        <v>0.77300000000000002</v>
      </c>
      <c r="I330" s="226">
        <v>0.68269999999999997</v>
      </c>
      <c r="J330" s="226">
        <v>0.68269999999999997</v>
      </c>
      <c r="K330" s="226">
        <v>0.68269999999999997</v>
      </c>
      <c r="L330" s="226">
        <v>0.68269999999999997</v>
      </c>
      <c r="M330" s="226">
        <v>0.68269999999999997</v>
      </c>
    </row>
    <row r="331" spans="1:13">
      <c r="A331" s="227">
        <v>2.2999999999999998</v>
      </c>
      <c r="B331" s="226">
        <v>0.84360000000000002</v>
      </c>
      <c r="C331" s="226">
        <v>0.84360000000000002</v>
      </c>
      <c r="D331" s="226">
        <v>0.83899999999999997</v>
      </c>
      <c r="E331" s="226">
        <v>0.83899999999999997</v>
      </c>
      <c r="F331" s="226">
        <v>0.83899999999999997</v>
      </c>
      <c r="G331" s="226">
        <v>0.75839999999999996</v>
      </c>
      <c r="H331" s="226">
        <v>0.75839999999999996</v>
      </c>
      <c r="I331" s="226">
        <v>0.66949999999999998</v>
      </c>
      <c r="J331" s="226">
        <v>0.66949999999999998</v>
      </c>
      <c r="K331" s="226">
        <v>0.66949999999999998</v>
      </c>
      <c r="L331" s="226">
        <v>0.66949999999999998</v>
      </c>
      <c r="M331" s="226">
        <v>0.66949999999999998</v>
      </c>
    </row>
    <row r="332" spans="1:13">
      <c r="A332" s="227">
        <v>2.4</v>
      </c>
      <c r="B332" s="226">
        <v>0.82940000000000003</v>
      </c>
      <c r="C332" s="226">
        <v>0.82940000000000003</v>
      </c>
      <c r="D332" s="226">
        <v>0.82410000000000005</v>
      </c>
      <c r="E332" s="226">
        <v>0.82410000000000005</v>
      </c>
      <c r="F332" s="226">
        <v>0.82410000000000005</v>
      </c>
      <c r="G332" s="226">
        <v>0.74460000000000004</v>
      </c>
      <c r="H332" s="226">
        <v>0.74460000000000004</v>
      </c>
      <c r="I332" s="226">
        <v>0.65710000000000002</v>
      </c>
      <c r="J332" s="226">
        <v>0.65710000000000002</v>
      </c>
      <c r="K332" s="226">
        <v>0.65710000000000002</v>
      </c>
      <c r="L332" s="226">
        <v>0.65710000000000002</v>
      </c>
      <c r="M332" s="226">
        <v>0.65710000000000002</v>
      </c>
    </row>
    <row r="333" spans="1:13">
      <c r="A333" s="227">
        <v>2.5</v>
      </c>
      <c r="B333" s="226">
        <v>0.81620000000000004</v>
      </c>
      <c r="C333" s="226">
        <v>0.81620000000000004</v>
      </c>
      <c r="D333" s="226">
        <v>0.81020000000000003</v>
      </c>
      <c r="E333" s="226">
        <v>0.81020000000000003</v>
      </c>
      <c r="F333" s="226">
        <v>0.81020000000000003</v>
      </c>
      <c r="G333" s="226">
        <v>0.73180000000000001</v>
      </c>
      <c r="H333" s="226">
        <v>0.73180000000000001</v>
      </c>
      <c r="I333" s="226">
        <v>0.64549999999999996</v>
      </c>
      <c r="J333" s="226">
        <v>0.64549999999999996</v>
      </c>
      <c r="K333" s="226">
        <v>0.64549999999999996</v>
      </c>
      <c r="L333" s="226">
        <v>0.64549999999999996</v>
      </c>
      <c r="M333" s="226">
        <v>0.64549999999999996</v>
      </c>
    </row>
    <row r="334" spans="1:13">
      <c r="A334" s="227">
        <v>2.6</v>
      </c>
      <c r="B334" s="226">
        <v>0.80389999999999995</v>
      </c>
      <c r="C334" s="226">
        <v>0.80389999999999995</v>
      </c>
      <c r="D334" s="226">
        <v>0.79710000000000003</v>
      </c>
      <c r="E334" s="226">
        <v>0.79710000000000003</v>
      </c>
      <c r="F334" s="226">
        <v>0.79710000000000003</v>
      </c>
      <c r="G334" s="226">
        <v>0.71970000000000001</v>
      </c>
      <c r="H334" s="226">
        <v>0.71970000000000001</v>
      </c>
      <c r="I334" s="226">
        <v>0.63460000000000005</v>
      </c>
      <c r="J334" s="226">
        <v>0.63460000000000005</v>
      </c>
      <c r="K334" s="226">
        <v>0.63460000000000005</v>
      </c>
      <c r="L334" s="226">
        <v>0.63460000000000005</v>
      </c>
      <c r="M334" s="226">
        <v>0.63460000000000005</v>
      </c>
    </row>
    <row r="335" spans="1:13">
      <c r="A335" s="227">
        <v>2.7</v>
      </c>
      <c r="B335" s="226">
        <v>0.79249999999999998</v>
      </c>
      <c r="C335" s="226">
        <v>0.79249999999999998</v>
      </c>
      <c r="D335" s="226">
        <v>0.78490000000000004</v>
      </c>
      <c r="E335" s="226">
        <v>0.78490000000000004</v>
      </c>
      <c r="F335" s="226">
        <v>0.78490000000000004</v>
      </c>
      <c r="G335" s="226">
        <v>0.70840000000000003</v>
      </c>
      <c r="H335" s="226">
        <v>0.70840000000000003</v>
      </c>
      <c r="I335" s="226">
        <v>0.62439999999999996</v>
      </c>
      <c r="J335" s="226">
        <v>0.62439999999999996</v>
      </c>
      <c r="K335" s="226">
        <v>0.62439999999999996</v>
      </c>
      <c r="L335" s="226">
        <v>0.62439999999999996</v>
      </c>
      <c r="M335" s="226">
        <v>0.62439999999999996</v>
      </c>
    </row>
    <row r="336" spans="1:13">
      <c r="A336" s="227">
        <v>2.8</v>
      </c>
      <c r="B336" s="226">
        <v>0.78190000000000004</v>
      </c>
      <c r="C336" s="226">
        <v>0.78190000000000004</v>
      </c>
      <c r="D336" s="226">
        <v>0.77359999999999995</v>
      </c>
      <c r="E336" s="226">
        <v>0.77359999999999995</v>
      </c>
      <c r="F336" s="226">
        <v>0.77359999999999995</v>
      </c>
      <c r="G336" s="226">
        <v>0.69789999999999996</v>
      </c>
      <c r="H336" s="226">
        <v>0.69789999999999996</v>
      </c>
      <c r="I336" s="226">
        <v>0.61480000000000001</v>
      </c>
      <c r="J336" s="226">
        <v>0.61480000000000001</v>
      </c>
      <c r="K336" s="226">
        <v>0.61480000000000001</v>
      </c>
      <c r="L336" s="226">
        <v>0.61480000000000001</v>
      </c>
      <c r="M336" s="226">
        <v>0.61480000000000001</v>
      </c>
    </row>
    <row r="337" spans="1:13">
      <c r="A337" s="227">
        <v>2.9</v>
      </c>
      <c r="B337" s="226">
        <v>0.77210000000000001</v>
      </c>
      <c r="C337" s="226">
        <v>0.77210000000000001</v>
      </c>
      <c r="D337" s="226">
        <v>0.76300000000000001</v>
      </c>
      <c r="E337" s="226">
        <v>0.76300000000000001</v>
      </c>
      <c r="F337" s="226">
        <v>0.76300000000000001</v>
      </c>
      <c r="G337" s="226">
        <v>0.68799999999999994</v>
      </c>
      <c r="H337" s="226">
        <v>0.68799999999999994</v>
      </c>
      <c r="I337" s="226">
        <v>0.60589999999999999</v>
      </c>
      <c r="J337" s="226">
        <v>0.60589999999999999</v>
      </c>
      <c r="K337" s="226">
        <v>0.60589999999999999</v>
      </c>
      <c r="L337" s="226">
        <v>0.60589999999999999</v>
      </c>
      <c r="M337" s="226">
        <v>0.60589999999999999</v>
      </c>
    </row>
    <row r="338" spans="1:13">
      <c r="A338" s="227">
        <v>3</v>
      </c>
      <c r="B338" s="226">
        <v>0.7631</v>
      </c>
      <c r="C338" s="226">
        <v>0.7631</v>
      </c>
      <c r="D338" s="226">
        <v>0.75309999999999999</v>
      </c>
      <c r="E338" s="226">
        <v>0.75309999999999999</v>
      </c>
      <c r="F338" s="226">
        <v>0.75309999999999999</v>
      </c>
      <c r="G338" s="226">
        <v>0.67879999999999996</v>
      </c>
      <c r="H338" s="226">
        <v>0.67879999999999996</v>
      </c>
      <c r="I338" s="226">
        <v>0.59750000000000003</v>
      </c>
      <c r="J338" s="226">
        <v>0.59750000000000003</v>
      </c>
      <c r="K338" s="226">
        <v>0.59750000000000003</v>
      </c>
      <c r="L338" s="226">
        <v>0.59750000000000003</v>
      </c>
      <c r="M338" s="226">
        <v>0.59750000000000003</v>
      </c>
    </row>
    <row r="339" spans="1:13">
      <c r="A339" s="227">
        <v>3.1</v>
      </c>
      <c r="B339" s="226">
        <v>0.75470000000000004</v>
      </c>
      <c r="C339" s="226">
        <v>0.75470000000000004</v>
      </c>
      <c r="D339" s="226">
        <v>0.74399999999999999</v>
      </c>
      <c r="E339" s="226">
        <v>0.74399999999999999</v>
      </c>
      <c r="F339" s="226">
        <v>0.74399999999999999</v>
      </c>
      <c r="G339" s="226">
        <v>0.67020000000000002</v>
      </c>
      <c r="H339" s="226">
        <v>0.67020000000000002</v>
      </c>
      <c r="I339" s="226">
        <v>0.5897</v>
      </c>
      <c r="J339" s="226">
        <v>0.5897</v>
      </c>
      <c r="K339" s="226">
        <v>0.5897</v>
      </c>
      <c r="L339" s="226">
        <v>0.5897</v>
      </c>
      <c r="M339" s="226">
        <v>0.5897</v>
      </c>
    </row>
    <row r="340" spans="1:13">
      <c r="A340" s="227">
        <v>3.2</v>
      </c>
      <c r="B340" s="226">
        <v>0.747</v>
      </c>
      <c r="C340" s="226">
        <v>0.747</v>
      </c>
      <c r="D340" s="226">
        <v>0.73540000000000005</v>
      </c>
      <c r="E340" s="226">
        <v>0.73540000000000005</v>
      </c>
      <c r="F340" s="226">
        <v>0.73540000000000005</v>
      </c>
      <c r="G340" s="226">
        <v>0.66220000000000001</v>
      </c>
      <c r="H340" s="226">
        <v>0.66220000000000001</v>
      </c>
      <c r="I340" s="226">
        <v>0.58230000000000004</v>
      </c>
      <c r="J340" s="226">
        <v>0.58230000000000004</v>
      </c>
      <c r="K340" s="226">
        <v>0.58230000000000004</v>
      </c>
      <c r="L340" s="226">
        <v>0.58230000000000004</v>
      </c>
      <c r="M340" s="226">
        <v>0.58230000000000004</v>
      </c>
    </row>
    <row r="341" spans="1:13">
      <c r="A341" s="227">
        <v>3.3</v>
      </c>
      <c r="B341" s="226">
        <v>0.7399</v>
      </c>
      <c r="C341" s="226">
        <v>0.7399</v>
      </c>
      <c r="D341" s="226">
        <v>0.72750000000000004</v>
      </c>
      <c r="E341" s="226">
        <v>0.72750000000000004</v>
      </c>
      <c r="F341" s="226">
        <v>0.72750000000000004</v>
      </c>
      <c r="G341" s="226">
        <v>0.65480000000000005</v>
      </c>
      <c r="H341" s="226">
        <v>0.65480000000000005</v>
      </c>
      <c r="I341" s="226">
        <v>0.57540000000000002</v>
      </c>
      <c r="J341" s="226">
        <v>0.57540000000000002</v>
      </c>
      <c r="K341" s="226">
        <v>0.57540000000000002</v>
      </c>
      <c r="L341" s="226">
        <v>0.57540000000000002</v>
      </c>
      <c r="M341" s="226">
        <v>0.57540000000000002</v>
      </c>
    </row>
    <row r="342" spans="1:13">
      <c r="A342" s="227">
        <v>3.4</v>
      </c>
      <c r="B342" s="226">
        <v>0.73340000000000005</v>
      </c>
      <c r="C342" s="226">
        <v>0.73340000000000005</v>
      </c>
      <c r="D342" s="226">
        <v>0.72009999999999996</v>
      </c>
      <c r="E342" s="226">
        <v>0.72009999999999996</v>
      </c>
      <c r="F342" s="226">
        <v>0.72009999999999996</v>
      </c>
      <c r="G342" s="226">
        <v>0.64780000000000004</v>
      </c>
      <c r="H342" s="226">
        <v>0.64780000000000004</v>
      </c>
      <c r="I342" s="226">
        <v>0.56899999999999995</v>
      </c>
      <c r="J342" s="226">
        <v>0.56899999999999995</v>
      </c>
      <c r="K342" s="226">
        <v>0.56899999999999995</v>
      </c>
      <c r="L342" s="226">
        <v>0.56899999999999995</v>
      </c>
      <c r="M342" s="226">
        <v>0.56899999999999995</v>
      </c>
    </row>
    <row r="343" spans="1:13">
      <c r="A343" s="227">
        <v>3.5</v>
      </c>
      <c r="B343" s="226">
        <v>0.72740000000000005</v>
      </c>
      <c r="C343" s="226">
        <v>0.72740000000000005</v>
      </c>
      <c r="D343" s="226">
        <v>0.71330000000000005</v>
      </c>
      <c r="E343" s="226">
        <v>0.71330000000000005</v>
      </c>
      <c r="F343" s="226">
        <v>0.71330000000000005</v>
      </c>
      <c r="G343" s="226">
        <v>0.64129999999999998</v>
      </c>
      <c r="H343" s="226">
        <v>0.64129999999999998</v>
      </c>
      <c r="I343" s="226">
        <v>0.56310000000000004</v>
      </c>
      <c r="J343" s="226">
        <v>0.56310000000000004</v>
      </c>
      <c r="K343" s="226">
        <v>0.56310000000000004</v>
      </c>
      <c r="L343" s="226">
        <v>0.56310000000000004</v>
      </c>
      <c r="M343" s="226">
        <v>0.56310000000000004</v>
      </c>
    </row>
    <row r="344" spans="1:13">
      <c r="A344" s="227">
        <v>3.6</v>
      </c>
      <c r="B344" s="226">
        <v>0.72189999999999999</v>
      </c>
      <c r="C344" s="226">
        <v>0.72189999999999999</v>
      </c>
      <c r="D344" s="226">
        <v>0.70699999999999996</v>
      </c>
      <c r="E344" s="226">
        <v>0.70699999999999996</v>
      </c>
      <c r="F344" s="226">
        <v>0.70699999999999996</v>
      </c>
      <c r="G344" s="226">
        <v>0.63529999999999998</v>
      </c>
      <c r="H344" s="226">
        <v>0.63529999999999998</v>
      </c>
      <c r="I344" s="226">
        <v>0.5575</v>
      </c>
      <c r="J344" s="226">
        <v>0.5575</v>
      </c>
      <c r="K344" s="226">
        <v>0.5575</v>
      </c>
      <c r="L344" s="226">
        <v>0.5575</v>
      </c>
      <c r="M344" s="226">
        <v>0.5575</v>
      </c>
    </row>
    <row r="345" spans="1:13">
      <c r="A345" s="227">
        <v>3.7</v>
      </c>
      <c r="B345" s="226">
        <v>0.71679999999999999</v>
      </c>
      <c r="C345" s="226">
        <v>0.71679999999999999</v>
      </c>
      <c r="D345" s="226">
        <v>0.70109999999999995</v>
      </c>
      <c r="E345" s="226">
        <v>0.70109999999999995</v>
      </c>
      <c r="F345" s="226">
        <v>0.70109999999999995</v>
      </c>
      <c r="G345" s="226">
        <v>0.62970000000000004</v>
      </c>
      <c r="H345" s="226">
        <v>0.62970000000000004</v>
      </c>
      <c r="I345" s="226">
        <v>0.55230000000000001</v>
      </c>
      <c r="J345" s="226">
        <v>0.55230000000000001</v>
      </c>
      <c r="K345" s="226">
        <v>0.55230000000000001</v>
      </c>
      <c r="L345" s="226">
        <v>0.55230000000000001</v>
      </c>
      <c r="M345" s="226">
        <v>0.55230000000000001</v>
      </c>
    </row>
    <row r="346" spans="1:13">
      <c r="A346" s="227">
        <v>3.8</v>
      </c>
      <c r="B346" s="226">
        <v>0.71220000000000006</v>
      </c>
      <c r="C346" s="226">
        <v>0.71220000000000006</v>
      </c>
      <c r="D346" s="226">
        <v>0.6956</v>
      </c>
      <c r="E346" s="226">
        <v>0.6956</v>
      </c>
      <c r="F346" s="226">
        <v>0.6956</v>
      </c>
      <c r="G346" s="226">
        <v>0.62439999999999996</v>
      </c>
      <c r="H346" s="226">
        <v>0.62439999999999996</v>
      </c>
      <c r="I346" s="226">
        <v>0.5474</v>
      </c>
      <c r="J346" s="226">
        <v>0.5474</v>
      </c>
      <c r="K346" s="226">
        <v>0.5474</v>
      </c>
      <c r="L346" s="226">
        <v>0.5474</v>
      </c>
      <c r="M346" s="226">
        <v>0.5474</v>
      </c>
    </row>
    <row r="347" spans="1:13">
      <c r="A347" s="227">
        <v>3.9</v>
      </c>
      <c r="B347" s="226">
        <v>0.70799999999999996</v>
      </c>
      <c r="C347" s="226">
        <v>0.70799999999999996</v>
      </c>
      <c r="D347" s="226">
        <v>0.69059999999999999</v>
      </c>
      <c r="E347" s="226">
        <v>0.69059999999999999</v>
      </c>
      <c r="F347" s="226">
        <v>0.69059999999999999</v>
      </c>
      <c r="G347" s="226">
        <v>0.61950000000000005</v>
      </c>
      <c r="H347" s="226">
        <v>0.61950000000000005</v>
      </c>
      <c r="I347" s="226">
        <v>0.54279999999999995</v>
      </c>
      <c r="J347" s="226">
        <v>0.54279999999999995</v>
      </c>
      <c r="K347" s="226">
        <v>0.54279999999999995</v>
      </c>
      <c r="L347" s="226">
        <v>0.54279999999999995</v>
      </c>
      <c r="M347" s="226">
        <v>0.54279999999999995</v>
      </c>
    </row>
    <row r="348" spans="1:13">
      <c r="A348" s="227">
        <v>4</v>
      </c>
      <c r="B348" s="226">
        <v>0.70409999999999995</v>
      </c>
      <c r="C348" s="226">
        <v>0.70409999999999995</v>
      </c>
      <c r="D348" s="226">
        <v>0.68589999999999995</v>
      </c>
      <c r="E348" s="226">
        <v>0.68589999999999995</v>
      </c>
      <c r="F348" s="226">
        <v>0.68589999999999995</v>
      </c>
      <c r="G348" s="226">
        <v>0.61499999999999999</v>
      </c>
      <c r="H348" s="226">
        <v>0.61499999999999999</v>
      </c>
      <c r="I348" s="226">
        <v>0.53859999999999997</v>
      </c>
      <c r="J348" s="226">
        <v>0.53859999999999997</v>
      </c>
      <c r="K348" s="226">
        <v>0.53859999999999997</v>
      </c>
      <c r="L348" s="226">
        <v>0.53859999999999997</v>
      </c>
      <c r="M348" s="226">
        <v>0.53859999999999997</v>
      </c>
    </row>
    <row r="349" spans="1:13">
      <c r="A349" s="227">
        <v>4.0999999999999996</v>
      </c>
      <c r="B349" s="226">
        <v>0.7006</v>
      </c>
      <c r="C349" s="226">
        <v>0.7006</v>
      </c>
      <c r="D349" s="226">
        <v>0.68159999999999998</v>
      </c>
      <c r="E349" s="226">
        <v>0.68159999999999998</v>
      </c>
      <c r="F349" s="226">
        <v>0.68159999999999998</v>
      </c>
      <c r="G349" s="226">
        <v>0.61080000000000001</v>
      </c>
      <c r="H349" s="226">
        <v>0.61080000000000001</v>
      </c>
      <c r="I349" s="226">
        <v>0.53459999999999996</v>
      </c>
      <c r="J349" s="226">
        <v>0.53459999999999996</v>
      </c>
      <c r="K349" s="226">
        <v>0.53459999999999996</v>
      </c>
      <c r="L349" s="226">
        <v>0.53459999999999996</v>
      </c>
      <c r="M349" s="226">
        <v>0.53459999999999996</v>
      </c>
    </row>
    <row r="350" spans="1:13">
      <c r="A350" s="227">
        <v>4.2</v>
      </c>
      <c r="B350" s="226">
        <v>0.69740000000000002</v>
      </c>
      <c r="C350" s="226">
        <v>0.69740000000000002</v>
      </c>
      <c r="D350" s="226">
        <v>0.67759999999999998</v>
      </c>
      <c r="E350" s="226">
        <v>0.67759999999999998</v>
      </c>
      <c r="F350" s="226">
        <v>0.67759999999999998</v>
      </c>
      <c r="G350" s="226">
        <v>0.60699999999999998</v>
      </c>
      <c r="H350" s="226">
        <v>0.60699999999999998</v>
      </c>
      <c r="I350" s="226">
        <v>0.53090000000000004</v>
      </c>
      <c r="J350" s="226">
        <v>0.53090000000000004</v>
      </c>
      <c r="K350" s="226">
        <v>0.53090000000000004</v>
      </c>
      <c r="L350" s="226">
        <v>0.53090000000000004</v>
      </c>
      <c r="M350" s="226">
        <v>0.53090000000000004</v>
      </c>
    </row>
    <row r="351" spans="1:13">
      <c r="A351" s="227">
        <v>4.3</v>
      </c>
      <c r="B351" s="226">
        <v>0.69450000000000001</v>
      </c>
      <c r="C351" s="226">
        <v>0.69450000000000001</v>
      </c>
      <c r="D351" s="226">
        <v>0.67390000000000005</v>
      </c>
      <c r="E351" s="226">
        <v>0.67390000000000005</v>
      </c>
      <c r="F351" s="226">
        <v>0.67390000000000005</v>
      </c>
      <c r="G351" s="226">
        <v>0.60329999999999995</v>
      </c>
      <c r="H351" s="226">
        <v>0.60329999999999995</v>
      </c>
      <c r="I351" s="226">
        <v>0.52739999999999998</v>
      </c>
      <c r="J351" s="226">
        <v>0.52739999999999998</v>
      </c>
      <c r="K351" s="226">
        <v>0.52739999999999998</v>
      </c>
      <c r="L351" s="226">
        <v>0.52739999999999998</v>
      </c>
      <c r="M351" s="226">
        <v>0.52739999999999998</v>
      </c>
    </row>
    <row r="352" spans="1:13">
      <c r="A352" s="227">
        <v>4.4000000000000004</v>
      </c>
      <c r="B352" s="226">
        <v>0.69179999999999997</v>
      </c>
      <c r="C352" s="226">
        <v>0.69179999999999997</v>
      </c>
      <c r="D352" s="226">
        <v>0.67049999999999998</v>
      </c>
      <c r="E352" s="226">
        <v>0.67049999999999998</v>
      </c>
      <c r="F352" s="226">
        <v>0.67049999999999998</v>
      </c>
      <c r="G352" s="226">
        <v>0.59989999999999999</v>
      </c>
      <c r="H352" s="226">
        <v>0.59989999999999999</v>
      </c>
      <c r="I352" s="226">
        <v>0.5242</v>
      </c>
      <c r="J352" s="226">
        <v>0.5242</v>
      </c>
      <c r="K352" s="226">
        <v>0.5242</v>
      </c>
      <c r="L352" s="226">
        <v>0.5242</v>
      </c>
      <c r="M352" s="226">
        <v>0.5242</v>
      </c>
    </row>
    <row r="353" spans="1:13">
      <c r="A353" s="227">
        <v>4.5</v>
      </c>
      <c r="B353" s="226">
        <v>0.68940000000000001</v>
      </c>
      <c r="C353" s="226">
        <v>0.68940000000000001</v>
      </c>
      <c r="D353" s="226">
        <v>0.6673</v>
      </c>
      <c r="E353" s="226">
        <v>0.6673</v>
      </c>
      <c r="F353" s="226">
        <v>0.6673</v>
      </c>
      <c r="G353" s="226">
        <v>0.59670000000000001</v>
      </c>
      <c r="H353" s="226">
        <v>0.59670000000000001</v>
      </c>
      <c r="I353" s="226">
        <v>0.52110000000000001</v>
      </c>
      <c r="J353" s="226">
        <v>0.52110000000000001</v>
      </c>
      <c r="K353" s="226">
        <v>0.52110000000000001</v>
      </c>
      <c r="L353" s="226">
        <v>0.52110000000000001</v>
      </c>
      <c r="M353" s="226">
        <v>0.52110000000000001</v>
      </c>
    </row>
    <row r="354" spans="1:13">
      <c r="A354" s="227">
        <v>4.5999999999999996</v>
      </c>
      <c r="B354" s="226">
        <v>0.68720000000000003</v>
      </c>
      <c r="C354" s="226">
        <v>0.68720000000000003</v>
      </c>
      <c r="D354" s="226">
        <v>0.6643</v>
      </c>
      <c r="E354" s="226">
        <v>0.6643</v>
      </c>
      <c r="F354" s="226">
        <v>0.6643</v>
      </c>
      <c r="G354" s="226">
        <v>0.59379999999999999</v>
      </c>
      <c r="H354" s="226">
        <v>0.59379999999999999</v>
      </c>
      <c r="I354" s="226">
        <v>0.51819999999999999</v>
      </c>
      <c r="J354" s="226">
        <v>0.51819999999999999</v>
      </c>
      <c r="K354" s="226">
        <v>0.51819999999999999</v>
      </c>
      <c r="L354" s="226">
        <v>0.51819999999999999</v>
      </c>
      <c r="M354" s="226">
        <v>0.51819999999999999</v>
      </c>
    </row>
    <row r="355" spans="1:13">
      <c r="A355" s="227">
        <v>4.7</v>
      </c>
      <c r="B355" s="226">
        <v>0.68520000000000003</v>
      </c>
      <c r="C355" s="226">
        <v>0.68520000000000003</v>
      </c>
      <c r="D355" s="226">
        <v>0.66149999999999998</v>
      </c>
      <c r="E355" s="226">
        <v>0.66149999999999998</v>
      </c>
      <c r="F355" s="226">
        <v>0.66149999999999998</v>
      </c>
      <c r="G355" s="226">
        <v>0.59109999999999996</v>
      </c>
      <c r="H355" s="226">
        <v>0.59109999999999996</v>
      </c>
      <c r="I355" s="226">
        <v>0.51559999999999995</v>
      </c>
      <c r="J355" s="226">
        <v>0.51559999999999995</v>
      </c>
      <c r="K355" s="226">
        <v>0.51559999999999995</v>
      </c>
      <c r="L355" s="226">
        <v>0.51559999999999995</v>
      </c>
      <c r="M355" s="226">
        <v>0.51559999999999995</v>
      </c>
    </row>
    <row r="356" spans="1:13">
      <c r="A356" s="227">
        <v>4.8</v>
      </c>
      <c r="B356" s="226">
        <v>0.68340000000000001</v>
      </c>
      <c r="C356" s="226">
        <v>0.68340000000000001</v>
      </c>
      <c r="D356" s="226">
        <v>0.65900000000000003</v>
      </c>
      <c r="E356" s="226">
        <v>0.65900000000000003</v>
      </c>
      <c r="F356" s="226">
        <v>0.65900000000000003</v>
      </c>
      <c r="G356" s="226">
        <v>0.58850000000000002</v>
      </c>
      <c r="H356" s="226">
        <v>0.58850000000000002</v>
      </c>
      <c r="I356" s="226">
        <v>0.51300000000000001</v>
      </c>
      <c r="J356" s="226">
        <v>0.51300000000000001</v>
      </c>
      <c r="K356" s="226">
        <v>0.51300000000000001</v>
      </c>
      <c r="L356" s="226">
        <v>0.51300000000000001</v>
      </c>
      <c r="M356" s="226">
        <v>0.51300000000000001</v>
      </c>
    </row>
    <row r="357" spans="1:13">
      <c r="A357" s="227">
        <v>4.9000000000000004</v>
      </c>
      <c r="B357" s="226">
        <v>0.68179999999999996</v>
      </c>
      <c r="C357" s="226">
        <v>0.68179999999999996</v>
      </c>
      <c r="D357" s="226">
        <v>0.65659999999999996</v>
      </c>
      <c r="E357" s="226">
        <v>0.65659999999999996</v>
      </c>
      <c r="F357" s="226">
        <v>0.65659999999999996</v>
      </c>
      <c r="G357" s="226">
        <v>0.58599999999999997</v>
      </c>
      <c r="H357" s="226">
        <v>0.58599999999999997</v>
      </c>
      <c r="I357" s="226">
        <v>0.51060000000000005</v>
      </c>
      <c r="J357" s="226">
        <v>0.51060000000000005</v>
      </c>
      <c r="K357" s="226">
        <v>0.51060000000000005</v>
      </c>
      <c r="L357" s="226">
        <v>0.51060000000000005</v>
      </c>
      <c r="M357" s="226">
        <v>0.51060000000000005</v>
      </c>
    </row>
    <row r="358" spans="1:13">
      <c r="A358" s="227">
        <v>5</v>
      </c>
      <c r="B358" s="226">
        <v>0.68030000000000002</v>
      </c>
      <c r="C358" s="226">
        <v>0.68030000000000002</v>
      </c>
      <c r="D358" s="226">
        <v>0.65439999999999998</v>
      </c>
      <c r="E358" s="226">
        <v>0.65439999999999998</v>
      </c>
      <c r="F358" s="226">
        <v>0.65439999999999998</v>
      </c>
      <c r="G358" s="226">
        <v>0.58379999999999999</v>
      </c>
      <c r="H358" s="226">
        <v>0.58379999999999999</v>
      </c>
      <c r="I358" s="226">
        <v>0.50839999999999996</v>
      </c>
      <c r="J358" s="226">
        <v>0.50839999999999996</v>
      </c>
      <c r="K358" s="226">
        <v>0.50839999999999996</v>
      </c>
      <c r="L358" s="226">
        <v>0.50839999999999996</v>
      </c>
      <c r="M358" s="226">
        <v>0.50839999999999996</v>
      </c>
    </row>
    <row r="359" spans="1:13">
      <c r="A359" s="223">
        <v>5.0999999999999996</v>
      </c>
      <c r="B359" s="226">
        <v>0.67889999999999995</v>
      </c>
      <c r="C359" s="226">
        <v>0.67889999999999995</v>
      </c>
      <c r="D359" s="226">
        <v>0.65229999999999999</v>
      </c>
      <c r="E359" s="226">
        <v>0.65229999999999999</v>
      </c>
      <c r="F359" s="226">
        <v>0.65229999999999999</v>
      </c>
      <c r="G359" s="226">
        <v>0.58160000000000001</v>
      </c>
      <c r="H359" s="226">
        <v>0.58160000000000001</v>
      </c>
      <c r="I359" s="226">
        <v>0.50629999999999997</v>
      </c>
      <c r="J359" s="226">
        <v>0.50629999999999997</v>
      </c>
      <c r="K359" s="226">
        <v>0.50629999999999997</v>
      </c>
      <c r="L359" s="226">
        <v>0.50629999999999997</v>
      </c>
      <c r="M359" s="226">
        <v>0.50629999999999997</v>
      </c>
    </row>
    <row r="360" spans="1:13">
      <c r="A360" s="223">
        <v>5.2</v>
      </c>
      <c r="B360" s="226">
        <v>0.67749999999999999</v>
      </c>
      <c r="C360" s="226">
        <v>0.67749999999999999</v>
      </c>
      <c r="D360" s="226">
        <v>0.65029999999999999</v>
      </c>
      <c r="E360" s="226">
        <v>0.65029999999999999</v>
      </c>
      <c r="F360" s="226">
        <v>0.65029999999999999</v>
      </c>
      <c r="G360" s="226">
        <v>0.57950000000000002</v>
      </c>
      <c r="H360" s="226">
        <v>0.57950000000000002</v>
      </c>
      <c r="I360" s="226">
        <v>0.50419999999999998</v>
      </c>
      <c r="J360" s="226">
        <v>0.50419999999999998</v>
      </c>
      <c r="K360" s="226">
        <v>0.50419999999999998</v>
      </c>
      <c r="L360" s="226">
        <v>0.50419999999999998</v>
      </c>
      <c r="M360" s="226">
        <v>0.50419999999999998</v>
      </c>
    </row>
    <row r="361" spans="1:13">
      <c r="A361" s="223">
        <v>5.3</v>
      </c>
      <c r="B361" s="226">
        <v>0.67620000000000002</v>
      </c>
      <c r="C361" s="226">
        <v>0.67620000000000002</v>
      </c>
      <c r="D361" s="226">
        <v>0.64839999999999998</v>
      </c>
      <c r="E361" s="226">
        <v>0.64839999999999998</v>
      </c>
      <c r="F361" s="226">
        <v>0.64839999999999998</v>
      </c>
      <c r="G361" s="226">
        <v>0.5776</v>
      </c>
      <c r="H361" s="226">
        <v>0.5776</v>
      </c>
      <c r="I361" s="226">
        <v>0.50229999999999997</v>
      </c>
      <c r="J361" s="226">
        <v>0.50229999999999997</v>
      </c>
      <c r="K361" s="226">
        <v>0.50229999999999997</v>
      </c>
      <c r="L361" s="226">
        <v>0.50229999999999997</v>
      </c>
      <c r="M361" s="226">
        <v>0.50229999999999997</v>
      </c>
    </row>
    <row r="362" spans="1:13">
      <c r="A362" s="223">
        <v>5.4</v>
      </c>
      <c r="B362" s="226">
        <v>0.67500000000000004</v>
      </c>
      <c r="C362" s="226">
        <v>0.67500000000000004</v>
      </c>
      <c r="D362" s="226">
        <v>0.64670000000000005</v>
      </c>
      <c r="E362" s="226">
        <v>0.64670000000000005</v>
      </c>
      <c r="F362" s="226">
        <v>0.64670000000000005</v>
      </c>
      <c r="G362" s="226">
        <v>0.57579999999999998</v>
      </c>
      <c r="H362" s="226">
        <v>0.57579999999999998</v>
      </c>
      <c r="I362" s="226">
        <v>0.50039999999999996</v>
      </c>
      <c r="J362" s="226">
        <v>0.50039999999999996</v>
      </c>
      <c r="K362" s="226">
        <v>0.50039999999999996</v>
      </c>
      <c r="L362" s="226">
        <v>0.50039999999999996</v>
      </c>
      <c r="M362" s="226">
        <v>0.50039999999999996</v>
      </c>
    </row>
    <row r="363" spans="1:13">
      <c r="A363" s="223">
        <v>5.5</v>
      </c>
      <c r="B363" s="226">
        <v>0.67379999999999995</v>
      </c>
      <c r="C363" s="226">
        <v>0.67379999999999995</v>
      </c>
      <c r="D363" s="226">
        <v>0.64500000000000002</v>
      </c>
      <c r="E363" s="226">
        <v>0.64500000000000002</v>
      </c>
      <c r="F363" s="226">
        <v>0.64500000000000002</v>
      </c>
      <c r="G363" s="226">
        <v>0.57399999999999995</v>
      </c>
      <c r="H363" s="226">
        <v>0.57399999999999995</v>
      </c>
      <c r="I363" s="226">
        <v>0.49869999999999998</v>
      </c>
      <c r="J363" s="226">
        <v>0.49869999999999998</v>
      </c>
      <c r="K363" s="226">
        <v>0.49869999999999998</v>
      </c>
      <c r="L363" s="226">
        <v>0.49869999999999998</v>
      </c>
      <c r="M363" s="226">
        <v>0.49869999999999998</v>
      </c>
    </row>
    <row r="364" spans="1:13">
      <c r="A364" s="223">
        <v>5.6</v>
      </c>
      <c r="B364" s="226">
        <v>0.67259999999999998</v>
      </c>
      <c r="C364" s="226">
        <v>0.67259999999999998</v>
      </c>
      <c r="D364" s="226">
        <v>0.64339999999999997</v>
      </c>
      <c r="E364" s="226">
        <v>0.64339999999999997</v>
      </c>
      <c r="F364" s="226">
        <v>0.64339999999999997</v>
      </c>
      <c r="G364" s="226">
        <v>0.57240000000000002</v>
      </c>
      <c r="H364" s="226">
        <v>0.57240000000000002</v>
      </c>
      <c r="I364" s="226">
        <v>0.49690000000000001</v>
      </c>
      <c r="J364" s="226">
        <v>0.49690000000000001</v>
      </c>
      <c r="K364" s="226">
        <v>0.49690000000000001</v>
      </c>
      <c r="L364" s="226">
        <v>0.49690000000000001</v>
      </c>
      <c r="M364" s="226">
        <v>0.49690000000000001</v>
      </c>
    </row>
    <row r="365" spans="1:13">
      <c r="A365" s="227">
        <v>5.7</v>
      </c>
      <c r="B365" s="226">
        <v>0.6714</v>
      </c>
      <c r="C365" s="226">
        <v>0.6714</v>
      </c>
      <c r="D365" s="226">
        <v>0.64190000000000003</v>
      </c>
      <c r="E365" s="226">
        <v>0.64190000000000003</v>
      </c>
      <c r="F365" s="226">
        <v>0.64190000000000003</v>
      </c>
      <c r="G365" s="226">
        <v>0.57069999999999999</v>
      </c>
      <c r="H365" s="226">
        <v>0.57069999999999999</v>
      </c>
      <c r="I365" s="226">
        <v>0.49519999999999997</v>
      </c>
      <c r="J365" s="226">
        <v>0.49519999999999997</v>
      </c>
      <c r="K365" s="226">
        <v>0.49519999999999997</v>
      </c>
      <c r="L365" s="226">
        <v>0.49519999999999997</v>
      </c>
      <c r="M365" s="226">
        <v>0.49519999999999997</v>
      </c>
    </row>
    <row r="366" spans="1:13">
      <c r="A366" s="223">
        <v>5.8</v>
      </c>
      <c r="B366" s="226">
        <v>0.67020000000000002</v>
      </c>
      <c r="C366" s="226">
        <v>0.67020000000000002</v>
      </c>
      <c r="D366" s="226">
        <v>0.64039999999999997</v>
      </c>
      <c r="E366" s="226">
        <v>0.64039999999999997</v>
      </c>
      <c r="F366" s="226">
        <v>0.64039999999999997</v>
      </c>
      <c r="G366" s="226">
        <v>0.56910000000000005</v>
      </c>
      <c r="H366" s="226">
        <v>0.56910000000000005</v>
      </c>
      <c r="I366" s="226">
        <v>0.49359999999999998</v>
      </c>
      <c r="J366" s="226">
        <v>0.49359999999999998</v>
      </c>
      <c r="K366" s="226">
        <v>0.49359999999999998</v>
      </c>
      <c r="L366" s="226">
        <v>0.49359999999999998</v>
      </c>
      <c r="M366" s="226">
        <v>0.49359999999999998</v>
      </c>
    </row>
    <row r="367" spans="1:13">
      <c r="A367" s="223">
        <v>5.9</v>
      </c>
      <c r="B367" s="226">
        <v>0.66910000000000003</v>
      </c>
      <c r="C367" s="226">
        <v>0.66910000000000003</v>
      </c>
      <c r="D367" s="226">
        <v>0.63890000000000002</v>
      </c>
      <c r="E367" s="226">
        <v>0.63890000000000002</v>
      </c>
      <c r="F367" s="226">
        <v>0.63890000000000002</v>
      </c>
      <c r="G367" s="226">
        <v>0.5675</v>
      </c>
      <c r="H367" s="226">
        <v>0.5675</v>
      </c>
      <c r="I367" s="226">
        <v>0.4919</v>
      </c>
      <c r="J367" s="226">
        <v>0.4919</v>
      </c>
      <c r="K367" s="226">
        <v>0.4919</v>
      </c>
      <c r="L367" s="226">
        <v>0.4919</v>
      </c>
      <c r="M367" s="226">
        <v>0.4919</v>
      </c>
    </row>
    <row r="368" spans="1:13">
      <c r="A368" s="223">
        <v>6</v>
      </c>
      <c r="B368" s="226">
        <v>0.66800000000000004</v>
      </c>
      <c r="C368" s="226">
        <v>0.66800000000000004</v>
      </c>
      <c r="D368" s="226">
        <v>0.63739999999999997</v>
      </c>
      <c r="E368" s="226">
        <v>0.63739999999999997</v>
      </c>
      <c r="F368" s="226">
        <v>0.63739999999999997</v>
      </c>
      <c r="G368" s="226">
        <v>0.56589999999999996</v>
      </c>
      <c r="H368" s="226">
        <v>0.56589999999999996</v>
      </c>
      <c r="I368" s="226">
        <v>0.49020000000000002</v>
      </c>
      <c r="J368" s="226">
        <v>0.49020000000000002</v>
      </c>
      <c r="K368" s="226">
        <v>0.49020000000000002</v>
      </c>
      <c r="L368" s="226">
        <v>0.49020000000000002</v>
      </c>
      <c r="M368" s="226">
        <v>0.49020000000000002</v>
      </c>
    </row>
    <row r="369" spans="1:13">
      <c r="A369" s="223">
        <v>6.1</v>
      </c>
      <c r="B369" s="226">
        <v>0.66690000000000005</v>
      </c>
      <c r="C369" s="226">
        <v>0.66690000000000005</v>
      </c>
      <c r="D369" s="226">
        <v>0.63590000000000002</v>
      </c>
      <c r="E369" s="226">
        <v>0.63590000000000002</v>
      </c>
      <c r="F369" s="226">
        <v>0.63590000000000002</v>
      </c>
      <c r="G369" s="226">
        <v>0.56440000000000001</v>
      </c>
      <c r="H369" s="226">
        <v>0.56440000000000001</v>
      </c>
      <c r="I369" s="226">
        <v>0.48849999999999999</v>
      </c>
      <c r="J369" s="226">
        <v>0.48849999999999999</v>
      </c>
      <c r="K369" s="226">
        <v>0.48849999999999999</v>
      </c>
      <c r="L369" s="226">
        <v>0.48849999999999999</v>
      </c>
      <c r="M369" s="226">
        <v>0.48849999999999999</v>
      </c>
    </row>
    <row r="370" spans="1:13">
      <c r="A370" s="223">
        <v>6.2</v>
      </c>
      <c r="B370" s="226">
        <v>0.66579999999999995</v>
      </c>
      <c r="C370" s="226">
        <v>0.66579999999999995</v>
      </c>
      <c r="D370" s="226">
        <v>0.63439999999999996</v>
      </c>
      <c r="E370" s="226">
        <v>0.63439999999999996</v>
      </c>
      <c r="F370" s="226">
        <v>0.63439999999999996</v>
      </c>
      <c r="G370" s="226">
        <v>0.56289999999999996</v>
      </c>
      <c r="H370" s="226">
        <v>0.56289999999999996</v>
      </c>
      <c r="I370" s="226">
        <v>0.48680000000000001</v>
      </c>
      <c r="J370" s="226">
        <v>0.48680000000000001</v>
      </c>
      <c r="K370" s="226">
        <v>0.48680000000000001</v>
      </c>
      <c r="L370" s="226">
        <v>0.48680000000000001</v>
      </c>
      <c r="M370" s="226">
        <v>0.48680000000000001</v>
      </c>
    </row>
    <row r="371" spans="1:13">
      <c r="A371" s="223">
        <v>6.3</v>
      </c>
      <c r="B371" s="226">
        <v>0.66469999999999996</v>
      </c>
      <c r="C371" s="226">
        <v>0.66469999999999996</v>
      </c>
      <c r="D371" s="226">
        <v>0.63290000000000002</v>
      </c>
      <c r="E371" s="226">
        <v>0.63290000000000002</v>
      </c>
      <c r="F371" s="226">
        <v>0.63290000000000002</v>
      </c>
      <c r="G371" s="226">
        <v>0.56130000000000002</v>
      </c>
      <c r="H371" s="226">
        <v>0.56130000000000002</v>
      </c>
      <c r="I371" s="226">
        <v>0.48509999999999998</v>
      </c>
      <c r="J371" s="226">
        <v>0.48509999999999998</v>
      </c>
      <c r="K371" s="226">
        <v>0.48509999999999998</v>
      </c>
      <c r="L371" s="226">
        <v>0.48509999999999998</v>
      </c>
      <c r="M371" s="226">
        <v>0.48509999999999998</v>
      </c>
    </row>
    <row r="372" spans="1:13">
      <c r="A372" s="223">
        <v>6.4</v>
      </c>
      <c r="B372" s="226">
        <v>0.66359999999999997</v>
      </c>
      <c r="C372" s="226">
        <v>0.66359999999999997</v>
      </c>
      <c r="D372" s="226">
        <v>0.63139999999999996</v>
      </c>
      <c r="E372" s="226">
        <v>0.63139999999999996</v>
      </c>
      <c r="F372" s="226">
        <v>0.63139999999999996</v>
      </c>
      <c r="G372" s="226">
        <v>0.55979999999999996</v>
      </c>
      <c r="H372" s="226">
        <v>0.55979999999999996</v>
      </c>
      <c r="I372" s="226">
        <v>0.48349999999999999</v>
      </c>
      <c r="J372" s="226">
        <v>0.48349999999999999</v>
      </c>
      <c r="K372" s="226">
        <v>0.48349999999999999</v>
      </c>
      <c r="L372" s="226">
        <v>0.48349999999999999</v>
      </c>
      <c r="M372" s="226">
        <v>0.48349999999999999</v>
      </c>
    </row>
    <row r="373" spans="1:13">
      <c r="A373" s="223">
        <v>6.5</v>
      </c>
      <c r="B373" s="226">
        <v>0.66249999999999998</v>
      </c>
      <c r="C373" s="226">
        <v>0.66249999999999998</v>
      </c>
      <c r="D373" s="226">
        <v>0.63</v>
      </c>
      <c r="E373" s="226">
        <v>0.63</v>
      </c>
      <c r="F373" s="226">
        <v>0.63</v>
      </c>
      <c r="G373" s="226">
        <v>0.55820000000000003</v>
      </c>
      <c r="H373" s="226">
        <v>0.55820000000000003</v>
      </c>
      <c r="I373" s="226">
        <v>0.4819</v>
      </c>
      <c r="J373" s="226">
        <v>0.4819</v>
      </c>
      <c r="K373" s="226">
        <v>0.4819</v>
      </c>
      <c r="L373" s="226">
        <v>0.4819</v>
      </c>
      <c r="M373" s="226">
        <v>0.4819</v>
      </c>
    </row>
    <row r="374" spans="1:13">
      <c r="A374" s="223">
        <v>6.6</v>
      </c>
      <c r="B374" s="226">
        <v>0.66149999999999998</v>
      </c>
      <c r="C374" s="226">
        <v>0.66149999999999998</v>
      </c>
      <c r="D374" s="226">
        <v>0.62860000000000005</v>
      </c>
      <c r="E374" s="226">
        <v>0.62860000000000005</v>
      </c>
      <c r="F374" s="226">
        <v>0.62860000000000005</v>
      </c>
      <c r="G374" s="226">
        <v>0.55669999999999997</v>
      </c>
      <c r="H374" s="226">
        <v>0.55669999999999997</v>
      </c>
      <c r="I374" s="226">
        <v>0.4803</v>
      </c>
      <c r="J374" s="226">
        <v>0.4803</v>
      </c>
      <c r="K374" s="226">
        <v>0.4803</v>
      </c>
      <c r="L374" s="226">
        <v>0.4803</v>
      </c>
      <c r="M374" s="226">
        <v>0.4803</v>
      </c>
    </row>
    <row r="375" spans="1:13">
      <c r="A375" s="223">
        <v>6.7</v>
      </c>
      <c r="B375" s="226">
        <v>0.66049999999999998</v>
      </c>
      <c r="C375" s="226">
        <v>0.66049999999999998</v>
      </c>
      <c r="D375" s="226">
        <v>0.62719999999999998</v>
      </c>
      <c r="E375" s="226">
        <v>0.62719999999999998</v>
      </c>
      <c r="F375" s="226">
        <v>0.62719999999999998</v>
      </c>
      <c r="G375" s="226">
        <v>0.55520000000000003</v>
      </c>
      <c r="H375" s="226">
        <v>0.55520000000000003</v>
      </c>
      <c r="I375" s="226">
        <v>0.47870000000000001</v>
      </c>
      <c r="J375" s="226">
        <v>0.47870000000000001</v>
      </c>
      <c r="K375" s="226">
        <v>0.47870000000000001</v>
      </c>
      <c r="L375" s="226">
        <v>0.47870000000000001</v>
      </c>
      <c r="M375" s="226">
        <v>0.47870000000000001</v>
      </c>
    </row>
    <row r="376" spans="1:13">
      <c r="A376" s="223">
        <v>6.8</v>
      </c>
      <c r="B376" s="226">
        <v>0.65949999999999998</v>
      </c>
      <c r="C376" s="226">
        <v>0.65949999999999998</v>
      </c>
      <c r="D376" s="226">
        <v>0.62580000000000002</v>
      </c>
      <c r="E376" s="226">
        <v>0.62580000000000002</v>
      </c>
      <c r="F376" s="226">
        <v>0.62580000000000002</v>
      </c>
      <c r="G376" s="226">
        <v>0.55359999999999998</v>
      </c>
      <c r="H376" s="226">
        <v>0.55359999999999998</v>
      </c>
      <c r="I376" s="226">
        <v>0.47710000000000002</v>
      </c>
      <c r="J376" s="226">
        <v>0.47710000000000002</v>
      </c>
      <c r="K376" s="226">
        <v>0.47710000000000002</v>
      </c>
      <c r="L376" s="226">
        <v>0.47710000000000002</v>
      </c>
      <c r="M376" s="226">
        <v>0.47710000000000002</v>
      </c>
    </row>
    <row r="377" spans="1:13">
      <c r="A377" s="223">
        <v>6.9</v>
      </c>
      <c r="B377" s="226">
        <v>0.65849999999999997</v>
      </c>
      <c r="C377" s="226">
        <v>0.65849999999999997</v>
      </c>
      <c r="D377" s="226">
        <v>0.62439999999999996</v>
      </c>
      <c r="E377" s="226">
        <v>0.62439999999999996</v>
      </c>
      <c r="F377" s="226">
        <v>0.62439999999999996</v>
      </c>
      <c r="G377" s="226">
        <v>0.55220000000000002</v>
      </c>
      <c r="H377" s="226">
        <v>0.55220000000000002</v>
      </c>
      <c r="I377" s="226">
        <v>0.47549999999999998</v>
      </c>
      <c r="J377" s="226">
        <v>0.47549999999999998</v>
      </c>
      <c r="K377" s="226">
        <v>0.47549999999999998</v>
      </c>
      <c r="L377" s="226">
        <v>0.47549999999999998</v>
      </c>
      <c r="M377" s="226">
        <v>0.47549999999999998</v>
      </c>
    </row>
    <row r="378" spans="1:13">
      <c r="A378" s="223">
        <v>7</v>
      </c>
      <c r="B378" s="226">
        <v>0.65749999999999997</v>
      </c>
      <c r="C378" s="226">
        <v>0.65749999999999997</v>
      </c>
      <c r="D378" s="226">
        <v>0.623</v>
      </c>
      <c r="E378" s="226">
        <v>0.623</v>
      </c>
      <c r="F378" s="226">
        <v>0.623</v>
      </c>
      <c r="G378" s="226">
        <v>0.55069999999999997</v>
      </c>
      <c r="H378" s="226">
        <v>0.55069999999999997</v>
      </c>
      <c r="I378" s="226">
        <v>0.47389999999999999</v>
      </c>
      <c r="J378" s="226">
        <v>0.47389999999999999</v>
      </c>
      <c r="K378" s="226">
        <v>0.47389999999999999</v>
      </c>
      <c r="L378" s="226">
        <v>0.47389999999999999</v>
      </c>
      <c r="M378" s="226">
        <v>0.47389999999999999</v>
      </c>
    </row>
    <row r="379" spans="1:13">
      <c r="A379" s="223">
        <v>7.1</v>
      </c>
      <c r="B379" s="226">
        <v>0.65649999999999997</v>
      </c>
      <c r="C379" s="226">
        <v>0.65649999999999997</v>
      </c>
      <c r="D379" s="226">
        <v>0.62160000000000004</v>
      </c>
      <c r="E379" s="226">
        <v>0.62160000000000004</v>
      </c>
      <c r="F379" s="226">
        <v>0.62160000000000004</v>
      </c>
      <c r="G379" s="226">
        <v>0.54930000000000001</v>
      </c>
      <c r="H379" s="226">
        <v>0.54930000000000001</v>
      </c>
      <c r="I379" s="226">
        <v>0.47239999999999999</v>
      </c>
      <c r="J379" s="226">
        <v>0.47239999999999999</v>
      </c>
      <c r="K379" s="226">
        <v>0.47239999999999999</v>
      </c>
      <c r="L379" s="226">
        <v>0.47239999999999999</v>
      </c>
      <c r="M379" s="226">
        <v>0.47239999999999999</v>
      </c>
    </row>
    <row r="380" spans="1:13">
      <c r="A380" s="223">
        <v>7.2</v>
      </c>
      <c r="B380" s="226">
        <v>0.65549999999999997</v>
      </c>
      <c r="C380" s="226">
        <v>0.65549999999999997</v>
      </c>
      <c r="D380" s="226">
        <v>0.62019999999999997</v>
      </c>
      <c r="E380" s="226">
        <v>0.62019999999999997</v>
      </c>
      <c r="F380" s="226">
        <v>0.62019999999999997</v>
      </c>
      <c r="G380" s="226">
        <v>0.54779999999999995</v>
      </c>
      <c r="H380" s="226">
        <v>0.54779999999999995</v>
      </c>
      <c r="I380" s="226">
        <v>0.47089999999999999</v>
      </c>
      <c r="J380" s="226">
        <v>0.47089999999999999</v>
      </c>
      <c r="K380" s="226">
        <v>0.47089999999999999</v>
      </c>
      <c r="L380" s="226">
        <v>0.47089999999999999</v>
      </c>
      <c r="M380" s="226">
        <v>0.47089999999999999</v>
      </c>
    </row>
    <row r="381" spans="1:13">
      <c r="A381" s="223">
        <v>7.3</v>
      </c>
      <c r="B381" s="226">
        <v>0.65449999999999997</v>
      </c>
      <c r="C381" s="226">
        <v>0.65449999999999997</v>
      </c>
      <c r="D381" s="226">
        <v>0.61880000000000002</v>
      </c>
      <c r="E381" s="226">
        <v>0.61880000000000002</v>
      </c>
      <c r="F381" s="226">
        <v>0.61880000000000002</v>
      </c>
      <c r="G381" s="226">
        <v>0.5464</v>
      </c>
      <c r="H381" s="226">
        <v>0.5464</v>
      </c>
      <c r="I381" s="226">
        <v>0.46939999999999998</v>
      </c>
      <c r="J381" s="226">
        <v>0.46939999999999998</v>
      </c>
      <c r="K381" s="226">
        <v>0.46939999999999998</v>
      </c>
      <c r="L381" s="226">
        <v>0.46939999999999998</v>
      </c>
      <c r="M381" s="226">
        <v>0.46939999999999998</v>
      </c>
    </row>
    <row r="382" spans="1:13">
      <c r="A382" s="223">
        <v>7.4</v>
      </c>
      <c r="B382" s="226">
        <v>0.65349999999999997</v>
      </c>
      <c r="C382" s="226">
        <v>0.65349999999999997</v>
      </c>
      <c r="D382" s="226">
        <v>0.61750000000000005</v>
      </c>
      <c r="E382" s="226">
        <v>0.61750000000000005</v>
      </c>
      <c r="F382" s="226">
        <v>0.61750000000000005</v>
      </c>
      <c r="G382" s="226">
        <v>0.54490000000000005</v>
      </c>
      <c r="H382" s="226">
        <v>0.54490000000000005</v>
      </c>
      <c r="I382" s="226">
        <v>0.46779999999999999</v>
      </c>
      <c r="J382" s="226">
        <v>0.46779999999999999</v>
      </c>
      <c r="K382" s="226">
        <v>0.46779999999999999</v>
      </c>
      <c r="L382" s="226">
        <v>0.46779999999999999</v>
      </c>
      <c r="M382" s="226">
        <v>0.46779999999999999</v>
      </c>
    </row>
    <row r="383" spans="1:13">
      <c r="A383" s="223">
        <v>7.5</v>
      </c>
      <c r="B383" s="226">
        <v>0.65249999999999997</v>
      </c>
      <c r="C383" s="226">
        <v>0.65249999999999997</v>
      </c>
      <c r="D383" s="226">
        <v>0.61619999999999997</v>
      </c>
      <c r="E383" s="226">
        <v>0.61619999999999997</v>
      </c>
      <c r="F383" s="226">
        <v>0.61619999999999997</v>
      </c>
      <c r="G383" s="226">
        <v>0.54349999999999998</v>
      </c>
      <c r="H383" s="226">
        <v>0.54349999999999998</v>
      </c>
      <c r="I383" s="226">
        <v>0.46629999999999999</v>
      </c>
      <c r="J383" s="226">
        <v>0.46629999999999999</v>
      </c>
      <c r="K383" s="226">
        <v>0.46629999999999999</v>
      </c>
      <c r="L383" s="226">
        <v>0.46629999999999999</v>
      </c>
      <c r="M383" s="226">
        <v>0.46629999999999999</v>
      </c>
    </row>
    <row r="384" spans="1:13">
      <c r="A384" s="223">
        <v>7.6</v>
      </c>
      <c r="B384" s="226">
        <v>0.65149999999999997</v>
      </c>
      <c r="C384" s="226">
        <v>0.65149999999999997</v>
      </c>
      <c r="D384" s="226">
        <v>0.6149</v>
      </c>
      <c r="E384" s="226">
        <v>0.6149</v>
      </c>
      <c r="F384" s="226">
        <v>0.6149</v>
      </c>
      <c r="G384" s="226">
        <v>0.54200000000000004</v>
      </c>
      <c r="H384" s="226">
        <v>0.54200000000000004</v>
      </c>
      <c r="I384" s="226">
        <v>0.46479999999999999</v>
      </c>
      <c r="J384" s="226">
        <v>0.46479999999999999</v>
      </c>
      <c r="K384" s="226">
        <v>0.46479999999999999</v>
      </c>
      <c r="L384" s="226">
        <v>0.46479999999999999</v>
      </c>
      <c r="M384" s="226">
        <v>0.46479999999999999</v>
      </c>
    </row>
    <row r="385" spans="1:13">
      <c r="A385" s="223">
        <v>7.7</v>
      </c>
      <c r="B385" s="226">
        <v>0.65049999999999997</v>
      </c>
      <c r="C385" s="226">
        <v>0.65049999999999997</v>
      </c>
      <c r="D385" s="226">
        <v>0.61360000000000003</v>
      </c>
      <c r="E385" s="226">
        <v>0.61360000000000003</v>
      </c>
      <c r="F385" s="226">
        <v>0.61360000000000003</v>
      </c>
      <c r="G385" s="226">
        <v>0.54059999999999997</v>
      </c>
      <c r="H385" s="226">
        <v>0.54059999999999997</v>
      </c>
      <c r="I385" s="226">
        <v>0.46329999999999999</v>
      </c>
      <c r="J385" s="226">
        <v>0.46329999999999999</v>
      </c>
      <c r="K385" s="226">
        <v>0.46329999999999999</v>
      </c>
      <c r="L385" s="226">
        <v>0.46329999999999999</v>
      </c>
      <c r="M385" s="226">
        <v>0.46329999999999999</v>
      </c>
    </row>
    <row r="386" spans="1:13">
      <c r="A386" s="223">
        <v>7.8</v>
      </c>
      <c r="B386" s="226">
        <v>0.64949999999999997</v>
      </c>
      <c r="C386" s="226">
        <v>0.64949999999999997</v>
      </c>
      <c r="D386" s="226">
        <v>0.61229999999999996</v>
      </c>
      <c r="E386" s="226">
        <v>0.61229999999999996</v>
      </c>
      <c r="F386" s="226">
        <v>0.61229999999999996</v>
      </c>
      <c r="G386" s="226">
        <v>0.53910000000000002</v>
      </c>
      <c r="H386" s="226">
        <v>0.53910000000000002</v>
      </c>
      <c r="I386" s="226">
        <v>0.4617</v>
      </c>
      <c r="J386" s="226">
        <v>0.4617</v>
      </c>
      <c r="K386" s="226">
        <v>0.4617</v>
      </c>
      <c r="L386" s="226">
        <v>0.4617</v>
      </c>
      <c r="M386" s="226">
        <v>0.4617</v>
      </c>
    </row>
    <row r="387" spans="1:13">
      <c r="A387" s="223">
        <v>7.9</v>
      </c>
      <c r="B387" s="226">
        <v>0.64849999999999997</v>
      </c>
      <c r="C387" s="226">
        <v>0.64849999999999997</v>
      </c>
      <c r="D387" s="226">
        <v>0.61099999999999999</v>
      </c>
      <c r="E387" s="226">
        <v>0.61099999999999999</v>
      </c>
      <c r="F387" s="226">
        <v>0.61099999999999999</v>
      </c>
      <c r="G387" s="226">
        <v>0.53769999999999996</v>
      </c>
      <c r="H387" s="226">
        <v>0.53769999999999996</v>
      </c>
      <c r="I387" s="226">
        <v>0.4602</v>
      </c>
      <c r="J387" s="226">
        <v>0.4602</v>
      </c>
      <c r="K387" s="226">
        <v>0.4602</v>
      </c>
      <c r="L387" s="226">
        <v>0.4602</v>
      </c>
      <c r="M387" s="226">
        <v>0.4602</v>
      </c>
    </row>
    <row r="388" spans="1:13">
      <c r="A388" s="223">
        <v>8</v>
      </c>
      <c r="B388" s="226">
        <v>0.64749999999999996</v>
      </c>
      <c r="C388" s="226">
        <v>0.64749999999999996</v>
      </c>
      <c r="D388" s="226">
        <v>0.60970000000000002</v>
      </c>
      <c r="E388" s="226">
        <v>0.60970000000000002</v>
      </c>
      <c r="F388" s="226">
        <v>0.60970000000000002</v>
      </c>
      <c r="G388" s="226">
        <v>0.53620000000000001</v>
      </c>
      <c r="H388" s="226">
        <v>0.53620000000000001</v>
      </c>
      <c r="I388" s="226">
        <v>0.4587</v>
      </c>
      <c r="J388" s="226">
        <v>0.4587</v>
      </c>
      <c r="K388" s="226">
        <v>0.4587</v>
      </c>
      <c r="L388" s="226">
        <v>0.4587</v>
      </c>
      <c r="M388" s="226">
        <v>0.4587</v>
      </c>
    </row>
    <row r="389" spans="1:13">
      <c r="A389" s="223">
        <v>8.1</v>
      </c>
      <c r="B389" s="226">
        <v>0.64649999999999996</v>
      </c>
      <c r="C389" s="226">
        <v>0.64649999999999996</v>
      </c>
      <c r="D389" s="226">
        <v>0.60840000000000005</v>
      </c>
      <c r="E389" s="226">
        <v>0.60840000000000005</v>
      </c>
      <c r="F389" s="226">
        <v>0.60840000000000005</v>
      </c>
      <c r="G389" s="226">
        <v>0.53480000000000005</v>
      </c>
      <c r="H389" s="226">
        <v>0.53480000000000005</v>
      </c>
      <c r="I389" s="226">
        <v>0.4572</v>
      </c>
      <c r="J389" s="226">
        <v>0.4572</v>
      </c>
      <c r="K389" s="226">
        <v>0.4572</v>
      </c>
      <c r="L389" s="226">
        <v>0.4572</v>
      </c>
      <c r="M389" s="226">
        <v>0.4572</v>
      </c>
    </row>
    <row r="390" spans="1:13">
      <c r="A390" s="223">
        <v>8.1999999999999993</v>
      </c>
      <c r="B390" s="226">
        <v>0.64549999999999996</v>
      </c>
      <c r="C390" s="226">
        <v>0.64549999999999996</v>
      </c>
      <c r="D390" s="226">
        <v>0.60709999999999997</v>
      </c>
      <c r="E390" s="226">
        <v>0.60709999999999997</v>
      </c>
      <c r="F390" s="226">
        <v>0.60709999999999997</v>
      </c>
      <c r="G390" s="226">
        <v>0.5333</v>
      </c>
      <c r="H390" s="226">
        <v>0.5333</v>
      </c>
      <c r="I390" s="226">
        <v>0.45569999999999999</v>
      </c>
      <c r="J390" s="226">
        <v>0.45569999999999999</v>
      </c>
      <c r="K390" s="226">
        <v>0.45569999999999999</v>
      </c>
      <c r="L390" s="226">
        <v>0.45569999999999999</v>
      </c>
      <c r="M390" s="226">
        <v>0.45569999999999999</v>
      </c>
    </row>
    <row r="391" spans="1:13">
      <c r="A391" s="223">
        <v>8.3000000000000007</v>
      </c>
      <c r="B391" s="226">
        <v>0.64449999999999996</v>
      </c>
      <c r="C391" s="226">
        <v>0.64449999999999996</v>
      </c>
      <c r="D391" s="226">
        <v>0.60580000000000001</v>
      </c>
      <c r="E391" s="226">
        <v>0.60580000000000001</v>
      </c>
      <c r="F391" s="226">
        <v>0.60580000000000001</v>
      </c>
      <c r="G391" s="226">
        <v>0.53190000000000004</v>
      </c>
      <c r="H391" s="226">
        <v>0.53190000000000004</v>
      </c>
      <c r="I391" s="226">
        <v>0.45429999999999998</v>
      </c>
      <c r="J391" s="226">
        <v>0.45429999999999998</v>
      </c>
      <c r="K391" s="226">
        <v>0.45429999999999998</v>
      </c>
      <c r="L391" s="226">
        <v>0.45429999999999998</v>
      </c>
      <c r="M391" s="226">
        <v>0.45429999999999998</v>
      </c>
    </row>
    <row r="392" spans="1:13">
      <c r="A392" s="223">
        <v>8.4</v>
      </c>
      <c r="B392" s="226">
        <v>0.64349999999999996</v>
      </c>
      <c r="C392" s="226">
        <v>0.64349999999999996</v>
      </c>
      <c r="D392" s="226">
        <v>0.60450000000000004</v>
      </c>
      <c r="E392" s="226">
        <v>0.60450000000000004</v>
      </c>
      <c r="F392" s="226">
        <v>0.60450000000000004</v>
      </c>
      <c r="G392" s="226">
        <v>0.53039999999999998</v>
      </c>
      <c r="H392" s="226">
        <v>0.53039999999999998</v>
      </c>
      <c r="I392" s="226">
        <v>0.45290000000000002</v>
      </c>
      <c r="J392" s="226">
        <v>0.45290000000000002</v>
      </c>
      <c r="K392" s="226">
        <v>0.45290000000000002</v>
      </c>
      <c r="L392" s="226">
        <v>0.45290000000000002</v>
      </c>
      <c r="M392" s="226">
        <v>0.45290000000000002</v>
      </c>
    </row>
    <row r="393" spans="1:13">
      <c r="A393" s="223">
        <v>8.5</v>
      </c>
      <c r="B393" s="226">
        <v>0.64249999999999996</v>
      </c>
      <c r="C393" s="226">
        <v>0.64249999999999996</v>
      </c>
      <c r="D393" s="226">
        <v>0.60319999999999996</v>
      </c>
      <c r="E393" s="226">
        <v>0.60319999999999996</v>
      </c>
      <c r="F393" s="226">
        <v>0.60319999999999996</v>
      </c>
      <c r="G393" s="226">
        <v>0.52900000000000003</v>
      </c>
      <c r="H393" s="226">
        <v>0.52900000000000003</v>
      </c>
      <c r="I393" s="226">
        <v>0.45140000000000002</v>
      </c>
      <c r="J393" s="226">
        <v>0.45140000000000002</v>
      </c>
      <c r="K393" s="226">
        <v>0.45140000000000002</v>
      </c>
      <c r="L393" s="226">
        <v>0.45140000000000002</v>
      </c>
      <c r="M393" s="226">
        <v>0.45140000000000002</v>
      </c>
    </row>
    <row r="394" spans="1:13">
      <c r="A394" s="223">
        <v>8.6</v>
      </c>
      <c r="B394" s="226">
        <v>0.64149999999999996</v>
      </c>
      <c r="C394" s="226">
        <v>0.64149999999999996</v>
      </c>
      <c r="D394" s="226">
        <v>0.60189999999999999</v>
      </c>
      <c r="E394" s="226">
        <v>0.60189999999999999</v>
      </c>
      <c r="F394" s="226">
        <v>0.60189999999999999</v>
      </c>
      <c r="G394" s="226">
        <v>0.52749999999999997</v>
      </c>
      <c r="H394" s="226">
        <v>0.52749999999999997</v>
      </c>
      <c r="I394" s="226">
        <v>0.45</v>
      </c>
      <c r="J394" s="226">
        <v>0.45</v>
      </c>
      <c r="K394" s="226">
        <v>0.45</v>
      </c>
      <c r="L394" s="226">
        <v>0.45</v>
      </c>
      <c r="M394" s="226">
        <v>0.45</v>
      </c>
    </row>
    <row r="395" spans="1:13">
      <c r="A395" s="223">
        <v>8.6999999999999993</v>
      </c>
      <c r="B395" s="226">
        <v>0.64049999999999996</v>
      </c>
      <c r="C395" s="226">
        <v>0.64049999999999996</v>
      </c>
      <c r="D395" s="226">
        <v>0.60060000000000002</v>
      </c>
      <c r="E395" s="226">
        <v>0.60060000000000002</v>
      </c>
      <c r="F395" s="226">
        <v>0.60060000000000002</v>
      </c>
      <c r="G395" s="226">
        <v>0.52610000000000001</v>
      </c>
      <c r="H395" s="226">
        <v>0.52610000000000001</v>
      </c>
      <c r="I395" s="226">
        <v>0.44850000000000001</v>
      </c>
      <c r="J395" s="226">
        <v>0.44850000000000001</v>
      </c>
      <c r="K395" s="226">
        <v>0.44850000000000001</v>
      </c>
      <c r="L395" s="226">
        <v>0.44850000000000001</v>
      </c>
      <c r="M395" s="226">
        <v>0.44850000000000001</v>
      </c>
    </row>
    <row r="396" spans="1:13">
      <c r="A396" s="223">
        <v>8.8000000000000007</v>
      </c>
      <c r="B396" s="226">
        <v>0.63949999999999996</v>
      </c>
      <c r="C396" s="226">
        <v>0.63949999999999996</v>
      </c>
      <c r="D396" s="226">
        <v>0.59930000000000005</v>
      </c>
      <c r="E396" s="226">
        <v>0.59930000000000005</v>
      </c>
      <c r="F396" s="226">
        <v>0.59930000000000005</v>
      </c>
      <c r="G396" s="226">
        <v>0.52459999999999996</v>
      </c>
      <c r="H396" s="226">
        <v>0.52459999999999996</v>
      </c>
      <c r="I396" s="226">
        <v>0.4471</v>
      </c>
      <c r="J396" s="226">
        <v>0.4471</v>
      </c>
      <c r="K396" s="226">
        <v>0.4471</v>
      </c>
      <c r="L396" s="226">
        <v>0.4471</v>
      </c>
      <c r="M396" s="226">
        <v>0.4471</v>
      </c>
    </row>
    <row r="397" spans="1:13">
      <c r="A397" s="223">
        <v>8.9</v>
      </c>
      <c r="B397" s="226">
        <v>0.63849999999999996</v>
      </c>
      <c r="C397" s="226">
        <v>0.63849999999999996</v>
      </c>
      <c r="D397" s="226">
        <v>0.59799999999999998</v>
      </c>
      <c r="E397" s="226">
        <v>0.59799999999999998</v>
      </c>
      <c r="F397" s="226">
        <v>0.59799999999999998</v>
      </c>
      <c r="G397" s="226">
        <v>0.5232</v>
      </c>
      <c r="H397" s="226">
        <v>0.5232</v>
      </c>
      <c r="I397" s="226">
        <v>0.4456</v>
      </c>
      <c r="J397" s="226">
        <v>0.4456</v>
      </c>
      <c r="K397" s="226">
        <v>0.4456</v>
      </c>
      <c r="L397" s="226">
        <v>0.4456</v>
      </c>
      <c r="M397" s="226">
        <v>0.4456</v>
      </c>
    </row>
    <row r="398" spans="1:13">
      <c r="A398" s="227">
        <v>9</v>
      </c>
      <c r="B398" s="226">
        <v>0.63749999999999996</v>
      </c>
      <c r="C398" s="226">
        <v>0.63749999999999996</v>
      </c>
      <c r="D398" s="226">
        <v>0.59670000000000001</v>
      </c>
      <c r="E398" s="226">
        <v>0.59670000000000001</v>
      </c>
      <c r="F398" s="226">
        <v>0.59670000000000001</v>
      </c>
      <c r="G398" s="226">
        <v>0.52170000000000005</v>
      </c>
      <c r="H398" s="226">
        <v>0.52170000000000005</v>
      </c>
      <c r="I398" s="226">
        <v>0.44429999999999997</v>
      </c>
      <c r="J398" s="226">
        <v>0.44429999999999997</v>
      </c>
      <c r="K398" s="226">
        <v>0.44429999999999997</v>
      </c>
      <c r="L398" s="226">
        <v>0.44429999999999997</v>
      </c>
      <c r="M398" s="226">
        <v>0.44429999999999997</v>
      </c>
    </row>
    <row r="399" spans="1:13">
      <c r="A399" s="227">
        <v>9.1</v>
      </c>
      <c r="B399" s="226">
        <v>0.63649999999999995</v>
      </c>
      <c r="C399" s="226">
        <v>0.63649999999999995</v>
      </c>
      <c r="D399" s="226">
        <v>0.59540000000000004</v>
      </c>
      <c r="E399" s="226">
        <v>0.59540000000000004</v>
      </c>
      <c r="F399" s="226">
        <v>0.59540000000000004</v>
      </c>
      <c r="G399" s="226">
        <v>0.52029999999999998</v>
      </c>
      <c r="H399" s="226">
        <v>0.52029999999999998</v>
      </c>
      <c r="I399" s="226">
        <v>0.44290000000000002</v>
      </c>
      <c r="J399" s="226">
        <v>0.44290000000000002</v>
      </c>
      <c r="K399" s="226">
        <v>0.44290000000000002</v>
      </c>
      <c r="L399" s="226">
        <v>0.44290000000000002</v>
      </c>
      <c r="M399" s="226">
        <v>0.44290000000000002</v>
      </c>
    </row>
    <row r="400" spans="1:13">
      <c r="A400" s="227">
        <v>9.1999999999999993</v>
      </c>
      <c r="B400" s="226">
        <v>0.63549999999999995</v>
      </c>
      <c r="C400" s="226">
        <v>0.63549999999999995</v>
      </c>
      <c r="D400" s="226">
        <v>0.59409999999999996</v>
      </c>
      <c r="E400" s="226">
        <v>0.59409999999999996</v>
      </c>
      <c r="F400" s="226">
        <v>0.59409999999999996</v>
      </c>
      <c r="G400" s="226">
        <v>0.51880000000000004</v>
      </c>
      <c r="H400" s="226">
        <v>0.51880000000000004</v>
      </c>
      <c r="I400" s="226">
        <v>0.44159999999999999</v>
      </c>
      <c r="J400" s="226">
        <v>0.44159999999999999</v>
      </c>
      <c r="K400" s="226">
        <v>0.44159999999999999</v>
      </c>
      <c r="L400" s="226">
        <v>0.44159999999999999</v>
      </c>
      <c r="M400" s="226">
        <v>0.44159999999999999</v>
      </c>
    </row>
    <row r="401" spans="1:13">
      <c r="A401" s="227">
        <v>9.3000000000000007</v>
      </c>
      <c r="B401" s="226">
        <v>0.63449999999999995</v>
      </c>
      <c r="C401" s="226">
        <v>0.63449999999999995</v>
      </c>
      <c r="D401" s="226">
        <v>0.59279999999999999</v>
      </c>
      <c r="E401" s="226">
        <v>0.59279999999999999</v>
      </c>
      <c r="F401" s="226">
        <v>0.59279999999999999</v>
      </c>
      <c r="G401" s="226">
        <v>0.51739999999999997</v>
      </c>
      <c r="H401" s="226">
        <v>0.51739999999999997</v>
      </c>
      <c r="I401" s="226">
        <v>0.44019999999999998</v>
      </c>
      <c r="J401" s="226">
        <v>0.44019999999999998</v>
      </c>
      <c r="K401" s="226">
        <v>0.44019999999999998</v>
      </c>
      <c r="L401" s="226">
        <v>0.44019999999999998</v>
      </c>
      <c r="M401" s="226">
        <v>0.44019999999999998</v>
      </c>
    </row>
    <row r="402" spans="1:13">
      <c r="A402" s="227">
        <v>9.4</v>
      </c>
      <c r="B402" s="226">
        <v>0.63349999999999995</v>
      </c>
      <c r="C402" s="226">
        <v>0.63349999999999995</v>
      </c>
      <c r="D402" s="226">
        <v>0.59150000000000003</v>
      </c>
      <c r="E402" s="226">
        <v>0.59150000000000003</v>
      </c>
      <c r="F402" s="226">
        <v>0.59150000000000003</v>
      </c>
      <c r="G402" s="226">
        <v>0.51600000000000001</v>
      </c>
      <c r="H402" s="226">
        <v>0.51600000000000001</v>
      </c>
      <c r="I402" s="226">
        <v>0.43880000000000002</v>
      </c>
      <c r="J402" s="226">
        <v>0.43880000000000002</v>
      </c>
      <c r="K402" s="226">
        <v>0.43880000000000002</v>
      </c>
      <c r="L402" s="226">
        <v>0.43880000000000002</v>
      </c>
      <c r="M402" s="226">
        <v>0.43880000000000002</v>
      </c>
    </row>
    <row r="403" spans="1:13">
      <c r="A403" s="227">
        <v>9.5</v>
      </c>
      <c r="B403" s="226">
        <v>0.63249999999999995</v>
      </c>
      <c r="C403" s="226">
        <v>0.63249999999999995</v>
      </c>
      <c r="D403" s="226">
        <v>0.59030000000000005</v>
      </c>
      <c r="E403" s="226">
        <v>0.59030000000000005</v>
      </c>
      <c r="F403" s="226">
        <v>0.59030000000000005</v>
      </c>
      <c r="G403" s="226">
        <v>0.51470000000000005</v>
      </c>
      <c r="H403" s="226">
        <v>0.51470000000000005</v>
      </c>
      <c r="I403" s="226">
        <v>0.4375</v>
      </c>
      <c r="J403" s="226">
        <v>0.4375</v>
      </c>
      <c r="K403" s="226">
        <v>0.4375</v>
      </c>
      <c r="L403" s="226">
        <v>0.4375</v>
      </c>
      <c r="M403" s="226">
        <v>0.4375</v>
      </c>
    </row>
    <row r="404" spans="1:13">
      <c r="A404" s="227">
        <v>9.6</v>
      </c>
      <c r="B404" s="226">
        <v>0.63149999999999995</v>
      </c>
      <c r="C404" s="226">
        <v>0.63149999999999995</v>
      </c>
      <c r="D404" s="226">
        <v>0.58909999999999996</v>
      </c>
      <c r="E404" s="226">
        <v>0.58909999999999996</v>
      </c>
      <c r="F404" s="226">
        <v>0.58909999999999996</v>
      </c>
      <c r="G404" s="226">
        <v>0.51329999999999998</v>
      </c>
      <c r="H404" s="226">
        <v>0.51329999999999998</v>
      </c>
      <c r="I404" s="226">
        <v>0.43609999999999999</v>
      </c>
      <c r="J404" s="226">
        <v>0.43609999999999999</v>
      </c>
      <c r="K404" s="226">
        <v>0.43609999999999999</v>
      </c>
      <c r="L404" s="226">
        <v>0.43609999999999999</v>
      </c>
      <c r="M404" s="226">
        <v>0.43609999999999999</v>
      </c>
    </row>
    <row r="405" spans="1:13">
      <c r="A405" s="227">
        <v>9.6999999999999993</v>
      </c>
      <c r="B405" s="226">
        <v>0.63049999999999995</v>
      </c>
      <c r="C405" s="226">
        <v>0.63049999999999995</v>
      </c>
      <c r="D405" s="226">
        <v>0.58789999999999998</v>
      </c>
      <c r="E405" s="226">
        <v>0.58789999999999998</v>
      </c>
      <c r="F405" s="226">
        <v>0.58789999999999998</v>
      </c>
      <c r="G405" s="226">
        <v>0.51200000000000001</v>
      </c>
      <c r="H405" s="226">
        <v>0.51200000000000001</v>
      </c>
      <c r="I405" s="226">
        <v>0.43480000000000002</v>
      </c>
      <c r="J405" s="226">
        <v>0.43480000000000002</v>
      </c>
      <c r="K405" s="226">
        <v>0.43480000000000002</v>
      </c>
      <c r="L405" s="226">
        <v>0.43480000000000002</v>
      </c>
      <c r="M405" s="226">
        <v>0.43480000000000002</v>
      </c>
    </row>
    <row r="406" spans="1:13">
      <c r="A406" s="227">
        <v>9.8000000000000007</v>
      </c>
      <c r="B406" s="226">
        <v>0.62949999999999995</v>
      </c>
      <c r="C406" s="226">
        <v>0.62949999999999995</v>
      </c>
      <c r="D406" s="226">
        <v>0.5867</v>
      </c>
      <c r="E406" s="226">
        <v>0.5867</v>
      </c>
      <c r="F406" s="226">
        <v>0.5867</v>
      </c>
      <c r="G406" s="226">
        <v>0.51060000000000005</v>
      </c>
      <c r="H406" s="226">
        <v>0.51060000000000005</v>
      </c>
      <c r="I406" s="226">
        <v>0.43340000000000001</v>
      </c>
      <c r="J406" s="226">
        <v>0.43340000000000001</v>
      </c>
      <c r="K406" s="226">
        <v>0.43340000000000001</v>
      </c>
      <c r="L406" s="226">
        <v>0.43340000000000001</v>
      </c>
      <c r="M406" s="226">
        <v>0.43340000000000001</v>
      </c>
    </row>
    <row r="407" spans="1:13">
      <c r="A407" s="227">
        <v>9.9</v>
      </c>
      <c r="B407" s="226">
        <v>0.62849999999999995</v>
      </c>
      <c r="C407" s="226">
        <v>0.62849999999999995</v>
      </c>
      <c r="D407" s="226">
        <v>0.58550000000000002</v>
      </c>
      <c r="E407" s="226">
        <v>0.58550000000000002</v>
      </c>
      <c r="F407" s="226">
        <v>0.58550000000000002</v>
      </c>
      <c r="G407" s="226">
        <v>0.50919999999999999</v>
      </c>
      <c r="H407" s="226">
        <v>0.50919999999999999</v>
      </c>
      <c r="I407" s="226">
        <v>0.432</v>
      </c>
      <c r="J407" s="226">
        <v>0.432</v>
      </c>
      <c r="K407" s="226">
        <v>0.432</v>
      </c>
      <c r="L407" s="226">
        <v>0.432</v>
      </c>
      <c r="M407" s="226">
        <v>0.432</v>
      </c>
    </row>
    <row r="408" spans="1:13">
      <c r="A408" s="227">
        <v>10</v>
      </c>
      <c r="B408" s="226">
        <v>0.62749999999999995</v>
      </c>
      <c r="C408" s="226">
        <v>0.62749999999999995</v>
      </c>
      <c r="D408" s="226">
        <v>0.58430000000000004</v>
      </c>
      <c r="E408" s="226">
        <v>0.58430000000000004</v>
      </c>
      <c r="F408" s="226">
        <v>0.58430000000000004</v>
      </c>
      <c r="G408" s="226">
        <v>0.50790000000000002</v>
      </c>
      <c r="H408" s="226">
        <v>0.50790000000000002</v>
      </c>
      <c r="I408" s="226">
        <v>0.43070000000000003</v>
      </c>
      <c r="J408" s="226">
        <v>0.43070000000000003</v>
      </c>
      <c r="K408" s="226">
        <v>0.43070000000000003</v>
      </c>
      <c r="L408" s="226">
        <v>0.43070000000000003</v>
      </c>
      <c r="M408" s="226">
        <v>0.43070000000000003</v>
      </c>
    </row>
  </sheetData>
  <sheetProtection password="C66D" sheet="1" objects="1" scenarios="1" formatCells="0" formatColumns="0" formatRows="0"/>
  <phoneticPr fontId="20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H6" sqref="H6:L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102" t="s">
        <v>2250</v>
      </c>
      <c r="C1" s="3102"/>
      <c r="D1" s="3102"/>
      <c r="E1" s="3102"/>
      <c r="F1" s="3102"/>
      <c r="G1" s="3103" t="s">
        <v>2251</v>
      </c>
      <c r="H1" s="3103"/>
      <c r="I1" s="3103"/>
      <c r="J1" s="3103"/>
      <c r="K1" s="3103"/>
      <c r="L1" s="3103"/>
      <c r="N1" s="3103" t="s">
        <v>2252</v>
      </c>
      <c r="O1" s="3103"/>
      <c r="P1" s="3103"/>
      <c r="Q1" s="3103"/>
      <c r="R1" s="80"/>
      <c r="S1" s="3103" t="s">
        <v>2253</v>
      </c>
      <c r="T1" s="3103"/>
      <c r="U1" s="3103"/>
      <c r="V1" s="3103"/>
      <c r="X1" s="3104" t="s">
        <v>2254</v>
      </c>
      <c r="Y1" s="3103"/>
      <c r="Z1" s="3103"/>
      <c r="AA1" s="3103"/>
      <c r="AB1" s="3103"/>
      <c r="AD1" s="3104" t="s">
        <v>2255</v>
      </c>
      <c r="AE1" s="3103"/>
      <c r="AF1" s="3103"/>
      <c r="AG1" s="3103"/>
      <c r="AH1" s="3103"/>
    </row>
    <row r="2" spans="1:34" s="69" customFormat="1" ht="13.5">
      <c r="B2" s="81" t="s">
        <v>2256</v>
      </c>
      <c r="C2" s="81" t="s">
        <v>2257</v>
      </c>
      <c r="D2" s="82" t="s">
        <v>470</v>
      </c>
      <c r="E2" s="82" t="s">
        <v>1651</v>
      </c>
      <c r="F2" s="81" t="s">
        <v>2258</v>
      </c>
      <c r="G2" s="83"/>
      <c r="H2" s="84"/>
      <c r="I2" s="81" t="s">
        <v>2256</v>
      </c>
      <c r="J2" s="82" t="s">
        <v>2259</v>
      </c>
      <c r="K2" s="82" t="s">
        <v>1651</v>
      </c>
      <c r="L2" s="81" t="s">
        <v>2258</v>
      </c>
      <c r="N2" s="81" t="s">
        <v>2256</v>
      </c>
      <c r="O2" s="82" t="s">
        <v>2259</v>
      </c>
      <c r="P2" s="82" t="s">
        <v>1651</v>
      </c>
      <c r="Q2" s="81" t="s">
        <v>2258</v>
      </c>
      <c r="R2" s="158"/>
      <c r="S2" s="81" t="s">
        <v>2256</v>
      </c>
      <c r="T2" s="82" t="s">
        <v>2259</v>
      </c>
      <c r="U2" s="82" t="s">
        <v>1651</v>
      </c>
      <c r="V2" s="81" t="s">
        <v>2258</v>
      </c>
      <c r="X2" s="81" t="s">
        <v>2256</v>
      </c>
      <c r="Y2" s="81" t="s">
        <v>2257</v>
      </c>
      <c r="Z2" s="82" t="s">
        <v>470</v>
      </c>
      <c r="AA2" s="82" t="s">
        <v>1651</v>
      </c>
      <c r="AB2" s="81" t="s">
        <v>2258</v>
      </c>
      <c r="AD2" s="81" t="s">
        <v>2256</v>
      </c>
      <c r="AE2" s="81" t="s">
        <v>2257</v>
      </c>
      <c r="AF2" s="82" t="s">
        <v>470</v>
      </c>
      <c r="AG2" s="82" t="s">
        <v>1651</v>
      </c>
      <c r="AH2" s="81" t="s">
        <v>2258</v>
      </c>
    </row>
    <row r="3" spans="1:34" s="70" customFormat="1" ht="14.25">
      <c r="A3" s="85" t="s">
        <v>2260</v>
      </c>
      <c r="B3" s="86"/>
      <c r="C3" s="86"/>
      <c r="D3" s="87"/>
      <c r="E3" s="87"/>
      <c r="F3" s="86"/>
      <c r="G3" s="88"/>
      <c r="H3" s="89"/>
      <c r="I3" s="122">
        <f>ROUND(AVERAGE(I4:I27),2)</f>
        <v>2.04</v>
      </c>
      <c r="J3" s="122">
        <f>ROUND(AVERAGE(J4:J27),2)</f>
        <v>1.44</v>
      </c>
      <c r="K3" s="122">
        <f>ROUND(AVERAGE(K4:K27),2)</f>
        <v>2.23</v>
      </c>
      <c r="L3" s="123">
        <f>ROUND(AVERAGE(L4:L27),2)</f>
        <v>1.4</v>
      </c>
      <c r="N3" s="88"/>
      <c r="O3" s="124"/>
      <c r="P3" s="124"/>
      <c r="Q3" s="124"/>
      <c r="R3" s="124"/>
      <c r="S3" s="88"/>
      <c r="T3" s="124"/>
      <c r="U3" s="124"/>
      <c r="V3" s="124"/>
      <c r="W3" s="159"/>
      <c r="X3" s="160">
        <f>ROUND(SUMPRODUCT(PRODUCT(1+N3:N$26)),4)</f>
        <v>1.5422</v>
      </c>
      <c r="Y3" s="160">
        <f>ROUND(SUMPRODUCT(PRODUCT(1+O3:O$26)),4)</f>
        <v>1.3557999999999999</v>
      </c>
      <c r="Z3" s="160">
        <f t="shared" ref="Z3:Z24" si="0">Y3</f>
        <v>1.3557999999999999</v>
      </c>
      <c r="AA3" s="160">
        <f>ROUND(SUMPRODUCT(PRODUCT(1+P3:P$26)),4)</f>
        <v>1.6036999999999999</v>
      </c>
      <c r="AB3" s="160">
        <f>ROUND(SUMPRODUCT(PRODUCT(1+Q3:Q$26)),4)</f>
        <v>1.3573</v>
      </c>
      <c r="AD3" s="182">
        <f>ROUND(AVERAGE(I3:I$27)/100,4)</f>
        <v>2.0400000000000001E-2</v>
      </c>
      <c r="AE3" s="182">
        <f>ROUND(AVERAGE(J3:J$27)/100,4)</f>
        <v>1.44E-2</v>
      </c>
      <c r="AF3" s="182">
        <f t="shared" ref="AF3:AF15" si="1">AE3</f>
        <v>1.44E-2</v>
      </c>
      <c r="AG3" s="182">
        <f>ROUND(AVERAGE(K3:K$27)/100,4)</f>
        <v>2.23E-2</v>
      </c>
      <c r="AH3" s="182">
        <f>ROUND(AVERAGE(L3:L$27)/100,4)</f>
        <v>1.4E-2</v>
      </c>
    </row>
    <row r="4" spans="1:34" s="71" customFormat="1" ht="14.25">
      <c r="B4" s="90"/>
      <c r="C4" s="90"/>
      <c r="D4" s="91"/>
      <c r="E4" s="91"/>
      <c r="F4" s="90"/>
      <c r="G4" s="92"/>
      <c r="H4" s="93"/>
      <c r="I4" s="125"/>
      <c r="J4" s="125"/>
      <c r="K4" s="125"/>
      <c r="L4" s="125"/>
      <c r="N4" s="92"/>
      <c r="O4" s="126"/>
      <c r="P4" s="126"/>
      <c r="Q4" s="126"/>
      <c r="R4" s="126"/>
      <c r="S4" s="92"/>
      <c r="T4" s="126"/>
      <c r="U4" s="126"/>
      <c r="V4" s="126"/>
      <c r="X4" s="161"/>
      <c r="Y4" s="161"/>
      <c r="Z4" s="161"/>
      <c r="AA4" s="161"/>
      <c r="AB4" s="161"/>
      <c r="AD4" s="178"/>
      <c r="AE4" s="178"/>
      <c r="AF4" s="178"/>
      <c r="AG4" s="178"/>
      <c r="AH4" s="178"/>
    </row>
    <row r="5" spans="1:34" s="72" customFormat="1">
      <c r="A5" s="94" t="s">
        <v>2261</v>
      </c>
      <c r="B5" s="95">
        <f>B6*(1+N5)</f>
        <v>474.30670301923402</v>
      </c>
      <c r="C5" s="95">
        <f t="shared" ref="C5" si="2">C6*(1+O5)</f>
        <v>349.50705005996502</v>
      </c>
      <c r="D5" s="96">
        <f t="shared" ref="D5" si="3">C5</f>
        <v>349.50705005996502</v>
      </c>
      <c r="E5" s="95">
        <f t="shared" ref="E5" si="4">E6*(1+P5)</f>
        <v>678.22831959707003</v>
      </c>
      <c r="F5" s="95">
        <f t="shared" ref="F5" si="5">F6*(1+Q5)</f>
        <v>312.05568321695603</v>
      </c>
      <c r="G5" s="97">
        <v>2019</v>
      </c>
      <c r="H5" s="98">
        <v>3</v>
      </c>
      <c r="I5" s="127">
        <v>0</v>
      </c>
      <c r="J5" s="127">
        <v>0</v>
      </c>
      <c r="K5" s="127">
        <v>0</v>
      </c>
      <c r="L5" s="128">
        <v>0</v>
      </c>
      <c r="N5" s="129">
        <f>I5/100</f>
        <v>0</v>
      </c>
      <c r="O5" s="129">
        <f t="shared" ref="O5" si="6">J5/100</f>
        <v>0</v>
      </c>
      <c r="P5" s="129">
        <f t="shared" ref="P5" si="7">K5/100</f>
        <v>0</v>
      </c>
      <c r="Q5" s="129">
        <f t="shared" ref="Q5" si="8">L5/100</f>
        <v>0</v>
      </c>
      <c r="R5" s="162"/>
      <c r="S5" s="163"/>
      <c r="T5" s="162"/>
      <c r="U5" s="162"/>
      <c r="V5" s="162"/>
      <c r="W5" s="164" t="s">
        <v>2262</v>
      </c>
      <c r="X5" s="165">
        <f>ROUND(SUMPRODUCT(PRODUCT(1+N5:N$26)),4)</f>
        <v>1.5422</v>
      </c>
      <c r="Y5" s="165">
        <f>ROUND(SUMPRODUCT(PRODUCT(1+O5:O$26)),4)</f>
        <v>1.3557999999999999</v>
      </c>
      <c r="Z5" s="165">
        <f t="shared" ref="Z5" si="9">Y5</f>
        <v>1.3557999999999999</v>
      </c>
      <c r="AA5" s="165">
        <f>ROUND(SUMPRODUCT(PRODUCT(1+P5:P$26)),4)</f>
        <v>1.6036999999999999</v>
      </c>
      <c r="AB5" s="165">
        <f>ROUND(SUMPRODUCT(PRODUCT(1+Q5:Q$26)),4)</f>
        <v>1.3573</v>
      </c>
      <c r="AD5" s="183">
        <f>ROUND(AVERAGE(I5:I$27)/100,4)</f>
        <v>2.0400000000000001E-2</v>
      </c>
      <c r="AE5" s="183">
        <f>ROUND(AVERAGE(J5:J$27)/100,4)</f>
        <v>1.44E-2</v>
      </c>
      <c r="AF5" s="183">
        <f t="shared" ref="AF5" si="10">AE5</f>
        <v>1.44E-2</v>
      </c>
      <c r="AG5" s="183">
        <f>ROUND(AVERAGE(K5:K$27)/100,4)</f>
        <v>2.23E-2</v>
      </c>
      <c r="AH5" s="183">
        <f>ROUND(AVERAGE(L5:L$27)/100,4)</f>
        <v>1.4E-2</v>
      </c>
    </row>
    <row r="6" spans="1:34" s="73" customFormat="1" ht="14.45" customHeight="1">
      <c r="A6" s="99" t="s">
        <v>2263</v>
      </c>
      <c r="B6" s="100">
        <f>B7*(1+N6)</f>
        <v>474.30670301923402</v>
      </c>
      <c r="C6" s="100">
        <f t="shared" ref="C6" si="11">C7*(1+O6)</f>
        <v>349.50705005996502</v>
      </c>
      <c r="D6" s="100">
        <f t="shared" ref="D6" si="12">C6</f>
        <v>349.50705005996502</v>
      </c>
      <c r="E6" s="100">
        <f t="shared" ref="E6" si="13">E7*(1+P6)</f>
        <v>678.22831959707003</v>
      </c>
      <c r="F6" s="100">
        <f t="shared" ref="F6" si="14">F7*(1+Q6)</f>
        <v>312.05568321695603</v>
      </c>
      <c r="G6" s="97">
        <v>2019</v>
      </c>
      <c r="H6" s="101">
        <v>2</v>
      </c>
      <c r="I6" s="101">
        <v>1.53</v>
      </c>
      <c r="J6" s="101">
        <v>1.01</v>
      </c>
      <c r="K6" s="101">
        <v>1.62</v>
      </c>
      <c r="L6" s="130">
        <v>1.25</v>
      </c>
      <c r="M6" s="131"/>
      <c r="N6" s="132">
        <f>I6/100</f>
        <v>1.5299999999999999E-2</v>
      </c>
      <c r="O6" s="133">
        <f t="shared" ref="O6" si="15">J6/100</f>
        <v>1.01E-2</v>
      </c>
      <c r="P6" s="133">
        <f t="shared" ref="P6" si="16">K6/100</f>
        <v>1.6199999999999999E-2</v>
      </c>
      <c r="Q6" s="133">
        <f t="shared" ref="Q6" si="17">L6/100</f>
        <v>1.2500000000000001E-2</v>
      </c>
      <c r="R6" s="131"/>
      <c r="S6" s="132"/>
      <c r="T6" s="133"/>
      <c r="U6" s="133"/>
      <c r="V6" s="133"/>
      <c r="W6" s="131"/>
      <c r="X6" s="166">
        <f>ROUND(SUMPRODUCT(PRODUCT(1+N6:N$26)),4)</f>
        <v>1.5422</v>
      </c>
      <c r="Y6" s="166">
        <f>ROUND(SUMPRODUCT(PRODUCT(1+O6:O$26)),4)</f>
        <v>1.3557999999999999</v>
      </c>
      <c r="Z6" s="166">
        <f t="shared" ref="Z6" si="18">Y6</f>
        <v>1.3557999999999999</v>
      </c>
      <c r="AA6" s="166">
        <f>ROUND(SUMPRODUCT(PRODUCT(1+P6:P$26)),4)</f>
        <v>1.6036999999999999</v>
      </c>
      <c r="AB6" s="166">
        <f>ROUND(SUMPRODUCT(PRODUCT(1+Q6:Q$26)),4)</f>
        <v>1.3573</v>
      </c>
      <c r="AC6" s="131"/>
      <c r="AD6" s="184">
        <f>ROUND(AVERAGE(I6:I$27)/100,4)</f>
        <v>2.1299999999999999E-2</v>
      </c>
      <c r="AE6" s="184">
        <f>ROUND(AVERAGE(J6:J$27)/100,4)</f>
        <v>1.4999999999999999E-2</v>
      </c>
      <c r="AF6" s="184">
        <f t="shared" ref="AF6" si="19">AE6</f>
        <v>1.4999999999999999E-2</v>
      </c>
      <c r="AG6" s="184">
        <f>ROUND(AVERAGE(K6:K$27)/100,4)</f>
        <v>2.3300000000000001E-2</v>
      </c>
      <c r="AH6" s="184">
        <f>ROUND(AVERAGE(L6:L$27)/100,4)</f>
        <v>1.46E-2</v>
      </c>
    </row>
    <row r="7" spans="1:34" s="73" customFormat="1" ht="14.45" customHeight="1">
      <c r="A7" s="99" t="s">
        <v>2264</v>
      </c>
      <c r="B7" s="100">
        <f>B8*(1+N7)</f>
        <v>467.159167752619</v>
      </c>
      <c r="C7" s="100">
        <f t="shared" ref="C7" si="20">C8*(1+O7)</f>
        <v>346.01232557169101</v>
      </c>
      <c r="D7" s="100">
        <f t="shared" ref="D7" si="21">C7</f>
        <v>346.01232557169101</v>
      </c>
      <c r="E7" s="100">
        <f t="shared" ref="E7" si="22">E8*(1+P7)</f>
        <v>667.41617752122602</v>
      </c>
      <c r="F7" s="100">
        <f t="shared" ref="F7" si="23">F8*(1+Q7)</f>
        <v>308.20314391798098</v>
      </c>
      <c r="G7" s="97">
        <v>2019</v>
      </c>
      <c r="H7" s="102">
        <v>1</v>
      </c>
      <c r="I7" s="102">
        <v>0.6</v>
      </c>
      <c r="J7" s="102">
        <v>0.37</v>
      </c>
      <c r="K7" s="102">
        <v>0.63</v>
      </c>
      <c r="L7" s="134">
        <v>1.1299999999999999</v>
      </c>
      <c r="M7" s="131"/>
      <c r="N7" s="132">
        <f>I7/100</f>
        <v>6.0000000000000001E-3</v>
      </c>
      <c r="O7" s="133">
        <f t="shared" ref="O7" si="24">J7/100</f>
        <v>3.7000000000000002E-3</v>
      </c>
      <c r="P7" s="133">
        <f t="shared" ref="P7" si="25">K7/100</f>
        <v>6.3E-3</v>
      </c>
      <c r="Q7" s="133">
        <f t="shared" ref="Q7" si="26">L7/100</f>
        <v>1.1299999999999999E-2</v>
      </c>
      <c r="R7" s="131"/>
      <c r="S7" s="132">
        <f>B7/B8-1</f>
        <v>6.0000000000000097E-3</v>
      </c>
      <c r="T7" s="133">
        <f>C7/C8-1</f>
        <v>3.7000000000000401E-3</v>
      </c>
      <c r="U7" s="133">
        <f>E7/E8-1</f>
        <v>6.2999999999999697E-3</v>
      </c>
      <c r="V7" s="133">
        <f>F7/F8-1</f>
        <v>1.13000000000001E-2</v>
      </c>
      <c r="W7" s="131"/>
      <c r="X7" s="166">
        <f>ROUND(SUMPRODUCT(PRODUCT(1+N7:N$26)),4)</f>
        <v>1.5189999999999999</v>
      </c>
      <c r="Y7" s="166">
        <f>ROUND(SUMPRODUCT(PRODUCT(1+O7:O$26)),4)</f>
        <v>1.3423</v>
      </c>
      <c r="Z7" s="166">
        <f t="shared" ref="Z7" si="27">Y7</f>
        <v>1.3423</v>
      </c>
      <c r="AA7" s="166">
        <f>ROUND(SUMPRODUCT(PRODUCT(1+P7:P$26)),4)</f>
        <v>1.5782</v>
      </c>
      <c r="AB7" s="166">
        <f>ROUND(SUMPRODUCT(PRODUCT(1+Q7:Q$26)),4)</f>
        <v>1.3405</v>
      </c>
      <c r="AC7" s="131"/>
      <c r="AD7" s="184">
        <f>ROUND(AVERAGE(I7:I$27)/100,4)</f>
        <v>2.1600000000000001E-2</v>
      </c>
      <c r="AE7" s="184">
        <f>ROUND(AVERAGE(J7:J$27)/100,4)</f>
        <v>1.5299999999999999E-2</v>
      </c>
      <c r="AF7" s="184">
        <f t="shared" ref="AF7" si="28">AE7</f>
        <v>1.5299999999999999E-2</v>
      </c>
      <c r="AG7" s="184">
        <f>ROUND(AVERAGE(K7:K$27)/100,4)</f>
        <v>2.3699999999999999E-2</v>
      </c>
      <c r="AH7" s="184">
        <f>ROUND(AVERAGE(L7:L$27)/100,4)</f>
        <v>1.47E-2</v>
      </c>
    </row>
    <row r="8" spans="1:34">
      <c r="A8" s="99" t="s">
        <v>2265</v>
      </c>
      <c r="B8" s="103">
        <f>B9*(1+N8)</f>
        <v>464.37293017158902</v>
      </c>
      <c r="C8" s="103">
        <f t="shared" ref="C8" si="29">C9*(1+O8)</f>
        <v>344.73679941386001</v>
      </c>
      <c r="D8" s="103">
        <f t="shared" ref="D8" si="30">C8</f>
        <v>344.73679941386001</v>
      </c>
      <c r="E8" s="103">
        <f t="shared" ref="E8" si="31">E9*(1+P8)</f>
        <v>663.23777951031104</v>
      </c>
      <c r="F8" s="104">
        <f t="shared" ref="F8" si="32">F9*(1+Q8)</f>
        <v>304.75936311478398</v>
      </c>
      <c r="G8" s="3105">
        <v>2018</v>
      </c>
      <c r="H8" s="101">
        <v>4</v>
      </c>
      <c r="I8" s="101">
        <v>0.96</v>
      </c>
      <c r="J8" s="101">
        <v>1.03</v>
      </c>
      <c r="K8" s="101">
        <v>0.92</v>
      </c>
      <c r="L8" s="130">
        <v>1.29</v>
      </c>
      <c r="N8" s="135">
        <f>I8/100</f>
        <v>9.5999999999999992E-3</v>
      </c>
      <c r="O8" s="136">
        <f t="shared" ref="O8" si="33">J8/100</f>
        <v>1.03E-2</v>
      </c>
      <c r="P8" s="136">
        <f t="shared" ref="P8" si="34">K8/100</f>
        <v>9.1999999999999998E-3</v>
      </c>
      <c r="Q8" s="136">
        <f t="shared" ref="Q8" si="35">L8/100</f>
        <v>1.29E-2</v>
      </c>
      <c r="R8" s="167"/>
      <c r="S8" s="168"/>
      <c r="T8" s="169"/>
      <c r="U8" s="169"/>
      <c r="V8" s="169"/>
      <c r="X8" s="161">
        <f>ROUND(SUMPRODUCT(PRODUCT(1+N8:N$26)),4)</f>
        <v>1.5099</v>
      </c>
      <c r="Y8" s="161">
        <f>ROUND(SUMPRODUCT(PRODUCT(1+O8:O$26)),4)</f>
        <v>1.3372999999999999</v>
      </c>
      <c r="Z8" s="161">
        <f t="shared" ref="Z8" si="36">Y8</f>
        <v>1.3372999999999999</v>
      </c>
      <c r="AA8" s="161">
        <f>ROUND(SUMPRODUCT(PRODUCT(1+P8:P$26)),4)</f>
        <v>1.5683</v>
      </c>
      <c r="AB8" s="161">
        <f>ROUND(SUMPRODUCT(PRODUCT(1+Q8:Q$26)),4)</f>
        <v>1.3255999999999999</v>
      </c>
      <c r="AD8" s="178">
        <f>ROUND(AVERAGE(I8:I$27)/100,4)</f>
        <v>2.24E-2</v>
      </c>
      <c r="AE8" s="178">
        <f>ROUND(AVERAGE(J8:J$27)/100,4)</f>
        <v>1.5800000000000002E-2</v>
      </c>
      <c r="AF8" s="178">
        <f t="shared" ref="AF8" si="37">AE8</f>
        <v>1.5800000000000002E-2</v>
      </c>
      <c r="AG8" s="178">
        <f>ROUND(AVERAGE(K8:K$27)/100,4)</f>
        <v>2.4500000000000001E-2</v>
      </c>
      <c r="AH8" s="178">
        <f>ROUND(AVERAGE(L8:L$27)/100,4)</f>
        <v>1.49E-2</v>
      </c>
    </row>
    <row r="9" spans="1:34" s="74" customFormat="1" ht="14.45" customHeight="1">
      <c r="A9" s="99" t="s">
        <v>2266</v>
      </c>
      <c r="B9" s="105">
        <f>B10*(1+N9)</f>
        <v>459.95733971036998</v>
      </c>
      <c r="C9" s="105">
        <f t="shared" ref="C9" si="38">C10*(1+O9)</f>
        <v>341.22221064422399</v>
      </c>
      <c r="D9" s="105">
        <f t="shared" ref="D9" si="39">C9</f>
        <v>341.22221064422399</v>
      </c>
      <c r="E9" s="105">
        <f t="shared" ref="E9" si="40">E10*(1+P9)</f>
        <v>657.19161663724799</v>
      </c>
      <c r="F9" s="105">
        <f t="shared" ref="F9" si="41">F10*(1+Q9)</f>
        <v>300.87803644464799</v>
      </c>
      <c r="G9" s="3105"/>
      <c r="H9" s="102">
        <v>3</v>
      </c>
      <c r="I9" s="102">
        <v>1.51</v>
      </c>
      <c r="J9" s="102">
        <v>1.41</v>
      </c>
      <c r="K9" s="102">
        <v>1.52</v>
      </c>
      <c r="L9" s="134">
        <v>1.74</v>
      </c>
      <c r="M9" s="78"/>
      <c r="N9" s="137">
        <f>I9/100</f>
        <v>1.5100000000000001E-2</v>
      </c>
      <c r="O9" s="138">
        <f t="shared" ref="O9" si="42">J9/100</f>
        <v>1.41E-2</v>
      </c>
      <c r="P9" s="138">
        <f t="shared" ref="P9" si="43">K9/100</f>
        <v>1.52E-2</v>
      </c>
      <c r="Q9" s="138">
        <f t="shared" ref="Q9" si="44">L9/100</f>
        <v>1.7399999999999999E-2</v>
      </c>
      <c r="R9" s="78"/>
      <c r="S9" s="137"/>
      <c r="T9" s="138"/>
      <c r="U9" s="138"/>
      <c r="V9" s="138"/>
      <c r="W9" s="78"/>
      <c r="X9" s="161">
        <f>ROUND(SUMPRODUCT(PRODUCT(1+N9:N$26)),4)</f>
        <v>1.4956</v>
      </c>
      <c r="Y9" s="161">
        <f>ROUND(SUMPRODUCT(PRODUCT(1+O9:O$26)),4)</f>
        <v>1.3237000000000001</v>
      </c>
      <c r="Z9" s="161">
        <f t="shared" ref="Z9" si="45">Y9</f>
        <v>1.3237000000000001</v>
      </c>
      <c r="AA9" s="161">
        <f>ROUND(SUMPRODUCT(PRODUCT(1+P9:P$26)),4)</f>
        <v>1.554</v>
      </c>
      <c r="AB9" s="161">
        <f>ROUND(SUMPRODUCT(PRODUCT(1+Q9:Q$26)),4)</f>
        <v>1.3087</v>
      </c>
      <c r="AC9" s="78"/>
      <c r="AD9" s="178">
        <f>ROUND(AVERAGE(I9:I$27)/100,4)</f>
        <v>2.3099999999999999E-2</v>
      </c>
      <c r="AE9" s="178">
        <f>ROUND(AVERAGE(J9:J$27)/100,4)</f>
        <v>1.61E-2</v>
      </c>
      <c r="AF9" s="178">
        <f t="shared" ref="AF9" si="46">AE9</f>
        <v>1.61E-2</v>
      </c>
      <c r="AG9" s="178">
        <f>ROUND(AVERAGE(K9:K$27)/100,4)</f>
        <v>2.53E-2</v>
      </c>
      <c r="AH9" s="178">
        <f>ROUND(AVERAGE(L9:L$27)/100,4)</f>
        <v>1.4999999999999999E-2</v>
      </c>
    </row>
    <row r="10" spans="1:34" s="74" customFormat="1" ht="14.45" customHeight="1">
      <c r="A10" s="99" t="s">
        <v>2267</v>
      </c>
      <c r="B10" s="105">
        <f t="shared" ref="B10:B15" si="47">B11*(1+N10)</f>
        <v>453.11529869999998</v>
      </c>
      <c r="C10" s="105">
        <f t="shared" ref="C10" si="48">C11*(1+O10)</f>
        <v>336.47787263999999</v>
      </c>
      <c r="D10" s="105">
        <f t="shared" ref="D10" si="49">C10</f>
        <v>336.47787263999999</v>
      </c>
      <c r="E10" s="105">
        <f t="shared" ref="E10" si="50">E11*(1+P10)</f>
        <v>647.35186824000004</v>
      </c>
      <c r="F10" s="105">
        <f t="shared" ref="F10" si="51">F11*(1+Q10)</f>
        <v>295.73229451999998</v>
      </c>
      <c r="G10" s="3105"/>
      <c r="H10" s="106">
        <v>2</v>
      </c>
      <c r="I10" s="106">
        <v>1.49</v>
      </c>
      <c r="J10" s="106">
        <v>0.96</v>
      </c>
      <c r="K10" s="106">
        <v>1.58</v>
      </c>
      <c r="L10" s="139">
        <v>2.44</v>
      </c>
      <c r="M10" s="78"/>
      <c r="N10" s="137">
        <f t="shared" ref="N10" si="52">I10/100</f>
        <v>1.49E-2</v>
      </c>
      <c r="O10" s="138">
        <f t="shared" ref="O10" si="53">J10/100</f>
        <v>9.5999999999999992E-3</v>
      </c>
      <c r="P10" s="138">
        <f t="shared" ref="P10" si="54">K10/100</f>
        <v>1.5800000000000002E-2</v>
      </c>
      <c r="Q10" s="138">
        <f t="shared" ref="Q10" si="55">L10/100</f>
        <v>2.4400000000000002E-2</v>
      </c>
      <c r="R10" s="78"/>
      <c r="S10" s="137"/>
      <c r="T10" s="138"/>
      <c r="U10" s="138"/>
      <c r="V10" s="138"/>
      <c r="W10" s="78"/>
      <c r="X10" s="161">
        <f>ROUND(SUMPRODUCT(PRODUCT(1+N10:N$26)),4)</f>
        <v>1.4733000000000001</v>
      </c>
      <c r="Y10" s="161">
        <f>ROUND(SUMPRODUCT(PRODUCT(1+O10:O$26)),4)</f>
        <v>1.3052999999999999</v>
      </c>
      <c r="Z10" s="161">
        <f t="shared" ref="Z10" si="56">Y10</f>
        <v>1.3052999999999999</v>
      </c>
      <c r="AA10" s="161">
        <f>ROUND(SUMPRODUCT(PRODUCT(1+P10:P$26)),4)</f>
        <v>1.5306999999999999</v>
      </c>
      <c r="AB10" s="161">
        <f>ROUND(SUMPRODUCT(PRODUCT(1+Q10:Q$26)),4)</f>
        <v>1.2863</v>
      </c>
      <c r="AC10" s="78"/>
      <c r="AD10" s="178">
        <f>ROUND(AVERAGE(I10:I$27)/100,4)</f>
        <v>2.35E-2</v>
      </c>
      <c r="AE10" s="178">
        <f>ROUND(AVERAGE(J10:J$27)/100,4)</f>
        <v>1.6199999999999999E-2</v>
      </c>
      <c r="AF10" s="178">
        <f t="shared" ref="AF10" si="57">AE10</f>
        <v>1.6199999999999999E-2</v>
      </c>
      <c r="AG10" s="178">
        <f>ROUND(AVERAGE(K10:K$27)/100,4)</f>
        <v>2.5899999999999999E-2</v>
      </c>
      <c r="AH10" s="178">
        <f>ROUND(AVERAGE(L10:L$27)/100,4)</f>
        <v>1.49E-2</v>
      </c>
    </row>
    <row r="11" spans="1:34" s="74" customFormat="1" ht="15" customHeight="1">
      <c r="A11" s="99" t="s">
        <v>2268</v>
      </c>
      <c r="B11" s="105">
        <f t="shared" si="47"/>
        <v>446.46300000000002</v>
      </c>
      <c r="C11" s="105">
        <f t="shared" ref="C11" si="58">C12*(1+O11)</f>
        <v>333.27839999999998</v>
      </c>
      <c r="D11" s="105">
        <f t="shared" ref="D11:D16" si="59">C11</f>
        <v>333.27839999999998</v>
      </c>
      <c r="E11" s="105">
        <f t="shared" ref="E11" si="60">E12*(1+P11)</f>
        <v>637.28279999999995</v>
      </c>
      <c r="F11" s="105">
        <f t="shared" ref="F11" si="61">F12*(1+Q11)</f>
        <v>288.68830000000003</v>
      </c>
      <c r="G11" s="3106"/>
      <c r="H11" s="102">
        <v>1</v>
      </c>
      <c r="I11" s="102">
        <v>1.7</v>
      </c>
      <c r="J11" s="102">
        <v>1.92</v>
      </c>
      <c r="K11" s="102">
        <v>1.64</v>
      </c>
      <c r="L11" s="134">
        <v>2.0099999999999998</v>
      </c>
      <c r="M11" s="78"/>
      <c r="N11" s="137">
        <f t="shared" ref="N11:N16" si="62">I11/100</f>
        <v>1.7000000000000001E-2</v>
      </c>
      <c r="O11" s="138">
        <f t="shared" ref="O11" si="63">J11/100</f>
        <v>1.9199999999999998E-2</v>
      </c>
      <c r="P11" s="138">
        <f t="shared" ref="P11" si="64">K11/100</f>
        <v>1.6400000000000001E-2</v>
      </c>
      <c r="Q11" s="138">
        <f t="shared" ref="Q11" si="65">L11/100</f>
        <v>2.01E-2</v>
      </c>
      <c r="R11" s="78"/>
      <c r="S11" s="141">
        <f>B11/B12-1</f>
        <v>1.6999999999999901E-2</v>
      </c>
      <c r="T11" s="142">
        <f>C11/C12-1</f>
        <v>1.9200000000000099E-2</v>
      </c>
      <c r="U11" s="142">
        <f>E11/E12-1</f>
        <v>1.6400000000000001E-2</v>
      </c>
      <c r="V11" s="142">
        <f>F11/F12-1</f>
        <v>2.01E-2</v>
      </c>
      <c r="W11" s="78"/>
      <c r="X11" s="161">
        <f>ROUND(SUMPRODUCT(PRODUCT(1+N11:N$26)),4)</f>
        <v>1.4517</v>
      </c>
      <c r="Y11" s="161">
        <f>ROUND(SUMPRODUCT(PRODUCT(1+O11:O$26)),4)</f>
        <v>1.2928999999999999</v>
      </c>
      <c r="Z11" s="161">
        <f t="shared" ref="Z11" si="66">Y11</f>
        <v>1.2928999999999999</v>
      </c>
      <c r="AA11" s="161">
        <f>ROUND(SUMPRODUCT(PRODUCT(1+P11:P$26)),4)</f>
        <v>1.5068999999999999</v>
      </c>
      <c r="AB11" s="161">
        <f>ROUND(SUMPRODUCT(PRODUCT(1+Q11:Q$26)),4)</f>
        <v>1.2557</v>
      </c>
      <c r="AC11" s="78"/>
      <c r="AD11" s="178">
        <f>ROUND(AVERAGE(I11:I$27)/100,4)</f>
        <v>2.4E-2</v>
      </c>
      <c r="AE11" s="178">
        <f>ROUND(AVERAGE(J11:J$27)/100,4)</f>
        <v>1.66E-2</v>
      </c>
      <c r="AF11" s="178">
        <f t="shared" ref="AF11" si="67">AE11</f>
        <v>1.66E-2</v>
      </c>
      <c r="AG11" s="178">
        <f>ROUND(AVERAGE(K11:K$27)/100,4)</f>
        <v>2.6499999999999999E-2</v>
      </c>
      <c r="AH11" s="178">
        <f>ROUND(AVERAGE(L11:L$27)/100,4)</f>
        <v>1.43E-2</v>
      </c>
    </row>
    <row r="12" spans="1:34">
      <c r="A12" s="99" t="s">
        <v>2269</v>
      </c>
      <c r="B12" s="103">
        <v>439</v>
      </c>
      <c r="C12" s="103">
        <v>327</v>
      </c>
      <c r="D12" s="103">
        <f t="shared" si="59"/>
        <v>327</v>
      </c>
      <c r="E12" s="103">
        <v>627</v>
      </c>
      <c r="F12" s="104">
        <v>283</v>
      </c>
      <c r="G12" s="3107">
        <v>2017</v>
      </c>
      <c r="H12" s="101">
        <v>4</v>
      </c>
      <c r="I12" s="101">
        <v>1.71</v>
      </c>
      <c r="J12" s="101">
        <v>1.78</v>
      </c>
      <c r="K12" s="101">
        <v>1.71</v>
      </c>
      <c r="L12" s="130">
        <v>1.43</v>
      </c>
      <c r="N12" s="135">
        <f t="shared" si="62"/>
        <v>1.7100000000000001E-2</v>
      </c>
      <c r="O12" s="136">
        <f t="shared" ref="O12" si="68">J12/100</f>
        <v>1.78E-2</v>
      </c>
      <c r="P12" s="136">
        <f t="shared" ref="P12" si="69">K12/100</f>
        <v>1.7100000000000001E-2</v>
      </c>
      <c r="Q12" s="136">
        <f t="shared" ref="Q12" si="70">L12/100</f>
        <v>1.43E-2</v>
      </c>
      <c r="R12" s="167"/>
      <c r="S12" s="168"/>
      <c r="T12" s="169"/>
      <c r="U12" s="169"/>
      <c r="V12" s="169"/>
      <c r="X12" s="161">
        <f>ROUND(SUMPRODUCT(PRODUCT(1+N12:N$26)),4)</f>
        <v>1.4274</v>
      </c>
      <c r="Y12" s="161">
        <f>ROUND(SUMPRODUCT(PRODUCT(1+O12:O$26)),4)</f>
        <v>1.2685</v>
      </c>
      <c r="Z12" s="161">
        <f t="shared" si="0"/>
        <v>1.2685</v>
      </c>
      <c r="AA12" s="161">
        <f>ROUND(SUMPRODUCT(PRODUCT(1+P12:P$26)),4)</f>
        <v>1.4825999999999999</v>
      </c>
      <c r="AB12" s="161">
        <f>ROUND(SUMPRODUCT(PRODUCT(1+Q12:Q$26)),4)</f>
        <v>1.2309000000000001</v>
      </c>
      <c r="AD12" s="178">
        <f>ROUND(AVERAGE(I12:I$27)/100,4)</f>
        <v>2.4500000000000001E-2</v>
      </c>
      <c r="AE12" s="178">
        <f>ROUND(AVERAGE(J12:J$27)/100,4)</f>
        <v>1.6500000000000001E-2</v>
      </c>
      <c r="AF12" s="178">
        <f t="shared" si="1"/>
        <v>1.6500000000000001E-2</v>
      </c>
      <c r="AG12" s="178">
        <f>ROUND(AVERAGE(K12:K$27)/100,4)</f>
        <v>2.7099999999999999E-2</v>
      </c>
      <c r="AH12" s="178">
        <f>ROUND(AVERAGE(L12:L$27)/100,4)</f>
        <v>1.3899999999999999E-2</v>
      </c>
    </row>
    <row r="13" spans="1:34" s="74" customFormat="1" ht="14.45" customHeight="1">
      <c r="A13" s="99" t="s">
        <v>2270</v>
      </c>
      <c r="B13" s="105">
        <f t="shared" si="47"/>
        <v>431.80730811680002</v>
      </c>
      <c r="C13" s="105">
        <f t="shared" ref="C13" si="71">C14*(1+O13)</f>
        <v>320.57880516479997</v>
      </c>
      <c r="D13" s="105">
        <f t="shared" si="59"/>
        <v>320.57880516479997</v>
      </c>
      <c r="E13" s="105">
        <f t="shared" ref="E13:F15" si="72">E14*(1+P13)</f>
        <v>615.96110553196797</v>
      </c>
      <c r="F13" s="105">
        <f t="shared" si="72"/>
        <v>279.46777300108801</v>
      </c>
      <c r="G13" s="3105"/>
      <c r="H13" s="102">
        <v>3</v>
      </c>
      <c r="I13" s="102">
        <v>2.98</v>
      </c>
      <c r="J13" s="102">
        <v>2.11</v>
      </c>
      <c r="K13" s="102">
        <v>3.24</v>
      </c>
      <c r="L13" s="134">
        <v>1.72</v>
      </c>
      <c r="M13" s="78"/>
      <c r="N13" s="137">
        <f t="shared" si="62"/>
        <v>2.98E-2</v>
      </c>
      <c r="O13" s="140">
        <f t="shared" ref="O13" si="73">J13/100</f>
        <v>2.1100000000000001E-2</v>
      </c>
      <c r="P13" s="140">
        <f t="shared" ref="P13" si="74">K13/100</f>
        <v>3.2399999999999998E-2</v>
      </c>
      <c r="Q13" s="140">
        <f t="shared" ref="Q13" si="75">L13/100</f>
        <v>1.72E-2</v>
      </c>
      <c r="R13" s="78"/>
      <c r="S13" s="137"/>
      <c r="T13" s="138"/>
      <c r="U13" s="138"/>
      <c r="V13" s="138"/>
      <c r="W13" s="78"/>
      <c r="X13" s="161">
        <f>ROUND(SUMPRODUCT(PRODUCT(1+N13:N$26)),4)</f>
        <v>1.4034</v>
      </c>
      <c r="Y13" s="161">
        <f>ROUND(SUMPRODUCT(PRODUCT(1+O13:O$26)),4)</f>
        <v>1.2463</v>
      </c>
      <c r="Z13" s="161">
        <f t="shared" si="0"/>
        <v>1.2463</v>
      </c>
      <c r="AA13" s="161">
        <f>ROUND(SUMPRODUCT(PRODUCT(1+P13:P$26)),4)</f>
        <v>1.4577</v>
      </c>
      <c r="AB13" s="161">
        <f>ROUND(SUMPRODUCT(PRODUCT(1+Q13:Q$26)),4)</f>
        <v>1.2136</v>
      </c>
      <c r="AC13" s="78"/>
      <c r="AD13" s="178">
        <f>ROUND(AVERAGE(I13:I$27)/100,4)</f>
        <v>2.4899999999999999E-2</v>
      </c>
      <c r="AE13" s="178">
        <f>ROUND(AVERAGE(J13:J$27)/100,4)</f>
        <v>1.6400000000000001E-2</v>
      </c>
      <c r="AF13" s="178">
        <f t="shared" si="1"/>
        <v>1.6400000000000001E-2</v>
      </c>
      <c r="AG13" s="178">
        <f>ROUND(AVERAGE(K13:K$27)/100,4)</f>
        <v>2.7799999999999998E-2</v>
      </c>
      <c r="AH13" s="178">
        <f>ROUND(AVERAGE(L13:L$27)/100,4)</f>
        <v>1.3899999999999999E-2</v>
      </c>
    </row>
    <row r="14" spans="1:34" s="72" customFormat="1" ht="14.45" customHeight="1">
      <c r="A14" s="99" t="s">
        <v>2271</v>
      </c>
      <c r="B14" s="105">
        <f t="shared" si="47"/>
        <v>419.31181600000002</v>
      </c>
      <c r="C14" s="105">
        <f t="shared" ref="C14" si="76">C15*(1+O14)</f>
        <v>313.95436799999999</v>
      </c>
      <c r="D14" s="105">
        <f t="shared" si="59"/>
        <v>313.95436799999999</v>
      </c>
      <c r="E14" s="105">
        <f t="shared" si="72"/>
        <v>596.63028431999999</v>
      </c>
      <c r="F14" s="105">
        <f t="shared" si="72"/>
        <v>274.74220703999998</v>
      </c>
      <c r="G14" s="3105"/>
      <c r="H14" s="106">
        <v>2</v>
      </c>
      <c r="I14" s="106">
        <v>3.4</v>
      </c>
      <c r="J14" s="106">
        <v>2</v>
      </c>
      <c r="K14" s="106">
        <v>3.82</v>
      </c>
      <c r="L14" s="139">
        <v>1.68</v>
      </c>
      <c r="M14" s="78"/>
      <c r="N14" s="137">
        <f t="shared" si="62"/>
        <v>3.4000000000000002E-2</v>
      </c>
      <c r="O14" s="140">
        <f t="shared" ref="O14" si="77">J14/100</f>
        <v>0.02</v>
      </c>
      <c r="P14" s="140">
        <f t="shared" ref="P14" si="78">K14/100</f>
        <v>3.8199999999999998E-2</v>
      </c>
      <c r="Q14" s="140">
        <f t="shared" ref="Q14" si="79">L14/100</f>
        <v>1.6799999999999999E-2</v>
      </c>
      <c r="R14" s="78"/>
      <c r="S14" s="137"/>
      <c r="T14" s="138"/>
      <c r="U14" s="138"/>
      <c r="V14" s="138"/>
      <c r="W14" s="78"/>
      <c r="X14" s="170">
        <f>ROUND(SUMPRODUCT(PRODUCT(1+N14:N$26)),4)</f>
        <v>1.3628</v>
      </c>
      <c r="Y14" s="170">
        <f>ROUND(SUMPRODUCT(PRODUCT(1+O14:O$26)),4)</f>
        <v>1.2205999999999999</v>
      </c>
      <c r="Z14" s="170">
        <f t="shared" si="0"/>
        <v>1.2205999999999999</v>
      </c>
      <c r="AA14" s="170">
        <f>ROUND(SUMPRODUCT(PRODUCT(1+P14:P$26)),4)</f>
        <v>1.4118999999999999</v>
      </c>
      <c r="AB14" s="170">
        <f>ROUND(SUMPRODUCT(PRODUCT(1+Q14:Q$26)),4)</f>
        <v>1.1930000000000001</v>
      </c>
      <c r="AC14" s="71"/>
      <c r="AD14" s="185">
        <f>ROUND(AVERAGE(I14:I$27)/100,4)</f>
        <v>2.46E-2</v>
      </c>
      <c r="AE14" s="185">
        <f>ROUND(AVERAGE(J14:J$27)/100,4)</f>
        <v>1.6E-2</v>
      </c>
      <c r="AF14" s="185">
        <f t="shared" si="1"/>
        <v>1.6E-2</v>
      </c>
      <c r="AG14" s="185">
        <f>ROUND(AVERAGE(K14:K$27)/100,4)</f>
        <v>2.75E-2</v>
      </c>
      <c r="AH14" s="185">
        <f>ROUND(AVERAGE(L14:L$27)/100,4)</f>
        <v>1.37E-2</v>
      </c>
    </row>
    <row r="15" spans="1:34" s="74" customFormat="1" ht="15" customHeight="1">
      <c r="A15" s="99" t="s">
        <v>2272</v>
      </c>
      <c r="B15" s="105">
        <f t="shared" si="47"/>
        <v>405.524</v>
      </c>
      <c r="C15" s="105">
        <f t="shared" ref="C15" si="80">C16*(1+O15)</f>
        <v>307.79840000000002</v>
      </c>
      <c r="D15" s="105">
        <f t="shared" si="59"/>
        <v>307.79840000000002</v>
      </c>
      <c r="E15" s="105">
        <f t="shared" si="72"/>
        <v>574.67759999999998</v>
      </c>
      <c r="F15" s="105">
        <f t="shared" si="72"/>
        <v>270.20280000000002</v>
      </c>
      <c r="G15" s="3106"/>
      <c r="H15" s="102">
        <v>1</v>
      </c>
      <c r="I15" s="102">
        <v>3.45</v>
      </c>
      <c r="J15" s="102">
        <v>1.92</v>
      </c>
      <c r="K15" s="102">
        <v>3.92</v>
      </c>
      <c r="L15" s="134">
        <v>1.58</v>
      </c>
      <c r="M15" s="78"/>
      <c r="N15" s="141">
        <f t="shared" si="62"/>
        <v>3.4500000000000003E-2</v>
      </c>
      <c r="O15" s="142">
        <f t="shared" ref="O15:Q30" si="81">J15/100</f>
        <v>1.9199999999999998E-2</v>
      </c>
      <c r="P15" s="142">
        <f t="shared" si="81"/>
        <v>3.9199999999999999E-2</v>
      </c>
      <c r="Q15" s="142">
        <f t="shared" si="81"/>
        <v>1.5800000000000002E-2</v>
      </c>
      <c r="R15" s="78"/>
      <c r="S15" s="141">
        <f>B15/B16-1</f>
        <v>3.4500000000000003E-2</v>
      </c>
      <c r="T15" s="142">
        <f>C15/C16-1</f>
        <v>1.9200000000000099E-2</v>
      </c>
      <c r="U15" s="142">
        <f>E15/E16-1</f>
        <v>3.9199999999999902E-2</v>
      </c>
      <c r="V15" s="142">
        <f>F15/F16-1</f>
        <v>1.5800000000000002E-2</v>
      </c>
      <c r="W15" s="78"/>
      <c r="X15" s="161">
        <f>ROUND(SUMPRODUCT(PRODUCT(1+N15:N$26)),4)</f>
        <v>1.3180000000000001</v>
      </c>
      <c r="Y15" s="161">
        <f>ROUND(SUMPRODUCT(PRODUCT(1+O15:O$26)),4)</f>
        <v>1.1966000000000001</v>
      </c>
      <c r="Z15" s="161">
        <f t="shared" si="0"/>
        <v>1.1966000000000001</v>
      </c>
      <c r="AA15" s="161">
        <f>ROUND(SUMPRODUCT(PRODUCT(1+P15:P$26)),4)</f>
        <v>1.36</v>
      </c>
      <c r="AB15" s="161">
        <f>ROUND(SUMPRODUCT(PRODUCT(1+Q15:Q$26)),4)</f>
        <v>1.1733</v>
      </c>
      <c r="AC15" s="78"/>
      <c r="AD15" s="178">
        <f>ROUND(AVERAGE(I15:I$27)/100,4)</f>
        <v>2.3900000000000001E-2</v>
      </c>
      <c r="AE15" s="178">
        <f>ROUND(AVERAGE(J15:J$27)/100,4)</f>
        <v>1.5699999999999999E-2</v>
      </c>
      <c r="AF15" s="178">
        <f t="shared" si="1"/>
        <v>1.5699999999999999E-2</v>
      </c>
      <c r="AG15" s="178">
        <f>ROUND(AVERAGE(K15:K$27)/100,4)</f>
        <v>2.6599999999999999E-2</v>
      </c>
      <c r="AH15" s="178">
        <f>ROUND(AVERAGE(L15:L$27)/100,4)</f>
        <v>1.34E-2</v>
      </c>
    </row>
    <row r="16" spans="1:34">
      <c r="A16" s="99" t="s">
        <v>2273</v>
      </c>
      <c r="B16" s="103">
        <v>392</v>
      </c>
      <c r="C16" s="103">
        <v>302</v>
      </c>
      <c r="D16" s="103">
        <f t="shared" si="59"/>
        <v>302</v>
      </c>
      <c r="E16" s="103">
        <v>553</v>
      </c>
      <c r="F16" s="104">
        <v>266</v>
      </c>
      <c r="G16" s="3107">
        <v>2016</v>
      </c>
      <c r="H16" s="101">
        <v>4</v>
      </c>
      <c r="I16" s="101">
        <v>4.5599999999999996</v>
      </c>
      <c r="J16" s="101">
        <v>2.15</v>
      </c>
      <c r="K16" s="101">
        <v>5.32</v>
      </c>
      <c r="L16" s="130">
        <v>1.57</v>
      </c>
      <c r="N16" s="137">
        <f t="shared" si="62"/>
        <v>4.5600000000000002E-2</v>
      </c>
      <c r="O16" s="138">
        <f t="shared" si="81"/>
        <v>2.1499999999999998E-2</v>
      </c>
      <c r="P16" s="138">
        <f t="shared" si="81"/>
        <v>5.3199999999999997E-2</v>
      </c>
      <c r="Q16" s="138">
        <f t="shared" si="81"/>
        <v>1.5699999999999999E-2</v>
      </c>
      <c r="R16" s="167"/>
      <c r="S16" s="168"/>
      <c r="T16" s="169"/>
      <c r="U16" s="169"/>
      <c r="V16" s="169"/>
      <c r="X16" s="161">
        <f>ROUND(SUMPRODUCT(PRODUCT(1+N16:N$26)),4)</f>
        <v>1.274</v>
      </c>
      <c r="Y16" s="161">
        <f>ROUND(SUMPRODUCT(PRODUCT(1+O16:O$26)),4)</f>
        <v>1.1740999999999999</v>
      </c>
      <c r="Z16" s="161">
        <f t="shared" si="0"/>
        <v>1.1740999999999999</v>
      </c>
      <c r="AA16" s="161">
        <f>ROUND(SUMPRODUCT(PRODUCT(1+P16:P$26)),4)</f>
        <v>1.3087</v>
      </c>
      <c r="AB16" s="161">
        <f>ROUND(SUMPRODUCT(PRODUCT(1+Q16:Q$26)),4)</f>
        <v>1.1551</v>
      </c>
      <c r="AD16" s="178">
        <f>ROUND(AVERAGE(I16:I$27)/100,4)</f>
        <v>2.3E-2</v>
      </c>
      <c r="AE16" s="178">
        <f>ROUND(AVERAGE(J16:J$27)/100,4)</f>
        <v>1.55E-2</v>
      </c>
      <c r="AF16" s="178">
        <f t="shared" ref="AF16:AF25" si="82">AE16</f>
        <v>1.55E-2</v>
      </c>
      <c r="AG16" s="178">
        <f>ROUND(AVERAGE(K16:K$27)/100,4)</f>
        <v>2.5600000000000001E-2</v>
      </c>
      <c r="AH16" s="178">
        <f>ROUND(AVERAGE(L16:L$27)/100,4)</f>
        <v>1.32E-2</v>
      </c>
    </row>
    <row r="17" spans="1:34">
      <c r="A17" s="99" t="s">
        <v>2274</v>
      </c>
      <c r="B17" s="105">
        <f t="shared" ref="B17:C19" si="83">B16/(1+N16)</f>
        <v>374.90436113236399</v>
      </c>
      <c r="C17" s="105">
        <f t="shared" si="83"/>
        <v>295.64366128242801</v>
      </c>
      <c r="D17" s="105">
        <f t="shared" ref="D17:D76" si="84">C17</f>
        <v>295.64366128242801</v>
      </c>
      <c r="E17" s="105">
        <f t="shared" ref="E17:F19" si="85">E16/(1+P16)</f>
        <v>525.06646410938095</v>
      </c>
      <c r="F17" s="105">
        <f t="shared" si="85"/>
        <v>261.88835286009601</v>
      </c>
      <c r="G17" s="3105"/>
      <c r="H17" s="102">
        <v>3</v>
      </c>
      <c r="I17" s="102">
        <v>4.12</v>
      </c>
      <c r="J17" s="102">
        <v>2</v>
      </c>
      <c r="K17" s="102">
        <v>4.79</v>
      </c>
      <c r="L17" s="134">
        <v>1.97</v>
      </c>
      <c r="N17" s="137">
        <f t="shared" ref="N17:Q51" si="86">I17/100</f>
        <v>4.1200000000000001E-2</v>
      </c>
      <c r="O17" s="138">
        <f t="shared" si="81"/>
        <v>0.02</v>
      </c>
      <c r="P17" s="138">
        <f t="shared" si="81"/>
        <v>4.7899999999999998E-2</v>
      </c>
      <c r="Q17" s="138">
        <f t="shared" si="81"/>
        <v>1.9699999999999999E-2</v>
      </c>
      <c r="R17" s="167"/>
      <c r="S17" s="137"/>
      <c r="T17" s="138"/>
      <c r="U17" s="138"/>
      <c r="V17" s="138"/>
      <c r="X17" s="161">
        <f>ROUND(SUMPRODUCT(PRODUCT(1+N17:N$26)),4)</f>
        <v>1.2184999999999999</v>
      </c>
      <c r="Y17" s="161">
        <f>ROUND(SUMPRODUCT(PRODUCT(1+O17:O$26)),4)</f>
        <v>1.1494</v>
      </c>
      <c r="Z17" s="161">
        <f t="shared" si="0"/>
        <v>1.1494</v>
      </c>
      <c r="AA17" s="161">
        <f>ROUND(SUMPRODUCT(PRODUCT(1+P17:P$26)),4)</f>
        <v>1.2425999999999999</v>
      </c>
      <c r="AB17" s="161">
        <f>ROUND(SUMPRODUCT(PRODUCT(1+Q17:Q$26)),4)</f>
        <v>1.1372</v>
      </c>
      <c r="AD17" s="178">
        <f>ROUND(AVERAGE(I17:I$27)/100,4)</f>
        <v>2.0899999999999998E-2</v>
      </c>
      <c r="AE17" s="178">
        <f>ROUND(AVERAGE(J17:J$27)/100,4)</f>
        <v>1.49E-2</v>
      </c>
      <c r="AF17" s="178">
        <f t="shared" si="82"/>
        <v>1.49E-2</v>
      </c>
      <c r="AG17" s="178">
        <f>ROUND(AVERAGE(K17:K$27)/100,4)</f>
        <v>2.3099999999999999E-2</v>
      </c>
      <c r="AH17" s="178">
        <f>ROUND(AVERAGE(L17:L$27)/100,4)</f>
        <v>1.2999999999999999E-2</v>
      </c>
    </row>
    <row r="18" spans="1:34">
      <c r="A18" s="99" t="s">
        <v>2275</v>
      </c>
      <c r="B18" s="105">
        <f t="shared" si="83"/>
        <v>360.06949782209398</v>
      </c>
      <c r="C18" s="105">
        <f t="shared" si="83"/>
        <v>289.84672674747799</v>
      </c>
      <c r="D18" s="105">
        <f t="shared" si="84"/>
        <v>289.84672674747799</v>
      </c>
      <c r="E18" s="105">
        <f t="shared" si="85"/>
        <v>501.06543001181501</v>
      </c>
      <c r="F18" s="105">
        <f t="shared" si="85"/>
        <v>256.82882500745001</v>
      </c>
      <c r="G18" s="3105"/>
      <c r="H18" s="106">
        <v>2</v>
      </c>
      <c r="I18" s="106">
        <v>3.85</v>
      </c>
      <c r="J18" s="106">
        <v>1.95</v>
      </c>
      <c r="K18" s="106">
        <v>4.4800000000000004</v>
      </c>
      <c r="L18" s="139">
        <v>1.41</v>
      </c>
      <c r="N18" s="137">
        <f t="shared" si="86"/>
        <v>3.85E-2</v>
      </c>
      <c r="O18" s="138">
        <f t="shared" si="81"/>
        <v>1.95E-2</v>
      </c>
      <c r="P18" s="138">
        <f t="shared" si="81"/>
        <v>4.48E-2</v>
      </c>
      <c r="Q18" s="138">
        <f t="shared" si="81"/>
        <v>1.41E-2</v>
      </c>
      <c r="R18" s="167"/>
      <c r="S18" s="137"/>
      <c r="T18" s="138"/>
      <c r="U18" s="138"/>
      <c r="V18" s="138"/>
      <c r="X18" s="161">
        <f>ROUND(SUMPRODUCT(PRODUCT(1+N18:N$26)),4)</f>
        <v>1.1702999999999999</v>
      </c>
      <c r="Y18" s="161">
        <f>ROUND(SUMPRODUCT(PRODUCT(1+O18:O$26)),4)</f>
        <v>1.1269</v>
      </c>
      <c r="Z18" s="161">
        <f t="shared" si="0"/>
        <v>1.1269</v>
      </c>
      <c r="AA18" s="161">
        <f>ROUND(SUMPRODUCT(PRODUCT(1+P18:P$26)),4)</f>
        <v>1.1858</v>
      </c>
      <c r="AB18" s="161">
        <f>ROUND(SUMPRODUCT(PRODUCT(1+Q18:Q$26)),4)</f>
        <v>1.1152</v>
      </c>
      <c r="AD18" s="178">
        <f>ROUND(AVERAGE(I18:I$27)/100,4)</f>
        <v>1.89E-2</v>
      </c>
      <c r="AE18" s="178">
        <f>ROUND(AVERAGE(J18:J$27)/100,4)</f>
        <v>1.44E-2</v>
      </c>
      <c r="AF18" s="178">
        <f t="shared" si="82"/>
        <v>1.44E-2</v>
      </c>
      <c r="AG18" s="178">
        <f>ROUND(AVERAGE(K18:K$27)/100,4)</f>
        <v>2.06E-2</v>
      </c>
      <c r="AH18" s="178">
        <f>ROUND(AVERAGE(L18:L$27)/100,4)</f>
        <v>1.23E-2</v>
      </c>
    </row>
    <row r="19" spans="1:34">
      <c r="A19" s="99" t="s">
        <v>2276</v>
      </c>
      <c r="B19" s="105">
        <f t="shared" si="83"/>
        <v>346.720748986128</v>
      </c>
      <c r="C19" s="105">
        <f t="shared" si="83"/>
        <v>284.30282172386302</v>
      </c>
      <c r="D19" s="105">
        <f t="shared" si="84"/>
        <v>284.30282172386302</v>
      </c>
      <c r="E19" s="105">
        <f t="shared" si="85"/>
        <v>479.58023546306902</v>
      </c>
      <c r="F19" s="105">
        <f t="shared" si="85"/>
        <v>253.25788877571199</v>
      </c>
      <c r="G19" s="3108"/>
      <c r="H19" s="102">
        <v>1</v>
      </c>
      <c r="I19" s="102">
        <v>4.09</v>
      </c>
      <c r="J19" s="102">
        <v>2.93</v>
      </c>
      <c r="K19" s="102">
        <v>4.54</v>
      </c>
      <c r="L19" s="134">
        <v>1.48</v>
      </c>
      <c r="N19" s="137">
        <f t="shared" si="86"/>
        <v>4.0899999999999999E-2</v>
      </c>
      <c r="O19" s="138">
        <f t="shared" si="81"/>
        <v>2.93E-2</v>
      </c>
      <c r="P19" s="138">
        <f t="shared" si="81"/>
        <v>4.5400000000000003E-2</v>
      </c>
      <c r="Q19" s="138">
        <f t="shared" si="81"/>
        <v>1.4800000000000001E-2</v>
      </c>
      <c r="R19" s="167"/>
      <c r="S19" s="141">
        <f>B19/B20-1</f>
        <v>4.1203450408792801E-2</v>
      </c>
      <c r="T19" s="142">
        <f>C19/C20-1</f>
        <v>2.6363977342465102E-2</v>
      </c>
      <c r="U19" s="142">
        <f>E19/E20-1</f>
        <v>4.4837114298626399E-2</v>
      </c>
      <c r="V19" s="142">
        <f>F19/F20-1</f>
        <v>1.7099954922538602E-2</v>
      </c>
      <c r="X19" s="161">
        <f>ROUND(SUMPRODUCT(PRODUCT(1+N19:N$26)),4)</f>
        <v>1.1269</v>
      </c>
      <c r="Y19" s="161">
        <f>ROUND(SUMPRODUCT(PRODUCT(1+O19:O$26)),4)</f>
        <v>1.1052999999999999</v>
      </c>
      <c r="Z19" s="161">
        <f t="shared" si="0"/>
        <v>1.1052999999999999</v>
      </c>
      <c r="AA19" s="161">
        <f>ROUND(SUMPRODUCT(PRODUCT(1+P19:P$26)),4)</f>
        <v>1.1349</v>
      </c>
      <c r="AB19" s="161">
        <f>ROUND(SUMPRODUCT(PRODUCT(1+Q19:Q$26)),4)</f>
        <v>1.0996999999999999</v>
      </c>
      <c r="AD19" s="178">
        <f>ROUND(AVERAGE(I19:I$27)/100,4)</f>
        <v>1.67E-2</v>
      </c>
      <c r="AE19" s="178">
        <f>ROUND(AVERAGE(J19:J$27)/100,4)</f>
        <v>1.38E-2</v>
      </c>
      <c r="AF19" s="178">
        <f t="shared" si="82"/>
        <v>1.38E-2</v>
      </c>
      <c r="AG19" s="178">
        <f>ROUND(AVERAGE(K19:K$27)/100,4)</f>
        <v>1.7899999999999999E-2</v>
      </c>
      <c r="AH19" s="178">
        <f>ROUND(AVERAGE(L19:L$27)/100,4)</f>
        <v>1.21E-2</v>
      </c>
    </row>
    <row r="20" spans="1:34">
      <c r="A20" s="99" t="s">
        <v>2277</v>
      </c>
      <c r="B20" s="103">
        <v>333</v>
      </c>
      <c r="C20" s="103">
        <v>277</v>
      </c>
      <c r="D20" s="103">
        <f t="shared" si="84"/>
        <v>277</v>
      </c>
      <c r="E20" s="103">
        <v>459</v>
      </c>
      <c r="F20" s="104">
        <v>249</v>
      </c>
      <c r="G20" s="3109">
        <v>2015</v>
      </c>
      <c r="H20" s="107">
        <v>4</v>
      </c>
      <c r="I20" s="107">
        <v>1.63</v>
      </c>
      <c r="J20" s="107">
        <v>1.1100000000000001</v>
      </c>
      <c r="K20" s="107">
        <v>1.77</v>
      </c>
      <c r="L20" s="143">
        <v>1.89</v>
      </c>
      <c r="N20" s="135">
        <f t="shared" si="86"/>
        <v>1.6299999999999999E-2</v>
      </c>
      <c r="O20" s="136">
        <f t="shared" si="81"/>
        <v>1.11E-2</v>
      </c>
      <c r="P20" s="136">
        <f t="shared" si="81"/>
        <v>1.77E-2</v>
      </c>
      <c r="Q20" s="136">
        <f t="shared" si="81"/>
        <v>1.89E-2</v>
      </c>
      <c r="R20" s="167"/>
      <c r="X20" s="161">
        <f>ROUND(SUMPRODUCT(PRODUCT(1+N20:N$26)),4)</f>
        <v>1.0826</v>
      </c>
      <c r="Y20" s="161">
        <f>ROUND(SUMPRODUCT(PRODUCT(1+O20:O$26)),4)</f>
        <v>1.0738000000000001</v>
      </c>
      <c r="Z20" s="161">
        <f t="shared" si="0"/>
        <v>1.0738000000000001</v>
      </c>
      <c r="AA20" s="161">
        <f>ROUND(SUMPRODUCT(PRODUCT(1+P20:P$26)),4)</f>
        <v>1.0855999999999999</v>
      </c>
      <c r="AB20" s="161">
        <f>ROUND(SUMPRODUCT(PRODUCT(1+Q20:Q$26)),4)</f>
        <v>1.0837000000000001</v>
      </c>
      <c r="AD20" s="178">
        <f>ROUND(AVERAGE(I20:I$27)/100,4)</f>
        <v>1.37E-2</v>
      </c>
      <c r="AE20" s="178">
        <f>ROUND(AVERAGE(J20:J$27)/100,4)</f>
        <v>1.1900000000000001E-2</v>
      </c>
      <c r="AF20" s="178">
        <f t="shared" si="82"/>
        <v>1.1900000000000001E-2</v>
      </c>
      <c r="AG20" s="178">
        <f>ROUND(AVERAGE(K20:K$27)/100,4)</f>
        <v>1.4500000000000001E-2</v>
      </c>
      <c r="AH20" s="178">
        <f>ROUND(AVERAGE(L20:L$27)/100,4)</f>
        <v>1.18E-2</v>
      </c>
    </row>
    <row r="21" spans="1:34">
      <c r="A21" s="99" t="s">
        <v>2278</v>
      </c>
      <c r="B21" s="105">
        <f t="shared" ref="B21:C23" si="87">B20/(1+N20)</f>
        <v>327.65915576109398</v>
      </c>
      <c r="C21" s="105">
        <f t="shared" si="87"/>
        <v>273.959054495104</v>
      </c>
      <c r="D21" s="105">
        <f t="shared" si="84"/>
        <v>273.959054495104</v>
      </c>
      <c r="E21" s="105">
        <f t="shared" ref="E21:F23" si="88">E20/(1+P20)</f>
        <v>451.01699911565299</v>
      </c>
      <c r="F21" s="105">
        <f t="shared" si="88"/>
        <v>244.381195406811</v>
      </c>
      <c r="G21" s="3105"/>
      <c r="H21" s="108">
        <v>3</v>
      </c>
      <c r="I21" s="108">
        <v>1.65</v>
      </c>
      <c r="J21" s="108">
        <v>0.92</v>
      </c>
      <c r="K21" s="108">
        <v>1.88</v>
      </c>
      <c r="L21" s="144">
        <v>1.26</v>
      </c>
      <c r="N21" s="137">
        <f t="shared" si="86"/>
        <v>1.6500000000000001E-2</v>
      </c>
      <c r="O21" s="140">
        <f t="shared" si="81"/>
        <v>9.1999999999999998E-3</v>
      </c>
      <c r="P21" s="140">
        <f t="shared" si="81"/>
        <v>1.8800000000000001E-2</v>
      </c>
      <c r="Q21" s="140">
        <f t="shared" si="81"/>
        <v>1.26E-2</v>
      </c>
      <c r="R21" s="167"/>
      <c r="S21" s="137"/>
      <c r="T21" s="138"/>
      <c r="U21" s="138"/>
      <c r="V21" s="138"/>
      <c r="X21" s="161">
        <f>ROUND(SUMPRODUCT(PRODUCT(1+N21:N$26)),4)</f>
        <v>1.0651999999999999</v>
      </c>
      <c r="Y21" s="161">
        <f>ROUND(SUMPRODUCT(PRODUCT(1+O21:O$26)),4)</f>
        <v>1.0621</v>
      </c>
      <c r="Z21" s="161">
        <f t="shared" si="0"/>
        <v>1.0621</v>
      </c>
      <c r="AA21" s="161">
        <f>ROUND(SUMPRODUCT(PRODUCT(1+P21:P$26)),4)</f>
        <v>1.0668</v>
      </c>
      <c r="AB21" s="161">
        <f>ROUND(SUMPRODUCT(PRODUCT(1+Q21:Q$26)),4)</f>
        <v>1.0636000000000001</v>
      </c>
      <c r="AD21" s="178">
        <f>ROUND(AVERAGE(I21:I$27)/100,4)</f>
        <v>1.3299999999999999E-2</v>
      </c>
      <c r="AE21" s="178">
        <f>ROUND(AVERAGE(J21:J$27)/100,4)</f>
        <v>1.2E-2</v>
      </c>
      <c r="AF21" s="178">
        <f t="shared" si="82"/>
        <v>1.2E-2</v>
      </c>
      <c r="AG21" s="178">
        <f>ROUND(AVERAGE(K21:K$27)/100,4)</f>
        <v>1.4E-2</v>
      </c>
      <c r="AH21" s="178">
        <f>ROUND(AVERAGE(L21:L$27)/100,4)</f>
        <v>1.0800000000000001E-2</v>
      </c>
    </row>
    <row r="22" spans="1:34">
      <c r="A22" s="99" t="s">
        <v>2279</v>
      </c>
      <c r="B22" s="105">
        <f t="shared" si="87"/>
        <v>322.34053690220799</v>
      </c>
      <c r="C22" s="105">
        <f t="shared" si="87"/>
        <v>271.461607704225</v>
      </c>
      <c r="D22" s="105">
        <f t="shared" si="84"/>
        <v>271.461607704225</v>
      </c>
      <c r="E22" s="105">
        <f t="shared" si="88"/>
        <v>442.69434542172502</v>
      </c>
      <c r="F22" s="105">
        <f t="shared" si="88"/>
        <v>241.34030753190899</v>
      </c>
      <c r="G22" s="3105"/>
      <c r="H22" s="106">
        <v>2</v>
      </c>
      <c r="I22" s="106">
        <v>0.77</v>
      </c>
      <c r="J22" s="106">
        <v>0.69</v>
      </c>
      <c r="K22" s="106">
        <v>0.8</v>
      </c>
      <c r="L22" s="139">
        <v>0.88</v>
      </c>
      <c r="N22" s="137">
        <f t="shared" si="86"/>
        <v>7.7000000000000002E-3</v>
      </c>
      <c r="O22" s="140">
        <f t="shared" si="81"/>
        <v>6.8999999999999999E-3</v>
      </c>
      <c r="P22" s="140">
        <f t="shared" si="81"/>
        <v>8.0000000000000002E-3</v>
      </c>
      <c r="Q22" s="140">
        <f t="shared" si="81"/>
        <v>8.8000000000000005E-3</v>
      </c>
      <c r="R22" s="167"/>
      <c r="S22" s="137"/>
      <c r="T22" s="138"/>
      <c r="U22" s="138"/>
      <c r="V22" s="138"/>
      <c r="X22" s="161">
        <f>ROUND(SUMPRODUCT(PRODUCT(1+N22:N$26)),4)</f>
        <v>1.048</v>
      </c>
      <c r="Y22" s="161">
        <f>ROUND(SUMPRODUCT(PRODUCT(1+O22:O$26)),4)</f>
        <v>1.0524</v>
      </c>
      <c r="Z22" s="161">
        <f t="shared" si="0"/>
        <v>1.0524</v>
      </c>
      <c r="AA22" s="161">
        <f>ROUND(SUMPRODUCT(PRODUCT(1+P22:P$26)),4)</f>
        <v>1.0470999999999999</v>
      </c>
      <c r="AB22" s="161">
        <f>ROUND(SUMPRODUCT(PRODUCT(1+Q22:Q$26)),4)</f>
        <v>1.0504</v>
      </c>
      <c r="AD22" s="178">
        <f>ROUND(AVERAGE(I22:I$27)/100,4)</f>
        <v>1.2800000000000001E-2</v>
      </c>
      <c r="AE22" s="178">
        <f>ROUND(AVERAGE(J22:J$27)/100,4)</f>
        <v>1.2500000000000001E-2</v>
      </c>
      <c r="AF22" s="178">
        <f t="shared" si="82"/>
        <v>1.2500000000000001E-2</v>
      </c>
      <c r="AG22" s="178">
        <f>ROUND(AVERAGE(K22:K$27)/100,4)</f>
        <v>1.32E-2</v>
      </c>
      <c r="AH22" s="178">
        <f>ROUND(AVERAGE(L22:L$27)/100,4)</f>
        <v>1.0500000000000001E-2</v>
      </c>
    </row>
    <row r="23" spans="1:34">
      <c r="A23" s="99" t="s">
        <v>2280</v>
      </c>
      <c r="B23" s="105">
        <f t="shared" si="87"/>
        <v>319.87748030386803</v>
      </c>
      <c r="C23" s="105">
        <f t="shared" si="87"/>
        <v>269.60135833173598</v>
      </c>
      <c r="D23" s="105">
        <f t="shared" si="84"/>
        <v>269.60135833173598</v>
      </c>
      <c r="E23" s="105">
        <f t="shared" si="88"/>
        <v>439.18089823583801</v>
      </c>
      <c r="F23" s="105">
        <f t="shared" si="88"/>
        <v>239.23503918706299</v>
      </c>
      <c r="G23" s="3108"/>
      <c r="H23" s="102">
        <v>1</v>
      </c>
      <c r="I23" s="102">
        <v>0.51</v>
      </c>
      <c r="J23" s="102">
        <v>0.54</v>
      </c>
      <c r="K23" s="102">
        <v>0.48</v>
      </c>
      <c r="L23" s="134">
        <v>0.93</v>
      </c>
      <c r="N23" s="141">
        <f t="shared" si="86"/>
        <v>5.1000000000000004E-3</v>
      </c>
      <c r="O23" s="142">
        <f t="shared" si="81"/>
        <v>5.4000000000000003E-3</v>
      </c>
      <c r="P23" s="142">
        <f t="shared" si="81"/>
        <v>4.7999999999999996E-3</v>
      </c>
      <c r="Q23" s="142">
        <f t="shared" si="81"/>
        <v>9.2999999999999992E-3</v>
      </c>
      <c r="R23" s="167"/>
      <c r="S23" s="141">
        <f>B23/B24-1</f>
        <v>5.9040261127922796E-3</v>
      </c>
      <c r="T23" s="142">
        <f>C23/C24-1</f>
        <v>5.9752176557332799E-3</v>
      </c>
      <c r="U23" s="142">
        <f>E23/E24-1</f>
        <v>4.9906138119859599E-3</v>
      </c>
      <c r="V23" s="142">
        <f>F23/F24-1</f>
        <v>9.4305450930933805E-3</v>
      </c>
      <c r="X23" s="161">
        <f>ROUND(SUMPRODUCT(PRODUCT(1+N23:N$26)),4)</f>
        <v>1.0399</v>
      </c>
      <c r="Y23" s="161">
        <f>ROUND(SUMPRODUCT(PRODUCT(1+O23:O$26)),4)</f>
        <v>1.0451999999999999</v>
      </c>
      <c r="Z23" s="161">
        <f t="shared" si="0"/>
        <v>1.0451999999999999</v>
      </c>
      <c r="AA23" s="161">
        <f>ROUND(SUMPRODUCT(PRODUCT(1+P23:P$26)),4)</f>
        <v>1.0387999999999999</v>
      </c>
      <c r="AB23" s="161">
        <f>ROUND(SUMPRODUCT(PRODUCT(1+Q23:Q$26)),4)</f>
        <v>1.0411999999999999</v>
      </c>
      <c r="AD23" s="178">
        <f>ROUND(AVERAGE(I23:I$27)/100,4)</f>
        <v>1.38E-2</v>
      </c>
      <c r="AE23" s="178">
        <f>ROUND(AVERAGE(J23:J$27)/100,4)</f>
        <v>1.3599999999999999E-2</v>
      </c>
      <c r="AF23" s="178">
        <f t="shared" si="82"/>
        <v>1.3599999999999999E-2</v>
      </c>
      <c r="AG23" s="178">
        <f>ROUND(AVERAGE(K23:K$27)/100,4)</f>
        <v>1.4200000000000001E-2</v>
      </c>
      <c r="AH23" s="178">
        <f>ROUND(AVERAGE(L23:L$27)/100,4)</f>
        <v>1.0800000000000001E-2</v>
      </c>
    </row>
    <row r="24" spans="1:34">
      <c r="A24" s="99" t="s">
        <v>2281</v>
      </c>
      <c r="B24" s="109">
        <v>318</v>
      </c>
      <c r="C24" s="109">
        <v>268</v>
      </c>
      <c r="D24" s="109">
        <f t="shared" si="84"/>
        <v>268</v>
      </c>
      <c r="E24" s="109">
        <v>437</v>
      </c>
      <c r="F24" s="110">
        <v>237</v>
      </c>
      <c r="G24" s="3109">
        <v>2014</v>
      </c>
      <c r="H24" s="107">
        <v>4</v>
      </c>
      <c r="I24" s="107">
        <v>0.21</v>
      </c>
      <c r="J24" s="107">
        <v>0.41</v>
      </c>
      <c r="K24" s="107">
        <v>0.12</v>
      </c>
      <c r="L24" s="143">
        <v>0.89</v>
      </c>
      <c r="N24" s="137">
        <f t="shared" si="86"/>
        <v>2.0999999999999999E-3</v>
      </c>
      <c r="O24" s="138">
        <f t="shared" si="81"/>
        <v>4.1000000000000003E-3</v>
      </c>
      <c r="P24" s="138">
        <f t="shared" si="81"/>
        <v>1.1999999999999999E-3</v>
      </c>
      <c r="Q24" s="138">
        <f t="shared" si="81"/>
        <v>8.8999999999999999E-3</v>
      </c>
      <c r="R24" s="167"/>
      <c r="S24" s="168"/>
      <c r="T24" s="169"/>
      <c r="U24" s="169"/>
      <c r="V24" s="169"/>
      <c r="X24" s="161">
        <f>ROUND(SUMPRODUCT(PRODUCT(1+N24:N$26)),4)</f>
        <v>1.0347</v>
      </c>
      <c r="Y24" s="161">
        <f>ROUND(SUMPRODUCT(PRODUCT(1+O24:O$26)),4)</f>
        <v>1.0395000000000001</v>
      </c>
      <c r="Z24" s="161">
        <f t="shared" si="0"/>
        <v>1.0395000000000001</v>
      </c>
      <c r="AA24" s="161">
        <f>ROUND(SUMPRODUCT(PRODUCT(1+P24:P$26)),4)</f>
        <v>1.0338000000000001</v>
      </c>
      <c r="AB24" s="161">
        <f>ROUND(SUMPRODUCT(PRODUCT(1+Q24:Q$26)),4)</f>
        <v>1.0316000000000001</v>
      </c>
      <c r="AD24" s="178">
        <f>ROUND(AVERAGE(I24:I$27)/100,4)</f>
        <v>1.6E-2</v>
      </c>
      <c r="AE24" s="178">
        <f>ROUND(AVERAGE(J24:J$27)/100,4)</f>
        <v>1.5599999999999999E-2</v>
      </c>
      <c r="AF24" s="178">
        <f t="shared" si="82"/>
        <v>1.5599999999999999E-2</v>
      </c>
      <c r="AG24" s="178">
        <f>ROUND(AVERAGE(K24:K$27)/100,4)</f>
        <v>1.66E-2</v>
      </c>
      <c r="AH24" s="178">
        <f>ROUND(AVERAGE(L24:L$27)/100,4)</f>
        <v>1.12E-2</v>
      </c>
    </row>
    <row r="25" spans="1:34">
      <c r="A25" s="99" t="s">
        <v>2282</v>
      </c>
      <c r="B25" s="105">
        <f t="shared" ref="B25:C27" si="89">B24/(1+N24)</f>
        <v>317.33359944117399</v>
      </c>
      <c r="C25" s="105">
        <f t="shared" si="89"/>
        <v>266.90568668459298</v>
      </c>
      <c r="D25" s="105">
        <f t="shared" si="84"/>
        <v>266.90568668459298</v>
      </c>
      <c r="E25" s="105">
        <f t="shared" ref="E25:F27" si="90">E24/(1+P24)</f>
        <v>436.47622852576899</v>
      </c>
      <c r="F25" s="105">
        <f t="shared" si="90"/>
        <v>234.909307166221</v>
      </c>
      <c r="G25" s="3105"/>
      <c r="H25" s="111">
        <v>3</v>
      </c>
      <c r="I25" s="111">
        <v>0.83</v>
      </c>
      <c r="J25" s="111">
        <v>1.47</v>
      </c>
      <c r="K25" s="111">
        <v>0.65</v>
      </c>
      <c r="L25" s="145">
        <v>0.72</v>
      </c>
      <c r="N25" s="137">
        <f t="shared" si="86"/>
        <v>8.3000000000000001E-3</v>
      </c>
      <c r="O25" s="138">
        <f t="shared" si="81"/>
        <v>1.47E-2</v>
      </c>
      <c r="P25" s="138">
        <f t="shared" si="81"/>
        <v>6.4999999999999997E-3</v>
      </c>
      <c r="Q25" s="138">
        <f t="shared" si="81"/>
        <v>7.1999999999999998E-3</v>
      </c>
      <c r="R25" s="167"/>
      <c r="S25" s="137"/>
      <c r="T25" s="138"/>
      <c r="U25" s="138"/>
      <c r="V25" s="138"/>
      <c r="X25" s="161">
        <f>ROUND(SUMPRODUCT(PRODUCT(1+N25:N$26)),4)</f>
        <v>1.0325</v>
      </c>
      <c r="Y25" s="161">
        <f>ROUND(SUMPRODUCT(PRODUCT(1+O25:O$26)),4)</f>
        <v>1.0353000000000001</v>
      </c>
      <c r="Z25" s="161">
        <f t="shared" ref="Z25:Z26" si="91">Y25</f>
        <v>1.0353000000000001</v>
      </c>
      <c r="AA25" s="161">
        <f>ROUND(SUMPRODUCT(PRODUCT(1+P25:P$26)),4)</f>
        <v>1.0326</v>
      </c>
      <c r="AB25" s="161">
        <f>ROUND(SUMPRODUCT(PRODUCT(1+Q25:Q$26)),4)</f>
        <v>1.0225</v>
      </c>
      <c r="AD25" s="178">
        <f>ROUND(AVERAGE(I25:I$27)/100,4)</f>
        <v>2.07E-2</v>
      </c>
      <c r="AE25" s="178">
        <f>ROUND(AVERAGE(J25:J$27)/100,4)</f>
        <v>1.95E-2</v>
      </c>
      <c r="AF25" s="178">
        <f t="shared" si="82"/>
        <v>1.95E-2</v>
      </c>
      <c r="AG25" s="178">
        <f>ROUND(AVERAGE(K25:K$27)/100,4)</f>
        <v>2.1700000000000001E-2</v>
      </c>
      <c r="AH25" s="178">
        <f>ROUND(AVERAGE(L25:L$27)/100,4)</f>
        <v>1.2E-2</v>
      </c>
    </row>
    <row r="26" spans="1:34">
      <c r="A26" s="99" t="s">
        <v>2283</v>
      </c>
      <c r="B26" s="105">
        <f t="shared" si="89"/>
        <v>314.721411723865</v>
      </c>
      <c r="C26" s="105">
        <f t="shared" si="89"/>
        <v>263.03901319069001</v>
      </c>
      <c r="D26" s="105">
        <f t="shared" si="84"/>
        <v>263.03901319069001</v>
      </c>
      <c r="E26" s="105">
        <f t="shared" si="90"/>
        <v>433.65745506782798</v>
      </c>
      <c r="F26" s="105">
        <f t="shared" si="90"/>
        <v>233.23005080045701</v>
      </c>
      <c r="G26" s="3105"/>
      <c r="H26" s="107">
        <v>2</v>
      </c>
      <c r="I26" s="107">
        <v>2.4</v>
      </c>
      <c r="J26" s="107">
        <v>2.0299999999999998</v>
      </c>
      <c r="K26" s="107">
        <v>2.59</v>
      </c>
      <c r="L26" s="143">
        <v>1.52</v>
      </c>
      <c r="N26" s="137">
        <f t="shared" si="86"/>
        <v>2.4E-2</v>
      </c>
      <c r="O26" s="138">
        <f t="shared" si="81"/>
        <v>2.0299999999999999E-2</v>
      </c>
      <c r="P26" s="138">
        <f t="shared" si="81"/>
        <v>2.5899999999999999E-2</v>
      </c>
      <c r="Q26" s="138">
        <f t="shared" si="81"/>
        <v>1.52E-2</v>
      </c>
      <c r="R26" s="167"/>
      <c r="S26" s="137"/>
      <c r="T26" s="138"/>
      <c r="U26" s="138"/>
      <c r="V26" s="138"/>
      <c r="X26" s="161">
        <f>1+N26</f>
        <v>1.024</v>
      </c>
      <c r="Y26" s="161">
        <f>1+O26</f>
        <v>1.0203</v>
      </c>
      <c r="Z26" s="161">
        <f t="shared" si="91"/>
        <v>1.0203</v>
      </c>
      <c r="AA26" s="161">
        <f>1+P26</f>
        <v>1.0259</v>
      </c>
      <c r="AB26" s="161">
        <f>1+Q26</f>
        <v>1.0152000000000001</v>
      </c>
      <c r="AD26" s="178">
        <f>ROUND(AVERAGE(I26:I$27)/100,4)</f>
        <v>2.69E-2</v>
      </c>
      <c r="AE26" s="178">
        <f>ROUND(AVERAGE(J26:J$27)/100,4)</f>
        <v>2.1899999999999999E-2</v>
      </c>
      <c r="AF26" s="178">
        <f t="shared" ref="AF26:AF27" si="92">AE26</f>
        <v>2.1899999999999999E-2</v>
      </c>
      <c r="AG26" s="178">
        <f>ROUND(AVERAGE(K26:K$27)/100,4)</f>
        <v>2.9399999999999999E-2</v>
      </c>
      <c r="AH26" s="178">
        <f>ROUND(AVERAGE(L26:L$27)/100,4)</f>
        <v>1.44E-2</v>
      </c>
    </row>
    <row r="27" spans="1:34" s="75" customFormat="1">
      <c r="A27" s="112" t="s">
        <v>2284</v>
      </c>
      <c r="B27" s="113">
        <f t="shared" si="89"/>
        <v>307.34512863658699</v>
      </c>
      <c r="C27" s="113">
        <f t="shared" si="89"/>
        <v>257.80556031626998</v>
      </c>
      <c r="D27" s="113">
        <f t="shared" si="84"/>
        <v>257.80556031626998</v>
      </c>
      <c r="E27" s="113">
        <f t="shared" si="90"/>
        <v>422.70928459677202</v>
      </c>
      <c r="F27" s="113">
        <f t="shared" si="90"/>
        <v>229.738032703366</v>
      </c>
      <c r="G27" s="3108"/>
      <c r="H27" s="114">
        <v>1</v>
      </c>
      <c r="I27" s="114">
        <v>2.97</v>
      </c>
      <c r="J27" s="114">
        <v>2.34</v>
      </c>
      <c r="K27" s="114">
        <v>3.28</v>
      </c>
      <c r="L27" s="146">
        <v>1.36</v>
      </c>
      <c r="N27" s="147">
        <f t="shared" si="86"/>
        <v>2.9700000000000001E-2</v>
      </c>
      <c r="O27" s="148">
        <f t="shared" si="81"/>
        <v>2.3400000000000001E-2</v>
      </c>
      <c r="P27" s="148">
        <f t="shared" si="81"/>
        <v>3.2800000000000003E-2</v>
      </c>
      <c r="Q27" s="148">
        <f t="shared" si="81"/>
        <v>1.3599999999999999E-2</v>
      </c>
      <c r="R27" s="171"/>
      <c r="S27" s="172">
        <f>B27/B28-1</f>
        <v>2.7910129219355501E-2</v>
      </c>
      <c r="T27" s="173">
        <f>C27/C28-1</f>
        <v>2.3037937762975198E-2</v>
      </c>
      <c r="U27" s="173">
        <f>E27/E28-1</f>
        <v>3.3519033243940802E-2</v>
      </c>
      <c r="V27" s="173">
        <f>F27/F28-1</f>
        <v>1.20618180765029E-2</v>
      </c>
      <c r="W27" s="174" t="s">
        <v>2285</v>
      </c>
      <c r="X27" s="175">
        <v>1</v>
      </c>
      <c r="Y27" s="175">
        <v>1</v>
      </c>
      <c r="Z27" s="175">
        <v>1</v>
      </c>
      <c r="AA27" s="175">
        <v>1</v>
      </c>
      <c r="AB27" s="175">
        <v>1</v>
      </c>
      <c r="AD27" s="186">
        <f>I27/100</f>
        <v>2.9700000000000001E-2</v>
      </c>
      <c r="AE27" s="186">
        <f>J27/100</f>
        <v>2.3400000000000001E-2</v>
      </c>
      <c r="AF27" s="186">
        <f t="shared" si="92"/>
        <v>2.3400000000000001E-2</v>
      </c>
      <c r="AG27" s="186">
        <f>K27/100</f>
        <v>3.2800000000000003E-2</v>
      </c>
      <c r="AH27" s="186">
        <f>L27/100</f>
        <v>1.3599999999999999E-2</v>
      </c>
    </row>
    <row r="28" spans="1:34">
      <c r="A28" s="99" t="s">
        <v>2286</v>
      </c>
      <c r="B28" s="103">
        <v>299</v>
      </c>
      <c r="C28" s="103">
        <v>252</v>
      </c>
      <c r="D28" s="103">
        <f t="shared" si="84"/>
        <v>252</v>
      </c>
      <c r="E28" s="103">
        <v>409</v>
      </c>
      <c r="F28" s="104">
        <v>227</v>
      </c>
      <c r="G28" s="3110">
        <v>2013</v>
      </c>
      <c r="H28" s="115">
        <v>4</v>
      </c>
      <c r="I28" s="115">
        <v>1.83</v>
      </c>
      <c r="J28" s="115">
        <v>1.68</v>
      </c>
      <c r="K28" s="115">
        <v>1.97</v>
      </c>
      <c r="L28" s="149">
        <v>0.87</v>
      </c>
      <c r="N28" s="135">
        <f t="shared" si="86"/>
        <v>1.83E-2</v>
      </c>
      <c r="O28" s="136">
        <f t="shared" si="81"/>
        <v>1.6799999999999999E-2</v>
      </c>
      <c r="P28" s="136">
        <f t="shared" si="81"/>
        <v>1.9699999999999999E-2</v>
      </c>
      <c r="Q28" s="136">
        <f t="shared" si="81"/>
        <v>8.6999999999999994E-3</v>
      </c>
      <c r="R28" s="167"/>
      <c r="S28" s="168"/>
      <c r="T28" s="169"/>
      <c r="U28" s="169"/>
      <c r="V28" s="169"/>
      <c r="X28" s="169"/>
      <c r="Y28" s="169"/>
      <c r="Z28" s="169"/>
    </row>
    <row r="29" spans="1:34">
      <c r="A29" s="99" t="s">
        <v>2287</v>
      </c>
      <c r="B29" s="105">
        <f t="shared" ref="B29:C31" si="93">B28/(1+N28)</f>
        <v>293.62663262299901</v>
      </c>
      <c r="C29" s="105">
        <f t="shared" si="93"/>
        <v>247.836349331235</v>
      </c>
      <c r="D29" s="105">
        <f t="shared" si="84"/>
        <v>247.836349331235</v>
      </c>
      <c r="E29" s="105">
        <f t="shared" ref="E29:F31" si="94">E28/(1+P28)</f>
        <v>401.09836226341099</v>
      </c>
      <c r="F29" s="105">
        <f t="shared" si="94"/>
        <v>225.04213343908</v>
      </c>
      <c r="G29" s="3111"/>
      <c r="H29" s="108">
        <v>3</v>
      </c>
      <c r="I29" s="108">
        <v>1.86</v>
      </c>
      <c r="J29" s="108">
        <v>1.72</v>
      </c>
      <c r="K29" s="108">
        <v>1.98</v>
      </c>
      <c r="L29" s="144">
        <v>0.88</v>
      </c>
      <c r="N29" s="137">
        <f t="shared" si="86"/>
        <v>1.8599999999999998E-2</v>
      </c>
      <c r="O29" s="140">
        <f t="shared" si="81"/>
        <v>1.72E-2</v>
      </c>
      <c r="P29" s="140">
        <f t="shared" si="81"/>
        <v>1.9800000000000002E-2</v>
      </c>
      <c r="Q29" s="140">
        <f t="shared" si="81"/>
        <v>8.8000000000000005E-3</v>
      </c>
      <c r="R29" s="167"/>
      <c r="S29" s="137"/>
      <c r="T29" s="138"/>
      <c r="U29" s="138"/>
      <c r="V29" s="138"/>
    </row>
    <row r="30" spans="1:34">
      <c r="A30" s="99" t="s">
        <v>2288</v>
      </c>
      <c r="B30" s="105">
        <f t="shared" si="93"/>
        <v>288.264905382878</v>
      </c>
      <c r="C30" s="105">
        <f t="shared" si="93"/>
        <v>243.64564425013299</v>
      </c>
      <c r="D30" s="105">
        <f t="shared" si="84"/>
        <v>243.64564425013299</v>
      </c>
      <c r="E30" s="105">
        <f t="shared" si="94"/>
        <v>393.31080825986498</v>
      </c>
      <c r="F30" s="105">
        <f t="shared" si="94"/>
        <v>223.079037905512</v>
      </c>
      <c r="G30" s="3111"/>
      <c r="H30" s="106">
        <v>2</v>
      </c>
      <c r="I30" s="106">
        <v>2.04</v>
      </c>
      <c r="J30" s="106">
        <v>2.33</v>
      </c>
      <c r="K30" s="106">
        <v>2.0699999999999998</v>
      </c>
      <c r="L30" s="139">
        <v>0.69</v>
      </c>
      <c r="N30" s="137">
        <f t="shared" si="86"/>
        <v>2.0400000000000001E-2</v>
      </c>
      <c r="O30" s="140">
        <f t="shared" si="81"/>
        <v>2.3300000000000001E-2</v>
      </c>
      <c r="P30" s="140">
        <f t="shared" si="81"/>
        <v>2.07E-2</v>
      </c>
      <c r="Q30" s="140">
        <f t="shared" si="81"/>
        <v>6.8999999999999999E-3</v>
      </c>
      <c r="R30" s="167"/>
      <c r="S30" s="137"/>
      <c r="T30" s="138"/>
      <c r="U30" s="138"/>
      <c r="V30" s="138"/>
      <c r="X30" s="176"/>
      <c r="Y30" s="187"/>
    </row>
    <row r="31" spans="1:34">
      <c r="A31" s="99" t="s">
        <v>2289</v>
      </c>
      <c r="B31" s="105">
        <f t="shared" si="93"/>
        <v>282.50186729015797</v>
      </c>
      <c r="C31" s="105">
        <f t="shared" si="93"/>
        <v>238.097961741555</v>
      </c>
      <c r="D31" s="105">
        <f t="shared" si="84"/>
        <v>238.097961741555</v>
      </c>
      <c r="E31" s="105">
        <f t="shared" si="94"/>
        <v>385.33438646014099</v>
      </c>
      <c r="F31" s="105">
        <f t="shared" si="94"/>
        <v>221.550340555677</v>
      </c>
      <c r="G31" s="3112"/>
      <c r="H31" s="102">
        <v>1</v>
      </c>
      <c r="I31" s="102">
        <v>1.67</v>
      </c>
      <c r="J31" s="102">
        <v>1.31</v>
      </c>
      <c r="K31" s="102">
        <v>1.85</v>
      </c>
      <c r="L31" s="134">
        <v>0.96</v>
      </c>
      <c r="N31" s="141">
        <f t="shared" si="86"/>
        <v>1.67E-2</v>
      </c>
      <c r="O31" s="142">
        <f t="shared" si="86"/>
        <v>1.3100000000000001E-2</v>
      </c>
      <c r="P31" s="142">
        <f t="shared" si="86"/>
        <v>1.8499999999999999E-2</v>
      </c>
      <c r="Q31" s="142">
        <f t="shared" si="86"/>
        <v>9.5999999999999992E-3</v>
      </c>
      <c r="R31" s="167"/>
      <c r="S31" s="141">
        <f>B31/B32-1</f>
        <v>1.61937672307855E-2</v>
      </c>
      <c r="T31" s="142">
        <f>C31/C32-1</f>
        <v>1.7512657015190902E-2</v>
      </c>
      <c r="U31" s="142">
        <f>E31/E32-1</f>
        <v>1.6713420739156999E-2</v>
      </c>
      <c r="V31" s="142">
        <f>F31/F32-1</f>
        <v>7.0470025258062598E-3</v>
      </c>
      <c r="X31" s="177"/>
      <c r="Y31" s="178"/>
      <c r="Z31" s="178"/>
    </row>
    <row r="32" spans="1:34">
      <c r="A32" s="99" t="s">
        <v>2290</v>
      </c>
      <c r="B32" s="116">
        <v>278</v>
      </c>
      <c r="C32" s="116">
        <v>234</v>
      </c>
      <c r="D32" s="116">
        <f t="shared" si="84"/>
        <v>234</v>
      </c>
      <c r="E32" s="116">
        <v>379</v>
      </c>
      <c r="F32" s="117">
        <v>220</v>
      </c>
      <c r="G32" s="3109">
        <v>2012</v>
      </c>
      <c r="H32" s="107">
        <v>4</v>
      </c>
      <c r="I32" s="107">
        <v>0.91</v>
      </c>
      <c r="J32" s="107">
        <v>0.68</v>
      </c>
      <c r="K32" s="107">
        <v>0.98</v>
      </c>
      <c r="L32" s="143">
        <v>0.9</v>
      </c>
      <c r="N32" s="137">
        <f t="shared" si="86"/>
        <v>9.1000000000000004E-3</v>
      </c>
      <c r="O32" s="138">
        <f t="shared" si="86"/>
        <v>6.7999999999999996E-3</v>
      </c>
      <c r="P32" s="138">
        <f t="shared" si="86"/>
        <v>9.7999999999999997E-3</v>
      </c>
      <c r="Q32" s="138">
        <f t="shared" si="86"/>
        <v>8.9999999999999993E-3</v>
      </c>
      <c r="R32" s="167"/>
      <c r="S32" s="168"/>
      <c r="T32" s="169"/>
      <c r="U32" s="169"/>
      <c r="V32" s="169"/>
      <c r="X32" s="169"/>
      <c r="Y32" s="169"/>
      <c r="Z32" s="169"/>
    </row>
    <row r="33" spans="1:26">
      <c r="A33" s="99" t="s">
        <v>2291</v>
      </c>
      <c r="B33" s="105">
        <f>B32/(1+N32)</f>
        <v>275.49301357645402</v>
      </c>
      <c r="C33" s="105">
        <f>C32/(1+O32)</f>
        <v>232.41954707985701</v>
      </c>
      <c r="D33" s="105">
        <f t="shared" si="84"/>
        <v>232.41954707985701</v>
      </c>
      <c r="E33" s="105">
        <f t="shared" ref="E33:F35" si="95">E32/(1+P32)</f>
        <v>375.32184591008098</v>
      </c>
      <c r="F33" s="105">
        <f t="shared" si="95"/>
        <v>218.03766105054501</v>
      </c>
      <c r="G33" s="3105"/>
      <c r="H33" s="108">
        <v>3</v>
      </c>
      <c r="I33" s="108">
        <v>0.09</v>
      </c>
      <c r="J33" s="108">
        <v>0.28999999999999998</v>
      </c>
      <c r="K33" s="108">
        <v>-0.01</v>
      </c>
      <c r="L33" s="144">
        <v>0.57999999999999996</v>
      </c>
      <c r="N33" s="137">
        <f t="shared" si="86"/>
        <v>8.9999999999999998E-4</v>
      </c>
      <c r="O33" s="138">
        <f t="shared" si="86"/>
        <v>2.8999999999999998E-3</v>
      </c>
      <c r="P33" s="138">
        <f t="shared" si="86"/>
        <v>-1E-4</v>
      </c>
      <c r="Q33" s="138">
        <f t="shared" si="86"/>
        <v>5.7999999999999996E-3</v>
      </c>
      <c r="R33" s="167"/>
      <c r="S33" s="137"/>
      <c r="T33" s="138"/>
      <c r="U33" s="138"/>
      <c r="V33" s="138"/>
    </row>
    <row r="34" spans="1:26">
      <c r="A34" s="99" t="s">
        <v>2292</v>
      </c>
      <c r="B34" s="105">
        <f>B33/(1+N33)</f>
        <v>275.24529281292303</v>
      </c>
      <c r="C34" s="105">
        <f>C33/(1+O33)</f>
        <v>231.74747938962699</v>
      </c>
      <c r="D34" s="105">
        <f t="shared" si="84"/>
        <v>231.74747938962699</v>
      </c>
      <c r="E34" s="105">
        <f t="shared" si="95"/>
        <v>375.35938184826603</v>
      </c>
      <c r="F34" s="105">
        <f t="shared" si="95"/>
        <v>216.78033510692501</v>
      </c>
      <c r="G34" s="3105"/>
      <c r="H34" s="106">
        <v>2</v>
      </c>
      <c r="I34" s="106">
        <v>0.02</v>
      </c>
      <c r="J34" s="106">
        <v>0.12</v>
      </c>
      <c r="K34" s="106">
        <v>-0.08</v>
      </c>
      <c r="L34" s="139">
        <v>1.24</v>
      </c>
      <c r="N34" s="137">
        <f t="shared" si="86"/>
        <v>2.0000000000000001E-4</v>
      </c>
      <c r="O34" s="138">
        <f t="shared" si="86"/>
        <v>1.1999999999999999E-3</v>
      </c>
      <c r="P34" s="138">
        <f t="shared" si="86"/>
        <v>-8.0000000000000004E-4</v>
      </c>
      <c r="Q34" s="138">
        <f t="shared" si="86"/>
        <v>1.24E-2</v>
      </c>
      <c r="R34" s="167"/>
      <c r="S34" s="137"/>
      <c r="T34" s="138"/>
      <c r="U34" s="138"/>
      <c r="V34" s="138"/>
    </row>
    <row r="35" spans="1:26">
      <c r="A35" s="99" t="s">
        <v>2293</v>
      </c>
      <c r="B35" s="105">
        <f>B34/(1+N34)</f>
        <v>275.19025476196998</v>
      </c>
      <c r="C35" s="118">
        <v>232</v>
      </c>
      <c r="D35" s="118">
        <f t="shared" si="84"/>
        <v>232</v>
      </c>
      <c r="E35" s="105">
        <f t="shared" si="95"/>
        <v>375.65990977608698</v>
      </c>
      <c r="F35" s="105">
        <f t="shared" si="95"/>
        <v>214.12518283971301</v>
      </c>
      <c r="G35" s="3108"/>
      <c r="H35" s="102">
        <v>1</v>
      </c>
      <c r="I35" s="102">
        <v>0.02</v>
      </c>
      <c r="J35" s="102">
        <v>0.13</v>
      </c>
      <c r="K35" s="102">
        <v>-0.04</v>
      </c>
      <c r="L35" s="134">
        <v>0.46</v>
      </c>
      <c r="N35" s="137">
        <f t="shared" si="86"/>
        <v>2.0000000000000001E-4</v>
      </c>
      <c r="O35" s="138">
        <f t="shared" si="86"/>
        <v>1.2999999999999999E-3</v>
      </c>
      <c r="P35" s="138">
        <f t="shared" si="86"/>
        <v>-4.0000000000000002E-4</v>
      </c>
      <c r="Q35" s="138">
        <f t="shared" si="86"/>
        <v>4.5999999999999999E-3</v>
      </c>
      <c r="R35" s="167"/>
      <c r="S35" s="141">
        <f>B35/B36-1</f>
        <v>6.91835498073612E-4</v>
      </c>
      <c r="T35" s="142">
        <f>C35/C36-1</f>
        <v>0</v>
      </c>
      <c r="U35" s="142">
        <f>E35/E36-1</f>
        <v>-9.0449527636460303E-4</v>
      </c>
      <c r="V35" s="142">
        <f>F35/F36-1</f>
        <v>5.2825485432512797E-3</v>
      </c>
      <c r="X35" s="178"/>
      <c r="Y35" s="178"/>
      <c r="Z35" s="178"/>
    </row>
    <row r="36" spans="1:26">
      <c r="A36" s="99" t="s">
        <v>2294</v>
      </c>
      <c r="B36" s="103">
        <v>275</v>
      </c>
      <c r="C36" s="103">
        <v>232</v>
      </c>
      <c r="D36" s="103">
        <f t="shared" si="84"/>
        <v>232</v>
      </c>
      <c r="E36" s="103">
        <v>376</v>
      </c>
      <c r="F36" s="104">
        <v>213</v>
      </c>
      <c r="G36" s="3109">
        <v>2011</v>
      </c>
      <c r="H36" s="107">
        <v>4</v>
      </c>
      <c r="I36" s="107">
        <v>-0.2</v>
      </c>
      <c r="J36" s="107">
        <v>0.04</v>
      </c>
      <c r="K36" s="107">
        <v>-0.34</v>
      </c>
      <c r="L36" s="143">
        <v>0.46</v>
      </c>
      <c r="N36" s="135">
        <f t="shared" si="86"/>
        <v>-2E-3</v>
      </c>
      <c r="O36" s="136">
        <f t="shared" si="86"/>
        <v>4.0000000000000002E-4</v>
      </c>
      <c r="P36" s="136">
        <f t="shared" si="86"/>
        <v>-3.3999999999999998E-3</v>
      </c>
      <c r="Q36" s="136">
        <f t="shared" si="86"/>
        <v>4.5999999999999999E-3</v>
      </c>
      <c r="R36" s="167"/>
      <c r="S36" s="168"/>
      <c r="T36" s="169"/>
      <c r="U36" s="169"/>
      <c r="V36" s="169"/>
      <c r="X36" s="169"/>
      <c r="Y36" s="169"/>
      <c r="Z36" s="169"/>
    </row>
    <row r="37" spans="1:26">
      <c r="A37" s="99" t="s">
        <v>2295</v>
      </c>
      <c r="B37" s="105">
        <f t="shared" ref="B37:C39" si="96">B36/(1+N36)</f>
        <v>275.55110220440901</v>
      </c>
      <c r="C37" s="105">
        <f t="shared" si="96"/>
        <v>231.907237105158</v>
      </c>
      <c r="D37" s="105">
        <f t="shared" si="84"/>
        <v>231.907237105158</v>
      </c>
      <c r="E37" s="105">
        <f t="shared" ref="E37:F39" si="97">E36/(1+P36)</f>
        <v>377.28276138872201</v>
      </c>
      <c r="F37" s="105">
        <f t="shared" si="97"/>
        <v>212.02468644236501</v>
      </c>
      <c r="G37" s="3105">
        <v>2011</v>
      </c>
      <c r="H37" s="108">
        <v>3</v>
      </c>
      <c r="I37" s="108">
        <v>0.13</v>
      </c>
      <c r="J37" s="108">
        <v>0.75</v>
      </c>
      <c r="K37" s="108">
        <v>-0.08</v>
      </c>
      <c r="L37" s="144">
        <v>0.53</v>
      </c>
      <c r="N37" s="137">
        <f t="shared" si="86"/>
        <v>1.2999999999999999E-3</v>
      </c>
      <c r="O37" s="140">
        <f t="shared" si="86"/>
        <v>7.4999999999999997E-3</v>
      </c>
      <c r="P37" s="140">
        <f t="shared" si="86"/>
        <v>-8.0000000000000004E-4</v>
      </c>
      <c r="Q37" s="140">
        <f t="shared" si="86"/>
        <v>5.3E-3</v>
      </c>
      <c r="R37" s="167"/>
      <c r="S37" s="137"/>
      <c r="T37" s="138"/>
      <c r="U37" s="138"/>
      <c r="V37" s="138"/>
    </row>
    <row r="38" spans="1:26">
      <c r="A38" s="99" t="s">
        <v>2296</v>
      </c>
      <c r="B38" s="105">
        <f t="shared" si="96"/>
        <v>275.19335084830601</v>
      </c>
      <c r="C38" s="105">
        <f t="shared" si="96"/>
        <v>230.18088050139701</v>
      </c>
      <c r="D38" s="105">
        <f t="shared" si="84"/>
        <v>230.18088050139701</v>
      </c>
      <c r="E38" s="105">
        <f t="shared" si="97"/>
        <v>377.58482925212297</v>
      </c>
      <c r="F38" s="105">
        <f t="shared" si="97"/>
        <v>210.906879978479</v>
      </c>
      <c r="G38" s="3105">
        <v>2011</v>
      </c>
      <c r="H38" s="106">
        <v>2</v>
      </c>
      <c r="I38" s="106">
        <v>-0.4</v>
      </c>
      <c r="J38" s="106">
        <v>0.17</v>
      </c>
      <c r="K38" s="106">
        <v>-0.57999999999999996</v>
      </c>
      <c r="L38" s="139">
        <v>-0.2</v>
      </c>
      <c r="N38" s="137">
        <f t="shared" si="86"/>
        <v>-4.0000000000000001E-3</v>
      </c>
      <c r="O38" s="140">
        <f t="shared" si="86"/>
        <v>1.6999999999999999E-3</v>
      </c>
      <c r="P38" s="140">
        <f t="shared" si="86"/>
        <v>-5.7999999999999996E-3</v>
      </c>
      <c r="Q38" s="140">
        <f t="shared" si="86"/>
        <v>-2E-3</v>
      </c>
      <c r="R38" s="167"/>
      <c r="S38" s="137"/>
      <c r="T38" s="138"/>
      <c r="U38" s="138"/>
      <c r="V38" s="138"/>
    </row>
    <row r="39" spans="1:26">
      <c r="A39" s="99" t="s">
        <v>2297</v>
      </c>
      <c r="B39" s="105">
        <f t="shared" si="96"/>
        <v>276.29854502841999</v>
      </c>
      <c r="C39" s="105">
        <f t="shared" si="96"/>
        <v>229.79023709833001</v>
      </c>
      <c r="D39" s="105">
        <f t="shared" si="84"/>
        <v>229.79023709833001</v>
      </c>
      <c r="E39" s="105">
        <f t="shared" si="97"/>
        <v>379.78759731655902</v>
      </c>
      <c r="F39" s="105">
        <f t="shared" si="97"/>
        <v>211.32953905659201</v>
      </c>
      <c r="G39" s="3108">
        <v>2011</v>
      </c>
      <c r="H39" s="102">
        <v>1</v>
      </c>
      <c r="I39" s="102">
        <v>2.65</v>
      </c>
      <c r="J39" s="102">
        <v>3.76</v>
      </c>
      <c r="K39" s="102">
        <v>1.89</v>
      </c>
      <c r="L39" s="134">
        <v>7.95</v>
      </c>
      <c r="N39" s="141">
        <f t="shared" si="86"/>
        <v>2.6499999999999999E-2</v>
      </c>
      <c r="O39" s="142">
        <f t="shared" si="86"/>
        <v>3.7600000000000001E-2</v>
      </c>
      <c r="P39" s="142">
        <f t="shared" si="86"/>
        <v>1.89E-2</v>
      </c>
      <c r="Q39" s="142">
        <f t="shared" si="86"/>
        <v>7.9500000000000001E-2</v>
      </c>
      <c r="R39" s="167"/>
      <c r="S39" s="141">
        <f>B39/B40-1</f>
        <v>2.7132137652117898E-2</v>
      </c>
      <c r="T39" s="142">
        <f>C39/C40-1</f>
        <v>3.9774828499231897E-2</v>
      </c>
      <c r="U39" s="142">
        <f>E39/E40-1</f>
        <v>1.81973118406418E-2</v>
      </c>
      <c r="V39" s="142">
        <f>F39/F40-1</f>
        <v>7.8211933962205799E-2</v>
      </c>
      <c r="X39" s="178"/>
      <c r="Y39" s="178"/>
      <c r="Z39" s="178"/>
    </row>
    <row r="40" spans="1:26">
      <c r="A40" s="99" t="s">
        <v>2298</v>
      </c>
      <c r="B40" s="103">
        <v>269</v>
      </c>
      <c r="C40" s="103">
        <v>221</v>
      </c>
      <c r="D40" s="103">
        <f t="shared" si="84"/>
        <v>221</v>
      </c>
      <c r="E40" s="103">
        <v>373</v>
      </c>
      <c r="F40" s="104">
        <v>196</v>
      </c>
      <c r="G40" s="3109">
        <v>2010</v>
      </c>
      <c r="H40" s="107">
        <v>4</v>
      </c>
      <c r="I40" s="107">
        <v>5.72</v>
      </c>
      <c r="J40" s="107">
        <v>6.57</v>
      </c>
      <c r="K40" s="107">
        <v>5.72</v>
      </c>
      <c r="L40" s="143">
        <v>2.72</v>
      </c>
      <c r="N40" s="137">
        <f t="shared" si="86"/>
        <v>5.7200000000000001E-2</v>
      </c>
      <c r="O40" s="138">
        <f t="shared" si="86"/>
        <v>6.5699999999999995E-2</v>
      </c>
      <c r="P40" s="138">
        <f t="shared" si="86"/>
        <v>5.7200000000000001E-2</v>
      </c>
      <c r="Q40" s="138">
        <f t="shared" si="86"/>
        <v>2.7199999999999998E-2</v>
      </c>
      <c r="R40" s="167"/>
      <c r="S40" s="168"/>
      <c r="T40" s="169"/>
      <c r="U40" s="169"/>
      <c r="V40" s="169"/>
      <c r="X40" s="169"/>
      <c r="Y40" s="169"/>
      <c r="Z40" s="169"/>
    </row>
    <row r="41" spans="1:26">
      <c r="A41" s="99" t="s">
        <v>2299</v>
      </c>
      <c r="B41" s="105">
        <f t="shared" ref="B41:C43" si="98">B40/(1+N40)</f>
        <v>254.445705637533</v>
      </c>
      <c r="C41" s="105">
        <f t="shared" si="98"/>
        <v>207.375433987051</v>
      </c>
      <c r="D41" s="105">
        <f t="shared" si="84"/>
        <v>207.375433987051</v>
      </c>
      <c r="E41" s="105">
        <f t="shared" ref="E41:F43" si="99">E40/(1+P40)</f>
        <v>352.81876655315898</v>
      </c>
      <c r="F41" s="105">
        <f t="shared" si="99"/>
        <v>190.809968847352</v>
      </c>
      <c r="G41" s="3105">
        <v>2010</v>
      </c>
      <c r="H41" s="108">
        <v>3</v>
      </c>
      <c r="I41" s="108">
        <v>4.7300000000000004</v>
      </c>
      <c r="J41" s="108">
        <v>3.9</v>
      </c>
      <c r="K41" s="108">
        <v>5.03</v>
      </c>
      <c r="L41" s="144">
        <v>4.21</v>
      </c>
      <c r="N41" s="137">
        <f t="shared" si="86"/>
        <v>4.7300000000000002E-2</v>
      </c>
      <c r="O41" s="138">
        <f t="shared" si="86"/>
        <v>3.9E-2</v>
      </c>
      <c r="P41" s="138">
        <f t="shared" si="86"/>
        <v>5.0299999999999997E-2</v>
      </c>
      <c r="Q41" s="138">
        <f t="shared" si="86"/>
        <v>4.2099999999999999E-2</v>
      </c>
      <c r="R41" s="167"/>
      <c r="S41" s="137"/>
      <c r="T41" s="138"/>
      <c r="U41" s="138"/>
      <c r="V41" s="138"/>
    </row>
    <row r="42" spans="1:26">
      <c r="A42" s="99" t="s">
        <v>2300</v>
      </c>
      <c r="B42" s="105">
        <f t="shared" si="98"/>
        <v>242.95398227588399</v>
      </c>
      <c r="C42" s="105">
        <f t="shared" si="98"/>
        <v>199.591370536141</v>
      </c>
      <c r="D42" s="105">
        <f t="shared" si="84"/>
        <v>199.591370536141</v>
      </c>
      <c r="E42" s="105">
        <f t="shared" si="99"/>
        <v>335.92189522342102</v>
      </c>
      <c r="F42" s="105">
        <f t="shared" si="99"/>
        <v>183.101399911095</v>
      </c>
      <c r="G42" s="3105">
        <v>2010</v>
      </c>
      <c r="H42" s="106">
        <v>2</v>
      </c>
      <c r="I42" s="106">
        <v>4.6900000000000004</v>
      </c>
      <c r="J42" s="106">
        <v>3.55</v>
      </c>
      <c r="K42" s="106">
        <v>5.07</v>
      </c>
      <c r="L42" s="139">
        <v>4.2300000000000004</v>
      </c>
      <c r="N42" s="137">
        <f t="shared" si="86"/>
        <v>4.6899999999999997E-2</v>
      </c>
      <c r="O42" s="138">
        <f t="shared" si="86"/>
        <v>3.5499999999999997E-2</v>
      </c>
      <c r="P42" s="138">
        <f t="shared" si="86"/>
        <v>5.0700000000000002E-2</v>
      </c>
      <c r="Q42" s="138">
        <f t="shared" si="86"/>
        <v>4.2299999999999997E-2</v>
      </c>
      <c r="R42" s="167"/>
      <c r="S42" s="137"/>
      <c r="T42" s="138"/>
      <c r="U42" s="138"/>
      <c r="V42" s="138"/>
    </row>
    <row r="43" spans="1:26">
      <c r="A43" s="99" t="s">
        <v>2301</v>
      </c>
      <c r="B43" s="105">
        <f t="shared" si="98"/>
        <v>232.06990378821601</v>
      </c>
      <c r="C43" s="105">
        <f t="shared" si="98"/>
        <v>192.74878854286899</v>
      </c>
      <c r="D43" s="105">
        <f t="shared" si="84"/>
        <v>192.74878854286899</v>
      </c>
      <c r="E43" s="105">
        <f t="shared" si="99"/>
        <v>319.71247284993001</v>
      </c>
      <c r="F43" s="105">
        <f t="shared" si="99"/>
        <v>175.670536228624</v>
      </c>
      <c r="G43" s="3108">
        <v>2010</v>
      </c>
      <c r="H43" s="102">
        <v>1</v>
      </c>
      <c r="I43" s="102">
        <v>5.4</v>
      </c>
      <c r="J43" s="102">
        <v>3.2</v>
      </c>
      <c r="K43" s="102">
        <v>6.16</v>
      </c>
      <c r="L43" s="134">
        <v>4.51</v>
      </c>
      <c r="N43" s="137">
        <f t="shared" si="86"/>
        <v>5.3999999999999999E-2</v>
      </c>
      <c r="O43" s="138">
        <f t="shared" si="86"/>
        <v>3.2000000000000001E-2</v>
      </c>
      <c r="P43" s="138">
        <f t="shared" si="86"/>
        <v>6.1600000000000002E-2</v>
      </c>
      <c r="Q43" s="138">
        <f t="shared" si="86"/>
        <v>4.5100000000000001E-2</v>
      </c>
      <c r="R43" s="167"/>
      <c r="S43" s="141">
        <f>B43/B44-1</f>
        <v>5.4863199037347599E-2</v>
      </c>
      <c r="T43" s="142">
        <f>C43/C44-1</f>
        <v>3.0742184721226602E-2</v>
      </c>
      <c r="U43" s="142">
        <f>E43/E44-1</f>
        <v>6.2167683886810203E-2</v>
      </c>
      <c r="V43" s="142">
        <f>F43/F44-1</f>
        <v>4.5657953741810003E-2</v>
      </c>
      <c r="X43" s="178"/>
      <c r="Y43" s="178"/>
      <c r="Z43" s="178"/>
    </row>
    <row r="44" spans="1:26">
      <c r="A44" s="99" t="s">
        <v>2302</v>
      </c>
      <c r="B44" s="103">
        <v>220</v>
      </c>
      <c r="C44" s="103">
        <v>187</v>
      </c>
      <c r="D44" s="103">
        <f t="shared" si="84"/>
        <v>187</v>
      </c>
      <c r="E44" s="103">
        <v>301</v>
      </c>
      <c r="F44" s="104">
        <v>168</v>
      </c>
      <c r="G44" s="3109">
        <v>2009</v>
      </c>
      <c r="H44" s="107">
        <v>4</v>
      </c>
      <c r="I44" s="107">
        <v>2.2999999999999998</v>
      </c>
      <c r="J44" s="107">
        <v>1.04</v>
      </c>
      <c r="K44" s="107">
        <v>2.84</v>
      </c>
      <c r="L44" s="143">
        <v>0.67</v>
      </c>
      <c r="N44" s="135">
        <f t="shared" si="86"/>
        <v>2.3E-2</v>
      </c>
      <c r="O44" s="136">
        <f t="shared" si="86"/>
        <v>1.04E-2</v>
      </c>
      <c r="P44" s="136">
        <f t="shared" si="86"/>
        <v>2.8400000000000002E-2</v>
      </c>
      <c r="Q44" s="136">
        <f t="shared" si="86"/>
        <v>6.7000000000000002E-3</v>
      </c>
      <c r="R44" s="167"/>
      <c r="S44" s="168"/>
      <c r="T44" s="169"/>
      <c r="U44" s="169"/>
      <c r="V44" s="169"/>
      <c r="X44" s="169"/>
      <c r="Y44" s="169"/>
      <c r="Z44" s="169"/>
    </row>
    <row r="45" spans="1:26">
      <c r="A45" s="99" t="s">
        <v>2303</v>
      </c>
      <c r="B45" s="105">
        <f t="shared" ref="B45:C47" si="100">B44/(1+N44)</f>
        <v>215.05376344086</v>
      </c>
      <c r="C45" s="105">
        <f t="shared" si="100"/>
        <v>185.07521773555001</v>
      </c>
      <c r="D45" s="105">
        <f t="shared" si="84"/>
        <v>185.07521773555001</v>
      </c>
      <c r="E45" s="105">
        <f t="shared" ref="E45:F47" si="101">E44/(1+P44)</f>
        <v>292.68767016725002</v>
      </c>
      <c r="F45" s="105">
        <f t="shared" si="101"/>
        <v>166.881891328102</v>
      </c>
      <c r="G45" s="3105">
        <v>2009</v>
      </c>
      <c r="H45" s="108">
        <v>3</v>
      </c>
      <c r="I45" s="108">
        <v>2.1</v>
      </c>
      <c r="J45" s="108">
        <v>1.86</v>
      </c>
      <c r="K45" s="108">
        <v>2.29</v>
      </c>
      <c r="L45" s="144">
        <v>0.85</v>
      </c>
      <c r="N45" s="137">
        <f t="shared" si="86"/>
        <v>2.1000000000000001E-2</v>
      </c>
      <c r="O45" s="140">
        <f t="shared" si="86"/>
        <v>1.8599999999999998E-2</v>
      </c>
      <c r="P45" s="140">
        <f t="shared" si="86"/>
        <v>2.29E-2</v>
      </c>
      <c r="Q45" s="140">
        <f t="shared" si="86"/>
        <v>8.5000000000000006E-3</v>
      </c>
      <c r="R45" s="167"/>
      <c r="S45" s="137"/>
      <c r="T45" s="138"/>
      <c r="U45" s="138"/>
      <c r="V45" s="138"/>
    </row>
    <row r="46" spans="1:26">
      <c r="A46" s="99" t="s">
        <v>2304</v>
      </c>
      <c r="B46" s="105">
        <f t="shared" si="100"/>
        <v>210.630522469011</v>
      </c>
      <c r="C46" s="105">
        <f t="shared" si="100"/>
        <v>181.695678122472</v>
      </c>
      <c r="D46" s="105">
        <f t="shared" si="84"/>
        <v>181.695678122472</v>
      </c>
      <c r="E46" s="105">
        <f t="shared" si="101"/>
        <v>286.13517466736698</v>
      </c>
      <c r="F46" s="105">
        <f t="shared" si="101"/>
        <v>165.47535084591101</v>
      </c>
      <c r="G46" s="3105">
        <v>2009</v>
      </c>
      <c r="H46" s="106">
        <v>2</v>
      </c>
      <c r="I46" s="106">
        <v>0.86</v>
      </c>
      <c r="J46" s="106">
        <v>-1.1299999999999999</v>
      </c>
      <c r="K46" s="106">
        <v>1.79</v>
      </c>
      <c r="L46" s="139">
        <v>-2.0699999999999998</v>
      </c>
      <c r="N46" s="137">
        <f t="shared" si="86"/>
        <v>8.6E-3</v>
      </c>
      <c r="O46" s="140">
        <f t="shared" si="86"/>
        <v>-1.1299999999999999E-2</v>
      </c>
      <c r="P46" s="140">
        <f t="shared" si="86"/>
        <v>1.7899999999999999E-2</v>
      </c>
      <c r="Q46" s="140">
        <f t="shared" si="86"/>
        <v>-2.07E-2</v>
      </c>
      <c r="R46" s="167"/>
      <c r="S46" s="137"/>
      <c r="T46" s="138"/>
      <c r="U46" s="138"/>
      <c r="V46" s="138"/>
    </row>
    <row r="47" spans="1:26">
      <c r="A47" s="99" t="s">
        <v>2305</v>
      </c>
      <c r="B47" s="105">
        <f t="shared" si="100"/>
        <v>208.834545378754</v>
      </c>
      <c r="C47" s="105">
        <f t="shared" si="100"/>
        <v>183.77230517090399</v>
      </c>
      <c r="D47" s="105">
        <f t="shared" si="84"/>
        <v>183.77230517090399</v>
      </c>
      <c r="E47" s="105">
        <f t="shared" si="101"/>
        <v>281.10342338870902</v>
      </c>
      <c r="F47" s="105">
        <f t="shared" si="101"/>
        <v>168.97309388942301</v>
      </c>
      <c r="G47" s="3108">
        <v>2009</v>
      </c>
      <c r="H47" s="102">
        <v>1</v>
      </c>
      <c r="I47" s="102">
        <v>-2.64</v>
      </c>
      <c r="J47" s="102">
        <v>-2.5299999999999998</v>
      </c>
      <c r="K47" s="102">
        <v>-3.02</v>
      </c>
      <c r="L47" s="134">
        <v>1.52</v>
      </c>
      <c r="N47" s="141">
        <f t="shared" si="86"/>
        <v>-2.64E-2</v>
      </c>
      <c r="O47" s="142">
        <f t="shared" si="86"/>
        <v>-2.53E-2</v>
      </c>
      <c r="P47" s="142">
        <f t="shared" si="86"/>
        <v>-3.0200000000000001E-2</v>
      </c>
      <c r="Q47" s="142">
        <f t="shared" si="86"/>
        <v>1.52E-2</v>
      </c>
      <c r="R47" s="167"/>
      <c r="S47" s="141">
        <f>B47/B48-1</f>
        <v>-2.4137638417038799E-2</v>
      </c>
      <c r="T47" s="142">
        <f>C47/C48-1</f>
        <v>-2.2487738452641001E-2</v>
      </c>
      <c r="U47" s="142">
        <f>E47/E48-1</f>
        <v>-2.73237945027354E-2</v>
      </c>
      <c r="V47" s="142">
        <f>F47/F48-1</f>
        <v>1.7910204153148E-2</v>
      </c>
      <c r="X47" s="178"/>
      <c r="Y47" s="178"/>
      <c r="Z47" s="178"/>
    </row>
    <row r="48" spans="1:26">
      <c r="A48" s="99" t="s">
        <v>2306</v>
      </c>
      <c r="B48" s="116">
        <v>214</v>
      </c>
      <c r="C48" s="116">
        <v>188</v>
      </c>
      <c r="D48" s="116">
        <f t="shared" si="84"/>
        <v>188</v>
      </c>
      <c r="E48" s="116">
        <v>289</v>
      </c>
      <c r="F48" s="117">
        <v>166</v>
      </c>
      <c r="G48" s="3109">
        <v>2008</v>
      </c>
      <c r="H48" s="107">
        <v>4</v>
      </c>
      <c r="I48" s="107">
        <v>1.73</v>
      </c>
      <c r="J48" s="107">
        <v>0.03</v>
      </c>
      <c r="K48" s="107">
        <v>2.59</v>
      </c>
      <c r="L48" s="143">
        <v>-1.66</v>
      </c>
      <c r="N48" s="137">
        <f t="shared" si="86"/>
        <v>1.7299999999999999E-2</v>
      </c>
      <c r="O48" s="138">
        <f t="shared" si="86"/>
        <v>2.9999999999999997E-4</v>
      </c>
      <c r="P48" s="138">
        <f t="shared" si="86"/>
        <v>2.5899999999999999E-2</v>
      </c>
      <c r="Q48" s="138">
        <f t="shared" si="86"/>
        <v>-1.66E-2</v>
      </c>
      <c r="R48" s="167"/>
      <c r="S48" s="168"/>
      <c r="T48" s="169"/>
      <c r="U48" s="169"/>
      <c r="V48" s="169"/>
      <c r="X48" s="169"/>
      <c r="Y48" s="169"/>
      <c r="Z48" s="169"/>
    </row>
    <row r="49" spans="1:26">
      <c r="A49" s="99" t="s">
        <v>2307</v>
      </c>
      <c r="B49" s="105">
        <f t="shared" ref="B49:C51" si="102">B48/(1+N48)</f>
        <v>210.36075887152299</v>
      </c>
      <c r="C49" s="105">
        <f t="shared" si="102"/>
        <v>187.943616914926</v>
      </c>
      <c r="D49" s="105">
        <f t="shared" si="84"/>
        <v>187.943616914926</v>
      </c>
      <c r="E49" s="105">
        <f t="shared" ref="E49:F51" si="103">E48/(1+P48)</f>
        <v>281.703869772882</v>
      </c>
      <c r="F49" s="105">
        <f t="shared" si="103"/>
        <v>168.80211511083999</v>
      </c>
      <c r="G49" s="3105">
        <v>2008</v>
      </c>
      <c r="H49" s="108">
        <v>3</v>
      </c>
      <c r="I49" s="108">
        <v>1.96</v>
      </c>
      <c r="J49" s="108">
        <v>2.36</v>
      </c>
      <c r="K49" s="108">
        <v>1.82</v>
      </c>
      <c r="L49" s="144">
        <v>2.2200000000000002</v>
      </c>
      <c r="N49" s="137">
        <f t="shared" si="86"/>
        <v>1.9599999999999999E-2</v>
      </c>
      <c r="O49" s="138">
        <f t="shared" si="86"/>
        <v>2.3599999999999999E-2</v>
      </c>
      <c r="P49" s="138">
        <f t="shared" si="86"/>
        <v>1.8200000000000001E-2</v>
      </c>
      <c r="Q49" s="138">
        <f t="shared" si="86"/>
        <v>2.2200000000000001E-2</v>
      </c>
      <c r="R49" s="167"/>
      <c r="S49" s="137"/>
      <c r="T49" s="138"/>
      <c r="U49" s="138"/>
      <c r="V49" s="138"/>
    </row>
    <row r="50" spans="1:26">
      <c r="A50" s="99" t="s">
        <v>2308</v>
      </c>
      <c r="B50" s="105">
        <f t="shared" si="102"/>
        <v>206.31694671589099</v>
      </c>
      <c r="C50" s="105">
        <f t="shared" si="102"/>
        <v>183.61041121036101</v>
      </c>
      <c r="D50" s="105">
        <f t="shared" si="84"/>
        <v>183.61041121036101</v>
      </c>
      <c r="E50" s="105">
        <f t="shared" si="103"/>
        <v>276.66850301795603</v>
      </c>
      <c r="F50" s="105">
        <f t="shared" si="103"/>
        <v>165.136093827861</v>
      </c>
      <c r="G50" s="3105">
        <v>2008</v>
      </c>
      <c r="H50" s="106">
        <v>2</v>
      </c>
      <c r="I50" s="106">
        <v>4.93</v>
      </c>
      <c r="J50" s="106">
        <v>7.38</v>
      </c>
      <c r="K50" s="106">
        <v>3.98</v>
      </c>
      <c r="L50" s="139">
        <v>6.86</v>
      </c>
      <c r="N50" s="137">
        <f t="shared" si="86"/>
        <v>4.9299999999999997E-2</v>
      </c>
      <c r="O50" s="138">
        <f t="shared" si="86"/>
        <v>7.3800000000000004E-2</v>
      </c>
      <c r="P50" s="138">
        <f t="shared" si="86"/>
        <v>3.9800000000000002E-2</v>
      </c>
      <c r="Q50" s="138">
        <f t="shared" si="86"/>
        <v>6.8599999999999994E-2</v>
      </c>
      <c r="R50" s="167"/>
      <c r="S50" s="137"/>
      <c r="T50" s="138"/>
      <c r="U50" s="138"/>
      <c r="V50" s="138"/>
    </row>
    <row r="51" spans="1:26" s="76" customFormat="1">
      <c r="A51" s="99" t="s">
        <v>2309</v>
      </c>
      <c r="B51" s="119">
        <f t="shared" si="102"/>
        <v>196.62341248059801</v>
      </c>
      <c r="C51" s="119">
        <f t="shared" si="102"/>
        <v>170.99125648199001</v>
      </c>
      <c r="D51" s="119">
        <f t="shared" si="84"/>
        <v>170.99125648199001</v>
      </c>
      <c r="E51" s="119">
        <f t="shared" si="103"/>
        <v>266.07857570490103</v>
      </c>
      <c r="F51" s="119">
        <f t="shared" si="103"/>
        <v>154.53499328828499</v>
      </c>
      <c r="G51" s="3108">
        <v>2008</v>
      </c>
      <c r="H51" s="120">
        <v>1</v>
      </c>
      <c r="I51" s="120">
        <v>4.1399999999999997</v>
      </c>
      <c r="J51" s="120">
        <v>3.45</v>
      </c>
      <c r="K51" s="120">
        <v>4.95</v>
      </c>
      <c r="L51" s="150">
        <v>4.82</v>
      </c>
      <c r="N51" s="151">
        <f t="shared" si="86"/>
        <v>4.1399999999999999E-2</v>
      </c>
      <c r="O51" s="152">
        <f t="shared" si="86"/>
        <v>3.4500000000000003E-2</v>
      </c>
      <c r="P51" s="152">
        <f t="shared" si="86"/>
        <v>4.9500000000000002E-2</v>
      </c>
      <c r="Q51" s="152">
        <f t="shared" si="86"/>
        <v>4.82E-2</v>
      </c>
      <c r="R51" s="179"/>
      <c r="S51" s="151">
        <f>B51/B52-1</f>
        <v>4.5869215322328301E-2</v>
      </c>
      <c r="T51" s="152">
        <f>C51/C52-1</f>
        <v>3.6310645345394701E-2</v>
      </c>
      <c r="U51" s="152">
        <f>E51/E52-1</f>
        <v>4.7553447657088702E-2</v>
      </c>
      <c r="V51" s="152">
        <f>F51/F52-1</f>
        <v>4.41553600559801E-2</v>
      </c>
      <c r="X51" s="180"/>
      <c r="Y51" s="180"/>
      <c r="Z51" s="180"/>
    </row>
    <row r="52" spans="1:26">
      <c r="A52" s="99" t="s">
        <v>2310</v>
      </c>
      <c r="B52" s="103">
        <v>188</v>
      </c>
      <c r="C52" s="103">
        <v>165</v>
      </c>
      <c r="D52" s="103">
        <f t="shared" si="84"/>
        <v>165</v>
      </c>
      <c r="E52" s="103">
        <v>254</v>
      </c>
      <c r="F52" s="104">
        <v>148</v>
      </c>
      <c r="G52" s="3109">
        <v>2007</v>
      </c>
      <c r="H52" s="121">
        <v>4</v>
      </c>
      <c r="I52" s="121">
        <v>5.51</v>
      </c>
      <c r="J52" s="121">
        <v>4.8899999999999997</v>
      </c>
      <c r="K52" s="121">
        <v>6.43</v>
      </c>
      <c r="L52" s="153">
        <v>5.36</v>
      </c>
      <c r="N52" s="154">
        <f t="shared" ref="N52:O55" si="104">B52/B53-1</f>
        <v>4.1339718365245498E-2</v>
      </c>
      <c r="O52" s="155">
        <f t="shared" si="104"/>
        <v>4.0324492593775997E-2</v>
      </c>
      <c r="P52" s="155">
        <f t="shared" ref="P52:Q55" si="105">E52/E53-1</f>
        <v>6.1625555347991003E-2</v>
      </c>
      <c r="Q52" s="155">
        <f t="shared" si="105"/>
        <v>4.6757569250590603E-2</v>
      </c>
      <c r="R52" s="167"/>
      <c r="S52" s="168"/>
      <c r="T52" s="169"/>
      <c r="U52" s="169"/>
      <c r="V52" s="169"/>
      <c r="X52" s="169"/>
      <c r="Y52" s="169"/>
      <c r="Z52" s="169"/>
    </row>
    <row r="53" spans="1:26">
      <c r="A53" s="99" t="s">
        <v>2311</v>
      </c>
      <c r="B53" s="105">
        <f t="shared" ref="B53:C55" si="106">B54+(B$52-B$56)*I53/SUM(I$52:I$55)</f>
        <v>180.536665109762</v>
      </c>
      <c r="C53" s="105">
        <f t="shared" si="106"/>
        <v>158.60435967302499</v>
      </c>
      <c r="D53" s="105">
        <f t="shared" si="84"/>
        <v>158.60435967302499</v>
      </c>
      <c r="E53" s="105">
        <f t="shared" ref="E53:F55" si="107">E54+(E$52-E$56)*K53/SUM(K$52:K$55)</f>
        <v>239.255732607851</v>
      </c>
      <c r="F53" s="105">
        <f t="shared" si="107"/>
        <v>141.3889943074</v>
      </c>
      <c r="G53" s="3105">
        <v>2007</v>
      </c>
      <c r="H53" s="108">
        <v>3</v>
      </c>
      <c r="I53" s="108">
        <v>8.65</v>
      </c>
      <c r="J53" s="108">
        <v>8.06</v>
      </c>
      <c r="K53" s="108">
        <v>9.94</v>
      </c>
      <c r="L53" s="144">
        <v>5.8</v>
      </c>
      <c r="N53" s="154">
        <f t="shared" si="104"/>
        <v>6.9402175717400094E-2</v>
      </c>
      <c r="O53" s="155">
        <f t="shared" si="104"/>
        <v>7.11974824711534E-2</v>
      </c>
      <c r="P53" s="155">
        <f t="shared" si="105"/>
        <v>0.105296799225796</v>
      </c>
      <c r="Q53" s="155">
        <f t="shared" si="105"/>
        <v>5.3292245059512099E-2</v>
      </c>
      <c r="R53" s="167"/>
      <c r="S53" s="137"/>
      <c r="T53" s="138"/>
      <c r="U53" s="138"/>
      <c r="V53" s="138"/>
      <c r="X53" s="181"/>
      <c r="Y53" s="181"/>
      <c r="Z53" s="181"/>
    </row>
    <row r="54" spans="1:26">
      <c r="A54" s="99" t="s">
        <v>2312</v>
      </c>
      <c r="B54" s="105">
        <f t="shared" si="106"/>
        <v>168.820177487156</v>
      </c>
      <c r="C54" s="105">
        <f t="shared" si="106"/>
        <v>148.06267029972801</v>
      </c>
      <c r="D54" s="105">
        <f t="shared" si="84"/>
        <v>148.06267029972801</v>
      </c>
      <c r="E54" s="105">
        <f t="shared" si="107"/>
        <v>216.46288379323701</v>
      </c>
      <c r="F54" s="105">
        <f t="shared" si="107"/>
        <v>134.23529411764699</v>
      </c>
      <c r="G54" s="3105">
        <v>2007</v>
      </c>
      <c r="H54" s="106">
        <v>2</v>
      </c>
      <c r="I54" s="106">
        <v>3.67</v>
      </c>
      <c r="J54" s="106">
        <v>2.3199999999999998</v>
      </c>
      <c r="K54" s="106">
        <v>5.0199999999999996</v>
      </c>
      <c r="L54" s="139">
        <v>6.71</v>
      </c>
      <c r="N54" s="154">
        <f t="shared" si="104"/>
        <v>3.0339138143848001E-2</v>
      </c>
      <c r="O54" s="155">
        <f t="shared" si="104"/>
        <v>2.09223415887905E-2</v>
      </c>
      <c r="P54" s="155">
        <f t="shared" si="105"/>
        <v>5.6164796592717003E-2</v>
      </c>
      <c r="Q54" s="155">
        <f t="shared" si="105"/>
        <v>6.5704536723887305E-2</v>
      </c>
      <c r="R54" s="167"/>
      <c r="S54" s="137"/>
      <c r="T54" s="138"/>
      <c r="U54" s="138"/>
      <c r="V54" s="138"/>
      <c r="X54" s="181"/>
      <c r="Y54" s="181"/>
      <c r="Z54" s="181"/>
    </row>
    <row r="55" spans="1:26">
      <c r="A55" s="99" t="s">
        <v>2313</v>
      </c>
      <c r="B55" s="105">
        <f t="shared" si="106"/>
        <v>163.849135917795</v>
      </c>
      <c r="C55" s="105">
        <f t="shared" si="106"/>
        <v>145.028337874659</v>
      </c>
      <c r="D55" s="105">
        <f t="shared" si="84"/>
        <v>145.028337874659</v>
      </c>
      <c r="E55" s="105">
        <f t="shared" si="107"/>
        <v>204.95180722891601</v>
      </c>
      <c r="F55" s="105">
        <f t="shared" si="107"/>
        <v>125.959203036053</v>
      </c>
      <c r="G55" s="3108">
        <v>2007</v>
      </c>
      <c r="H55" s="102">
        <v>1</v>
      </c>
      <c r="I55" s="102">
        <v>3.58</v>
      </c>
      <c r="J55" s="102">
        <v>3.08</v>
      </c>
      <c r="K55" s="102">
        <v>4.34</v>
      </c>
      <c r="L55" s="134">
        <v>3.21</v>
      </c>
      <c r="N55" s="156">
        <f t="shared" si="104"/>
        <v>3.0497710174814101E-2</v>
      </c>
      <c r="O55" s="157">
        <f t="shared" si="104"/>
        <v>2.8569772160705002E-2</v>
      </c>
      <c r="P55" s="157">
        <f t="shared" si="105"/>
        <v>5.1034908866234303E-2</v>
      </c>
      <c r="Q55" s="157">
        <f t="shared" si="105"/>
        <v>3.2452483902074801E-2</v>
      </c>
      <c r="R55" s="167"/>
      <c r="S55" s="141">
        <f>B55/B56-1</f>
        <v>3.0497710174814101E-2</v>
      </c>
      <c r="T55" s="142">
        <f>C55/C56-1</f>
        <v>2.8569772160705002E-2</v>
      </c>
      <c r="U55" s="142">
        <f>E55/E56-1</f>
        <v>5.1034908866234303E-2</v>
      </c>
      <c r="V55" s="142">
        <f>F55/F56-1</f>
        <v>3.2452483902074801E-2</v>
      </c>
      <c r="X55" s="181"/>
      <c r="Y55" s="181"/>
      <c r="Z55" s="181"/>
    </row>
    <row r="56" spans="1:26">
      <c r="A56" s="99" t="s">
        <v>2314</v>
      </c>
      <c r="B56" s="109">
        <v>159</v>
      </c>
      <c r="C56" s="109">
        <v>141</v>
      </c>
      <c r="D56" s="109">
        <f t="shared" si="84"/>
        <v>141</v>
      </c>
      <c r="E56" s="109">
        <v>195</v>
      </c>
      <c r="F56" s="110">
        <v>122</v>
      </c>
      <c r="G56" s="3109">
        <v>2006</v>
      </c>
      <c r="H56" s="107">
        <v>4</v>
      </c>
      <c r="I56" s="107">
        <v>3.79</v>
      </c>
      <c r="J56" s="107">
        <v>2.21</v>
      </c>
      <c r="K56" s="107">
        <v>5.65</v>
      </c>
      <c r="L56" s="143">
        <v>5.41</v>
      </c>
      <c r="N56" s="154">
        <f t="shared" ref="N56:O59" si="108">I56/SUM(I$56:I$59)*(B$56/B$60-1)</f>
        <v>7.2454664627485302E-2</v>
      </c>
      <c r="O56" s="155">
        <f t="shared" si="108"/>
        <v>2.3237230038062801E-2</v>
      </c>
      <c r="P56" s="155">
        <f t="shared" ref="P56:Q59" si="109">K56/SUM(K$56:K$59)*(E$56/E$60-1)</f>
        <v>0.161468938663237</v>
      </c>
      <c r="Q56" s="155">
        <f t="shared" si="109"/>
        <v>5.0755230321793798E-2</v>
      </c>
      <c r="R56" s="167"/>
      <c r="S56" s="168"/>
      <c r="T56" s="169"/>
      <c r="U56" s="169"/>
      <c r="V56" s="169"/>
      <c r="X56" s="181"/>
      <c r="Y56" s="181"/>
      <c r="Z56" s="181"/>
    </row>
    <row r="57" spans="1:26">
      <c r="A57" s="99" t="s">
        <v>2315</v>
      </c>
      <c r="B57" s="105">
        <f t="shared" ref="B57:C59" si="110">B58+(B$56-B$60)*I57/SUM(I$56:I$59)</f>
        <v>149.001256281407</v>
      </c>
      <c r="C57" s="105">
        <f t="shared" si="110"/>
        <v>137.955922865014</v>
      </c>
      <c r="D57" s="105">
        <f t="shared" si="84"/>
        <v>137.955922865014</v>
      </c>
      <c r="E57" s="105">
        <f t="shared" ref="E57:F59" si="111">E58+(E$56-E$60)*K57/SUM(K$56:K$59)</f>
        <v>169.97231450719801</v>
      </c>
      <c r="F57" s="105">
        <f t="shared" si="111"/>
        <v>116.213903743316</v>
      </c>
      <c r="G57" s="3105">
        <v>2006</v>
      </c>
      <c r="H57" s="108">
        <v>3</v>
      </c>
      <c r="I57" s="108">
        <v>0.92</v>
      </c>
      <c r="J57" s="108">
        <v>1.08</v>
      </c>
      <c r="K57" s="108">
        <v>0.73</v>
      </c>
      <c r="L57" s="144">
        <v>1.08</v>
      </c>
      <c r="N57" s="154">
        <f t="shared" si="108"/>
        <v>1.75879396984925E-2</v>
      </c>
      <c r="O57" s="155">
        <f t="shared" si="108"/>
        <v>1.13557504258406E-2</v>
      </c>
      <c r="P57" s="155">
        <f t="shared" si="109"/>
        <v>2.0862358446754499E-2</v>
      </c>
      <c r="Q57" s="155">
        <f t="shared" si="109"/>
        <v>1.0132282578103001E-2</v>
      </c>
      <c r="R57" s="167"/>
      <c r="S57" s="137"/>
      <c r="T57" s="138"/>
      <c r="U57" s="138"/>
      <c r="V57" s="138"/>
      <c r="X57" s="181"/>
      <c r="Y57" s="181"/>
      <c r="Z57" s="181"/>
    </row>
    <row r="58" spans="1:26">
      <c r="A58" s="99" t="s">
        <v>2316</v>
      </c>
      <c r="B58" s="105">
        <f t="shared" si="110"/>
        <v>146.57412060301499</v>
      </c>
      <c r="C58" s="105">
        <f t="shared" si="110"/>
        <v>136.468319559229</v>
      </c>
      <c r="D58" s="105">
        <f t="shared" si="84"/>
        <v>136.468319559229</v>
      </c>
      <c r="E58" s="105">
        <f t="shared" si="111"/>
        <v>166.73864894795099</v>
      </c>
      <c r="F58" s="105">
        <f t="shared" si="111"/>
        <v>115.058823529412</v>
      </c>
      <c r="G58" s="3105">
        <v>2006</v>
      </c>
      <c r="H58" s="106">
        <v>2</v>
      </c>
      <c r="I58" s="106">
        <v>0.96</v>
      </c>
      <c r="J58" s="106">
        <v>0.25</v>
      </c>
      <c r="K58" s="106">
        <v>1.9</v>
      </c>
      <c r="L58" s="139">
        <v>0.95</v>
      </c>
      <c r="N58" s="154">
        <f t="shared" si="108"/>
        <v>1.8352632728861701E-2</v>
      </c>
      <c r="O58" s="155">
        <f t="shared" si="108"/>
        <v>2.62864593190755E-3</v>
      </c>
      <c r="P58" s="155">
        <f t="shared" si="109"/>
        <v>5.4299289107991297E-2</v>
      </c>
      <c r="Q58" s="155">
        <f t="shared" si="109"/>
        <v>8.9126559714794995E-3</v>
      </c>
      <c r="R58" s="167"/>
      <c r="S58" s="137"/>
      <c r="T58" s="138"/>
      <c r="U58" s="138"/>
      <c r="V58" s="138"/>
      <c r="X58" s="181"/>
      <c r="Y58" s="181"/>
      <c r="Z58" s="181"/>
    </row>
    <row r="59" spans="1:26">
      <c r="A59" s="99" t="s">
        <v>2317</v>
      </c>
      <c r="B59" s="105">
        <f t="shared" si="110"/>
        <v>144.04145728643201</v>
      </c>
      <c r="C59" s="105">
        <f t="shared" si="110"/>
        <v>136.123966942149</v>
      </c>
      <c r="D59" s="105">
        <f t="shared" si="84"/>
        <v>136.123966942149</v>
      </c>
      <c r="E59" s="105">
        <f t="shared" si="111"/>
        <v>158.32225913621301</v>
      </c>
      <c r="F59" s="105">
        <f t="shared" si="111"/>
        <v>114.04278074866301</v>
      </c>
      <c r="G59" s="3108">
        <v>2006</v>
      </c>
      <c r="H59" s="102">
        <v>1</v>
      </c>
      <c r="I59" s="102">
        <v>2.29</v>
      </c>
      <c r="J59" s="102">
        <v>3.72</v>
      </c>
      <c r="K59" s="102">
        <v>0.75</v>
      </c>
      <c r="L59" s="134">
        <v>0.04</v>
      </c>
      <c r="N59" s="156">
        <f t="shared" si="108"/>
        <v>4.3778675988638799E-2</v>
      </c>
      <c r="O59" s="157">
        <f t="shared" si="108"/>
        <v>3.9114251466784399E-2</v>
      </c>
      <c r="P59" s="157">
        <f t="shared" si="109"/>
        <v>2.1433929911049199E-2</v>
      </c>
      <c r="Q59" s="157">
        <f t="shared" si="109"/>
        <v>3.7526972511492602E-4</v>
      </c>
      <c r="R59" s="167"/>
      <c r="S59" s="141">
        <f>B59/B60-1</f>
        <v>4.3778675988638702E-2</v>
      </c>
      <c r="T59" s="142">
        <f>C59/C60-1</f>
        <v>3.91142514667846E-2</v>
      </c>
      <c r="U59" s="142">
        <f>E59/E60-1</f>
        <v>2.1433929911049299E-2</v>
      </c>
      <c r="V59" s="142">
        <f>F59/F60-1</f>
        <v>3.7526972511492401E-4</v>
      </c>
      <c r="X59" s="181"/>
      <c r="Y59" s="181"/>
      <c r="Z59" s="181"/>
    </row>
    <row r="60" spans="1:26">
      <c r="A60" s="99" t="s">
        <v>2318</v>
      </c>
      <c r="B60" s="109">
        <v>138</v>
      </c>
      <c r="C60" s="109">
        <v>131</v>
      </c>
      <c r="D60" s="109">
        <f t="shared" si="84"/>
        <v>131</v>
      </c>
      <c r="E60" s="109">
        <v>155</v>
      </c>
      <c r="F60" s="110">
        <v>114</v>
      </c>
      <c r="G60" s="3109">
        <v>2005</v>
      </c>
      <c r="H60" s="107">
        <v>4</v>
      </c>
      <c r="I60" s="107">
        <v>3.29</v>
      </c>
      <c r="J60" s="107">
        <v>1.44</v>
      </c>
      <c r="K60" s="107">
        <v>0.66</v>
      </c>
      <c r="L60" s="143">
        <v>7.78</v>
      </c>
      <c r="N60" s="154">
        <f t="shared" ref="N60:O63" si="112">I60/SUM(I$60:I$63)*(B$60/B$64-1)</f>
        <v>9.9404603216919907E-2</v>
      </c>
      <c r="O60" s="155">
        <f t="shared" si="112"/>
        <v>4.7636550760861603E-2</v>
      </c>
      <c r="P60" s="155">
        <f t="shared" ref="P60:Q63" si="113">K60/SUM(K$60:K$63)*(E$60/E$64-1)</f>
        <v>8.3756345177665004E-2</v>
      </c>
      <c r="Q60" s="155">
        <f t="shared" si="113"/>
        <v>5.2148766661559598E-2</v>
      </c>
      <c r="R60" s="167"/>
      <c r="S60" s="168"/>
      <c r="T60" s="169"/>
      <c r="U60" s="169"/>
      <c r="V60" s="169"/>
      <c r="X60" s="181"/>
      <c r="Y60" s="181"/>
      <c r="Z60" s="181"/>
    </row>
    <row r="61" spans="1:26">
      <c r="A61" s="99" t="s">
        <v>2319</v>
      </c>
      <c r="B61" s="105">
        <f t="shared" ref="B61:C63" si="114">B62+(B$60-B$64)*I61/SUM(I$60:I$63)</f>
        <v>125.972043010753</v>
      </c>
      <c r="C61" s="105">
        <f t="shared" si="114"/>
        <v>125.188340807175</v>
      </c>
      <c r="D61" s="105">
        <f t="shared" si="84"/>
        <v>125.188340807175</v>
      </c>
      <c r="E61" s="105">
        <f t="shared" ref="E61:F63" si="115">E62+(E$60-E$64)*K61/SUM(K$60:K$63)</f>
        <v>144.61421319797</v>
      </c>
      <c r="F61" s="105">
        <f t="shared" si="115"/>
        <v>108.42008196721299</v>
      </c>
      <c r="G61" s="3105">
        <v>2005</v>
      </c>
      <c r="H61" s="108">
        <v>3</v>
      </c>
      <c r="I61" s="108">
        <v>0.46</v>
      </c>
      <c r="J61" s="108">
        <v>0.32</v>
      </c>
      <c r="K61" s="108">
        <v>0.42</v>
      </c>
      <c r="L61" s="144">
        <v>0.64</v>
      </c>
      <c r="N61" s="154">
        <f t="shared" si="112"/>
        <v>1.38985159513019E-2</v>
      </c>
      <c r="O61" s="155">
        <f t="shared" si="112"/>
        <v>1.0585900169080301E-2</v>
      </c>
      <c r="P61" s="155">
        <f t="shared" si="113"/>
        <v>5.3299492385786802E-2</v>
      </c>
      <c r="Q61" s="155">
        <f t="shared" si="113"/>
        <v>4.2898728359123603E-3</v>
      </c>
      <c r="R61" s="167"/>
      <c r="S61" s="137"/>
      <c r="T61" s="138"/>
      <c r="U61" s="138"/>
      <c r="V61" s="138"/>
      <c r="X61" s="181"/>
      <c r="Y61" s="181"/>
      <c r="Z61" s="181"/>
    </row>
    <row r="62" spans="1:26">
      <c r="A62" s="99" t="s">
        <v>2320</v>
      </c>
      <c r="B62" s="105">
        <f t="shared" si="114"/>
        <v>124.290322580645</v>
      </c>
      <c r="C62" s="105">
        <f t="shared" si="114"/>
        <v>123.896860986547</v>
      </c>
      <c r="D62" s="105">
        <f t="shared" si="84"/>
        <v>123.896860986547</v>
      </c>
      <c r="E62" s="105">
        <f t="shared" si="115"/>
        <v>138.005076142132</v>
      </c>
      <c r="F62" s="105">
        <f t="shared" si="115"/>
        <v>107.96106557377</v>
      </c>
      <c r="G62" s="3105">
        <v>2005</v>
      </c>
      <c r="H62" s="106">
        <v>2</v>
      </c>
      <c r="I62" s="106">
        <v>0.47</v>
      </c>
      <c r="J62" s="106">
        <v>0.1</v>
      </c>
      <c r="K62" s="106">
        <v>0.52</v>
      </c>
      <c r="L62" s="139">
        <v>0.79</v>
      </c>
      <c r="N62" s="154">
        <f t="shared" si="112"/>
        <v>1.4200657602417101E-2</v>
      </c>
      <c r="O62" s="155">
        <f t="shared" si="112"/>
        <v>3.30809380283761E-3</v>
      </c>
      <c r="P62" s="155">
        <f t="shared" si="113"/>
        <v>6.5989847715736002E-2</v>
      </c>
      <c r="Q62" s="155">
        <f t="shared" si="113"/>
        <v>5.2953117818293196E-3</v>
      </c>
      <c r="R62" s="167"/>
      <c r="S62" s="137"/>
      <c r="T62" s="138"/>
      <c r="U62" s="138"/>
      <c r="V62" s="138"/>
      <c r="X62" s="181"/>
      <c r="Y62" s="181"/>
      <c r="Z62" s="181"/>
    </row>
    <row r="63" spans="1:26">
      <c r="A63" s="99" t="s">
        <v>2321</v>
      </c>
      <c r="B63" s="105">
        <f t="shared" si="114"/>
        <v>122.57204301075301</v>
      </c>
      <c r="C63" s="105">
        <f t="shared" si="114"/>
        <v>123.493273542601</v>
      </c>
      <c r="D63" s="105">
        <f t="shared" si="84"/>
        <v>123.493273542601</v>
      </c>
      <c r="E63" s="105">
        <f t="shared" si="115"/>
        <v>129.82233502538099</v>
      </c>
      <c r="F63" s="105">
        <f t="shared" si="115"/>
        <v>107.39446721311501</v>
      </c>
      <c r="G63" s="3108">
        <v>2005</v>
      </c>
      <c r="H63" s="102">
        <v>1</v>
      </c>
      <c r="I63" s="102">
        <v>0.43</v>
      </c>
      <c r="J63" s="102">
        <v>0.37</v>
      </c>
      <c r="K63" s="102">
        <v>0.37</v>
      </c>
      <c r="L63" s="134">
        <v>0.55000000000000004</v>
      </c>
      <c r="N63" s="156">
        <f t="shared" si="112"/>
        <v>1.2992090997956099E-2</v>
      </c>
      <c r="O63" s="157">
        <f t="shared" si="112"/>
        <v>1.22399470704992E-2</v>
      </c>
      <c r="P63" s="157">
        <f t="shared" si="113"/>
        <v>4.6954314720812199E-2</v>
      </c>
      <c r="Q63" s="157">
        <f t="shared" si="113"/>
        <v>3.6866094683621802E-3</v>
      </c>
      <c r="R63" s="167"/>
      <c r="S63" s="141">
        <f>B63/B64-1</f>
        <v>1.29920909979562E-2</v>
      </c>
      <c r="T63" s="142">
        <f>C63/C64-1</f>
        <v>1.22399470704992E-2</v>
      </c>
      <c r="U63" s="142">
        <f>E63/E64-1</f>
        <v>4.6954314720812199E-2</v>
      </c>
      <c r="V63" s="142">
        <f>F63/F64-1</f>
        <v>3.68660946836208E-3</v>
      </c>
      <c r="X63" s="181"/>
      <c r="Y63" s="181"/>
      <c r="Z63" s="181"/>
    </row>
    <row r="64" spans="1:26">
      <c r="A64" s="99" t="s">
        <v>2322</v>
      </c>
      <c r="B64" s="116">
        <v>121</v>
      </c>
      <c r="C64" s="116">
        <v>122</v>
      </c>
      <c r="D64" s="116">
        <f t="shared" si="84"/>
        <v>122</v>
      </c>
      <c r="E64" s="116">
        <v>124</v>
      </c>
      <c r="F64" s="117">
        <v>107</v>
      </c>
      <c r="G64" s="3109">
        <v>2004</v>
      </c>
      <c r="H64" s="107">
        <v>4</v>
      </c>
      <c r="I64" s="107">
        <v>0.33</v>
      </c>
      <c r="J64" s="107">
        <v>0.5</v>
      </c>
      <c r="K64" s="107">
        <v>0.5</v>
      </c>
      <c r="L64" s="143">
        <v>0</v>
      </c>
      <c r="N64" s="154">
        <f t="shared" ref="N64:O67" si="116">I64/SUM(I$64:I$67)*(B$64/B$68-1)</f>
        <v>1.33917701485269E-2</v>
      </c>
      <c r="O64" s="155">
        <f t="shared" si="116"/>
        <v>1.0632642211589599E-2</v>
      </c>
      <c r="P64" s="155">
        <f t="shared" ref="P64:Q67" si="117">K64/SUM(K$64:K$67)*(E$64/E$68-1)</f>
        <v>2.2244466688911099E-2</v>
      </c>
      <c r="Q64" s="155">
        <f t="shared" si="117"/>
        <v>0</v>
      </c>
      <c r="R64" s="167"/>
      <c r="S64" s="168"/>
      <c r="T64" s="169"/>
      <c r="U64" s="169"/>
      <c r="V64" s="169"/>
      <c r="X64" s="181"/>
      <c r="Y64" s="181"/>
      <c r="Z64" s="181"/>
    </row>
    <row r="65" spans="1:26">
      <c r="A65" s="99" t="s">
        <v>2323</v>
      </c>
      <c r="B65" s="105">
        <f t="shared" ref="B65:C67" si="118">B66+(B$64-B$68)*I65/SUM(I$64:I$67)</f>
        <v>119.513513513514</v>
      </c>
      <c r="C65" s="105">
        <f t="shared" si="118"/>
        <v>120.787878787879</v>
      </c>
      <c r="D65" s="105">
        <f t="shared" si="84"/>
        <v>120.787878787879</v>
      </c>
      <c r="E65" s="105">
        <f t="shared" ref="E65:F67" si="119">E66+(E$64-E$68)*K65/SUM(K$64:K$67)</f>
        <v>121.597597597598</v>
      </c>
      <c r="F65" s="105">
        <f t="shared" si="119"/>
        <v>107</v>
      </c>
      <c r="G65" s="3105">
        <v>2004</v>
      </c>
      <c r="H65" s="108">
        <v>3</v>
      </c>
      <c r="I65" s="108">
        <v>0.56000000000000005</v>
      </c>
      <c r="J65" s="108">
        <v>0.8</v>
      </c>
      <c r="K65" s="108">
        <v>0.83</v>
      </c>
      <c r="L65" s="144">
        <v>0.06</v>
      </c>
      <c r="N65" s="154">
        <f t="shared" si="116"/>
        <v>2.2725428130833499E-2</v>
      </c>
      <c r="O65" s="155">
        <f t="shared" si="116"/>
        <v>1.7012227538543302E-2</v>
      </c>
      <c r="P65" s="155">
        <f t="shared" si="117"/>
        <v>3.6925814703592498E-2</v>
      </c>
      <c r="Q65" s="155">
        <f t="shared" si="117"/>
        <v>2.8846153846153699E-2</v>
      </c>
      <c r="R65" s="167"/>
      <c r="S65" s="137"/>
      <c r="T65" s="138"/>
      <c r="U65" s="138"/>
      <c r="V65" s="138"/>
      <c r="X65" s="181"/>
      <c r="Y65" s="181"/>
      <c r="Z65" s="181"/>
    </row>
    <row r="66" spans="1:26">
      <c r="A66" s="99" t="s">
        <v>2324</v>
      </c>
      <c r="B66" s="105">
        <f t="shared" si="118"/>
        <v>116.99099099099099</v>
      </c>
      <c r="C66" s="105">
        <f t="shared" si="118"/>
        <v>118.848484848485</v>
      </c>
      <c r="D66" s="105">
        <f t="shared" si="84"/>
        <v>118.848484848485</v>
      </c>
      <c r="E66" s="105">
        <f t="shared" si="119"/>
        <v>117.60960960961</v>
      </c>
      <c r="F66" s="105">
        <f t="shared" si="119"/>
        <v>104</v>
      </c>
      <c r="G66" s="3105">
        <v>2004</v>
      </c>
      <c r="H66" s="106">
        <v>2</v>
      </c>
      <c r="I66" s="106">
        <v>1</v>
      </c>
      <c r="J66" s="106">
        <v>1.5</v>
      </c>
      <c r="K66" s="106">
        <v>1.5</v>
      </c>
      <c r="L66" s="139">
        <v>0</v>
      </c>
      <c r="N66" s="154">
        <f t="shared" si="116"/>
        <v>4.05811216622027E-2</v>
      </c>
      <c r="O66" s="155">
        <f t="shared" si="116"/>
        <v>3.1897926634768703E-2</v>
      </c>
      <c r="P66" s="155">
        <f t="shared" si="117"/>
        <v>6.6733400066733395E-2</v>
      </c>
      <c r="Q66" s="155">
        <f t="shared" si="117"/>
        <v>0</v>
      </c>
      <c r="R66" s="167"/>
      <c r="S66" s="137"/>
      <c r="T66" s="138"/>
      <c r="U66" s="138"/>
      <c r="V66" s="138"/>
      <c r="X66" s="181"/>
      <c r="Y66" s="181"/>
      <c r="Z66" s="181"/>
    </row>
    <row r="67" spans="1:26" s="76" customFormat="1">
      <c r="A67" s="99" t="s">
        <v>2325</v>
      </c>
      <c r="B67" s="119">
        <f t="shared" si="118"/>
        <v>112.486486486486</v>
      </c>
      <c r="C67" s="119">
        <f t="shared" si="118"/>
        <v>115.212121212121</v>
      </c>
      <c r="D67" s="119">
        <f t="shared" si="84"/>
        <v>115.212121212121</v>
      </c>
      <c r="E67" s="119">
        <f t="shared" si="119"/>
        <v>110.402402402402</v>
      </c>
      <c r="F67" s="119">
        <f t="shared" si="119"/>
        <v>104</v>
      </c>
      <c r="G67" s="3108">
        <v>2004</v>
      </c>
      <c r="H67" s="120">
        <v>1</v>
      </c>
      <c r="I67" s="120">
        <v>0.33</v>
      </c>
      <c r="J67" s="120">
        <v>0.5</v>
      </c>
      <c r="K67" s="120">
        <v>0.5</v>
      </c>
      <c r="L67" s="150">
        <v>0</v>
      </c>
      <c r="N67" s="201">
        <f t="shared" si="116"/>
        <v>1.33917701485269E-2</v>
      </c>
      <c r="O67" s="202">
        <f t="shared" si="116"/>
        <v>1.0632642211589599E-2</v>
      </c>
      <c r="P67" s="202">
        <f t="shared" si="117"/>
        <v>2.2244466688911099E-2</v>
      </c>
      <c r="Q67" s="202">
        <f t="shared" si="117"/>
        <v>0</v>
      </c>
      <c r="R67" s="179"/>
      <c r="S67" s="151">
        <f>B67/B68-1</f>
        <v>1.33917701485269E-2</v>
      </c>
      <c r="T67" s="152">
        <f>C67/C68-1</f>
        <v>1.06326422115897E-2</v>
      </c>
      <c r="U67" s="152">
        <f>E67/E68-1</f>
        <v>2.22444666889112E-2</v>
      </c>
      <c r="V67" s="152">
        <f>F67/F68-1</f>
        <v>0</v>
      </c>
      <c r="X67" s="209"/>
      <c r="Y67" s="209"/>
      <c r="Z67" s="209"/>
    </row>
    <row r="68" spans="1:26">
      <c r="A68" s="99" t="s">
        <v>2326</v>
      </c>
      <c r="B68" s="188">
        <v>111</v>
      </c>
      <c r="C68" s="188">
        <v>114</v>
      </c>
      <c r="D68" s="188">
        <f t="shared" si="84"/>
        <v>114</v>
      </c>
      <c r="E68" s="188">
        <v>108</v>
      </c>
      <c r="F68" s="189">
        <v>104</v>
      </c>
      <c r="G68" s="3109">
        <v>2003</v>
      </c>
      <c r="H68" s="121">
        <v>4</v>
      </c>
      <c r="I68" s="203"/>
      <c r="J68" s="203"/>
      <c r="K68" s="203"/>
      <c r="L68" s="203"/>
      <c r="N68" s="204"/>
      <c r="O68" s="203"/>
      <c r="P68" s="203"/>
      <c r="Q68" s="203"/>
      <c r="S68" s="204"/>
      <c r="T68" s="203"/>
      <c r="U68" s="203"/>
      <c r="V68" s="203"/>
      <c r="X68" s="181"/>
      <c r="Y68" s="181"/>
      <c r="Z68" s="181"/>
    </row>
    <row r="69" spans="1:26">
      <c r="A69" s="99" t="s">
        <v>2327</v>
      </c>
      <c r="B69" s="190">
        <f t="shared" ref="B69:C71" si="120">B70+(B$68-B$72)/4</f>
        <v>109.75</v>
      </c>
      <c r="C69" s="190">
        <f t="shared" si="120"/>
        <v>112.25</v>
      </c>
      <c r="D69" s="190">
        <f t="shared" si="84"/>
        <v>112.25</v>
      </c>
      <c r="E69" s="190">
        <f t="shared" ref="E69:F71" si="121">E70+(E$68-E$72)/4</f>
        <v>107.25</v>
      </c>
      <c r="F69" s="190">
        <f t="shared" si="121"/>
        <v>103.5</v>
      </c>
      <c r="G69" s="3105">
        <v>2003</v>
      </c>
      <c r="H69" s="108">
        <v>3</v>
      </c>
      <c r="I69" s="203"/>
      <c r="J69" s="203"/>
      <c r="K69" s="203"/>
      <c r="L69" s="203"/>
      <c r="X69" s="181"/>
      <c r="Y69" s="181"/>
      <c r="Z69" s="181"/>
    </row>
    <row r="70" spans="1:26">
      <c r="A70" s="99" t="s">
        <v>2328</v>
      </c>
      <c r="B70" s="190">
        <f t="shared" si="120"/>
        <v>108.5</v>
      </c>
      <c r="C70" s="190">
        <f t="shared" si="120"/>
        <v>110.5</v>
      </c>
      <c r="D70" s="190">
        <f t="shared" si="84"/>
        <v>110.5</v>
      </c>
      <c r="E70" s="190">
        <f t="shared" si="121"/>
        <v>106.5</v>
      </c>
      <c r="F70" s="190">
        <f t="shared" si="121"/>
        <v>103</v>
      </c>
      <c r="G70" s="3105">
        <v>2003</v>
      </c>
      <c r="H70" s="106">
        <v>2</v>
      </c>
      <c r="I70" s="203"/>
      <c r="J70" s="203"/>
      <c r="K70" s="203"/>
      <c r="L70" s="203"/>
      <c r="X70" s="181"/>
      <c r="Y70" s="181"/>
      <c r="Z70" s="181"/>
    </row>
    <row r="71" spans="1:26">
      <c r="A71" s="99" t="s">
        <v>2329</v>
      </c>
      <c r="B71" s="190">
        <f t="shared" si="120"/>
        <v>107.25</v>
      </c>
      <c r="C71" s="190">
        <f t="shared" si="120"/>
        <v>108.75</v>
      </c>
      <c r="D71" s="190">
        <f t="shared" si="84"/>
        <v>108.75</v>
      </c>
      <c r="E71" s="190">
        <f t="shared" si="121"/>
        <v>105.75</v>
      </c>
      <c r="F71" s="190">
        <f t="shared" si="121"/>
        <v>102.5</v>
      </c>
      <c r="G71" s="3108">
        <v>2003</v>
      </c>
      <c r="H71" s="191">
        <v>1</v>
      </c>
      <c r="I71" s="203"/>
      <c r="J71" s="203"/>
      <c r="K71" s="203"/>
      <c r="L71" s="203"/>
      <c r="S71" s="137"/>
      <c r="T71" s="138"/>
      <c r="U71" s="138"/>
      <c r="X71" s="181"/>
      <c r="Y71" s="181"/>
      <c r="Z71" s="181"/>
    </row>
    <row r="72" spans="1:26">
      <c r="A72" s="99" t="s">
        <v>2330</v>
      </c>
      <c r="B72" s="192">
        <v>106</v>
      </c>
      <c r="C72" s="192">
        <v>107</v>
      </c>
      <c r="D72" s="192">
        <f t="shared" si="84"/>
        <v>107</v>
      </c>
      <c r="E72" s="192">
        <v>105</v>
      </c>
      <c r="F72" s="193">
        <v>102</v>
      </c>
      <c r="G72" s="3109">
        <v>2002</v>
      </c>
      <c r="H72" s="107">
        <v>4</v>
      </c>
      <c r="I72" s="203"/>
      <c r="J72" s="203"/>
      <c r="K72" s="203"/>
      <c r="L72" s="203"/>
      <c r="N72" s="204"/>
      <c r="O72" s="203"/>
      <c r="P72" s="203"/>
      <c r="Q72" s="203"/>
      <c r="S72" s="204"/>
      <c r="T72" s="203"/>
      <c r="U72" s="203"/>
      <c r="V72" s="203"/>
      <c r="X72" s="181"/>
      <c r="Y72" s="181"/>
      <c r="Z72" s="181"/>
    </row>
    <row r="73" spans="1:26">
      <c r="A73" s="99" t="s">
        <v>2331</v>
      </c>
      <c r="B73" s="190">
        <f t="shared" ref="B73:C75" si="122">B74+(B$72-B$76)/4</f>
        <v>105</v>
      </c>
      <c r="C73" s="190">
        <f t="shared" si="122"/>
        <v>106</v>
      </c>
      <c r="D73" s="190">
        <f t="shared" si="84"/>
        <v>106</v>
      </c>
      <c r="E73" s="190">
        <f t="shared" ref="E73:F75" si="123">E74+(E$72-E$76)/4</f>
        <v>104.5</v>
      </c>
      <c r="F73" s="190">
        <f t="shared" si="123"/>
        <v>101.5</v>
      </c>
      <c r="G73" s="3105">
        <v>2002</v>
      </c>
      <c r="H73" s="108">
        <v>3</v>
      </c>
      <c r="I73" s="203"/>
      <c r="J73" s="203"/>
      <c r="K73" s="203"/>
      <c r="L73" s="203"/>
      <c r="X73" s="181"/>
      <c r="Y73" s="181"/>
      <c r="Z73" s="181"/>
    </row>
    <row r="74" spans="1:26">
      <c r="A74" s="99" t="s">
        <v>2332</v>
      </c>
      <c r="B74" s="190">
        <f t="shared" si="122"/>
        <v>104</v>
      </c>
      <c r="C74" s="190">
        <f t="shared" si="122"/>
        <v>105</v>
      </c>
      <c r="D74" s="190">
        <f t="shared" si="84"/>
        <v>105</v>
      </c>
      <c r="E74" s="190">
        <f t="shared" si="123"/>
        <v>104</v>
      </c>
      <c r="F74" s="190">
        <f t="shared" si="123"/>
        <v>101</v>
      </c>
      <c r="G74" s="3105">
        <v>2002</v>
      </c>
      <c r="H74" s="106">
        <v>2</v>
      </c>
      <c r="I74" s="203"/>
      <c r="J74" s="203"/>
      <c r="K74" s="203"/>
      <c r="L74" s="203"/>
      <c r="X74" s="181"/>
      <c r="Y74" s="181"/>
      <c r="Z74" s="181"/>
    </row>
    <row r="75" spans="1:26" s="75" customFormat="1">
      <c r="A75" s="112" t="s">
        <v>2333</v>
      </c>
      <c r="B75" s="194">
        <f t="shared" si="122"/>
        <v>103</v>
      </c>
      <c r="C75" s="194">
        <f t="shared" si="122"/>
        <v>104</v>
      </c>
      <c r="D75" s="194">
        <f t="shared" si="84"/>
        <v>104</v>
      </c>
      <c r="E75" s="194">
        <f t="shared" si="123"/>
        <v>103.5</v>
      </c>
      <c r="F75" s="194">
        <f t="shared" si="123"/>
        <v>100.5</v>
      </c>
      <c r="G75" s="3108">
        <v>2002</v>
      </c>
      <c r="H75" s="195">
        <v>1</v>
      </c>
      <c r="I75" s="205"/>
      <c r="J75" s="205"/>
      <c r="K75" s="205"/>
      <c r="L75" s="205"/>
      <c r="N75" s="206"/>
      <c r="S75" s="206"/>
      <c r="X75" s="210"/>
      <c r="Y75" s="210"/>
      <c r="Z75" s="210"/>
    </row>
    <row r="76" spans="1:26">
      <c r="B76" s="196">
        <v>102</v>
      </c>
      <c r="C76" s="197">
        <v>103</v>
      </c>
      <c r="D76" s="197">
        <f t="shared" si="84"/>
        <v>103</v>
      </c>
      <c r="E76" s="197">
        <v>103</v>
      </c>
      <c r="F76" s="198">
        <v>100</v>
      </c>
      <c r="I76" s="203"/>
      <c r="J76" s="203"/>
      <c r="K76" s="203"/>
      <c r="L76" s="203"/>
      <c r="N76" s="204"/>
      <c r="O76" s="203"/>
      <c r="P76" s="203"/>
      <c r="Q76" s="203"/>
      <c r="S76" s="204"/>
      <c r="T76" s="203"/>
      <c r="U76" s="203"/>
      <c r="V76" s="203"/>
      <c r="X76" s="169"/>
      <c r="Y76" s="169"/>
      <c r="Z76" s="169"/>
    </row>
    <row r="78" spans="1:26" s="77" customFormat="1">
      <c r="A78" s="199" t="s">
        <v>2334</v>
      </c>
      <c r="G78" s="200"/>
      <c r="N78" s="200"/>
      <c r="S78" s="200"/>
    </row>
    <row r="79" spans="1:26" s="77" customFormat="1">
      <c r="A79" s="77" t="s">
        <v>2335</v>
      </c>
      <c r="G79" s="200"/>
      <c r="N79" s="200"/>
      <c r="S79" s="200"/>
    </row>
    <row r="80" spans="1:26" s="77" customFormat="1">
      <c r="A80" s="77" t="s">
        <v>2336</v>
      </c>
      <c r="G80" s="200"/>
      <c r="I80" s="207"/>
      <c r="J80" s="207"/>
      <c r="K80" s="207"/>
      <c r="L80" s="207"/>
      <c r="N80" s="208"/>
      <c r="O80" s="207"/>
      <c r="P80" s="207"/>
      <c r="Q80" s="207"/>
      <c r="S80" s="208"/>
      <c r="T80" s="207"/>
      <c r="U80" s="207"/>
      <c r="V80" s="207"/>
    </row>
    <row r="81" spans="1:22" s="77" customFormat="1">
      <c r="A81" s="77" t="s">
        <v>2337</v>
      </c>
      <c r="G81" s="200"/>
      <c r="N81" s="200"/>
      <c r="S81" s="200"/>
    </row>
    <row r="89" spans="1:22">
      <c r="G89" s="78"/>
      <c r="S89" s="211" t="s">
        <v>2338</v>
      </c>
      <c r="T89" s="212" t="s">
        <v>2339</v>
      </c>
      <c r="U89" s="212" t="s">
        <v>2340</v>
      </c>
      <c r="V89" s="212" t="s">
        <v>2341</v>
      </c>
    </row>
    <row r="90" spans="1:22">
      <c r="G90" s="78"/>
      <c r="N90" s="168"/>
      <c r="O90" s="169"/>
      <c r="P90" s="169"/>
      <c r="Q90" s="169"/>
      <c r="S90" s="213">
        <v>2006</v>
      </c>
      <c r="T90" s="214">
        <v>15.1</v>
      </c>
      <c r="U90" s="214">
        <v>7.43</v>
      </c>
      <c r="V90" s="214">
        <v>26.26</v>
      </c>
    </row>
    <row r="91" spans="1:22">
      <c r="G91" s="78"/>
      <c r="N91" s="168"/>
      <c r="O91" s="169"/>
      <c r="P91" s="169"/>
      <c r="Q91" s="169"/>
      <c r="S91" s="215">
        <v>2005</v>
      </c>
      <c r="T91" s="216">
        <v>13.9</v>
      </c>
      <c r="U91" s="216">
        <v>7.49</v>
      </c>
      <c r="V91" s="216">
        <v>24.92</v>
      </c>
    </row>
    <row r="92" spans="1:22">
      <c r="G92" s="78"/>
      <c r="N92" s="168"/>
      <c r="O92" s="169"/>
      <c r="P92" s="169"/>
      <c r="Q92" s="169"/>
      <c r="S92" s="213">
        <v>2004</v>
      </c>
      <c r="T92" s="214">
        <v>9.48</v>
      </c>
      <c r="U92" s="214">
        <v>7.2</v>
      </c>
      <c r="V92" s="214">
        <v>14.68</v>
      </c>
    </row>
    <row r="93" spans="1:22">
      <c r="G93" s="78"/>
      <c r="N93" s="168"/>
      <c r="O93" s="169"/>
      <c r="P93" s="169"/>
      <c r="Q93" s="169"/>
      <c r="S93" s="215">
        <v>2003</v>
      </c>
      <c r="T93" s="216">
        <v>4.5</v>
      </c>
      <c r="U93" s="216">
        <v>6.12</v>
      </c>
      <c r="V93" s="216">
        <v>2.34</v>
      </c>
    </row>
    <row r="94" spans="1:22">
      <c r="G94" s="78"/>
      <c r="N94" s="168"/>
      <c r="O94" s="169"/>
      <c r="P94" s="169"/>
      <c r="Q94" s="169"/>
      <c r="S94" s="217">
        <v>2002</v>
      </c>
      <c r="T94" s="218">
        <v>3.59</v>
      </c>
      <c r="U94" s="218">
        <v>4.54</v>
      </c>
      <c r="V94" s="218">
        <v>2.5499999999999998</v>
      </c>
    </row>
    <row r="95" spans="1:22">
      <c r="G95" s="78"/>
      <c r="N95" s="168"/>
      <c r="O95" s="169"/>
      <c r="P95" s="169"/>
      <c r="Q95" s="169"/>
    </row>
    <row r="96" spans="1:22">
      <c r="G96" s="78"/>
      <c r="N96" s="168"/>
      <c r="O96" s="169"/>
      <c r="P96" s="169"/>
      <c r="Q96" s="169"/>
    </row>
    <row r="97" spans="7:19">
      <c r="G97" s="78"/>
      <c r="N97" s="168"/>
      <c r="O97" s="169"/>
      <c r="P97" s="169"/>
      <c r="Q97" s="169"/>
    </row>
    <row r="98" spans="7:19">
      <c r="G98" s="78"/>
      <c r="N98" s="168"/>
      <c r="O98" s="169"/>
      <c r="P98" s="169"/>
      <c r="Q98" s="169"/>
    </row>
    <row r="99" spans="7:19">
      <c r="G99" s="78"/>
      <c r="N99" s="168"/>
      <c r="O99" s="169"/>
      <c r="P99" s="169"/>
      <c r="Q99" s="169"/>
    </row>
    <row r="100" spans="7:19">
      <c r="G100" s="78"/>
      <c r="N100" s="168"/>
      <c r="O100" s="169"/>
      <c r="P100" s="169"/>
      <c r="Q100" s="169"/>
    </row>
    <row r="101" spans="7:19">
      <c r="G101" s="78"/>
      <c r="N101" s="168"/>
      <c r="O101" s="169"/>
      <c r="P101" s="169"/>
      <c r="Q101" s="169"/>
    </row>
    <row r="102" spans="7:19">
      <c r="G102" s="78"/>
      <c r="N102" s="168"/>
      <c r="O102" s="169"/>
      <c r="P102" s="169"/>
      <c r="Q102" s="169"/>
    </row>
    <row r="103" spans="7:19">
      <c r="G103" s="78"/>
      <c r="N103" s="168"/>
      <c r="O103" s="169"/>
      <c r="P103" s="169"/>
      <c r="Q103" s="169"/>
    </row>
    <row r="104" spans="7:19">
      <c r="G104" s="78"/>
      <c r="N104" s="168"/>
      <c r="O104" s="169"/>
      <c r="P104" s="169"/>
      <c r="Q104" s="169"/>
    </row>
    <row r="105" spans="7:19">
      <c r="G105" s="78"/>
      <c r="N105" s="168"/>
      <c r="O105" s="169"/>
      <c r="P105" s="169"/>
      <c r="Q105" s="169"/>
      <c r="S105" s="78"/>
    </row>
    <row r="106" spans="7:19">
      <c r="G106" s="78"/>
      <c r="N106" s="168"/>
      <c r="O106" s="169"/>
      <c r="P106" s="169"/>
      <c r="Q106" s="169"/>
      <c r="S106" s="78"/>
    </row>
    <row r="107" spans="7:19">
      <c r="G107" s="78"/>
      <c r="N107" s="168"/>
      <c r="O107" s="169"/>
      <c r="P107" s="169"/>
      <c r="Q107" s="169"/>
      <c r="S107" s="78"/>
    </row>
    <row r="108" spans="7:19">
      <c r="G108" s="78"/>
      <c r="N108" s="168"/>
      <c r="O108" s="169"/>
      <c r="P108" s="169"/>
      <c r="Q108" s="169"/>
      <c r="S108" s="78"/>
    </row>
    <row r="109" spans="7:19">
      <c r="G109" s="78"/>
      <c r="N109" s="168"/>
      <c r="O109" s="169"/>
      <c r="P109" s="169"/>
      <c r="Q109" s="169"/>
      <c r="S109" s="78"/>
    </row>
    <row r="110" spans="7:19">
      <c r="G110" s="78"/>
      <c r="N110" s="168"/>
      <c r="O110" s="169"/>
      <c r="P110" s="169"/>
      <c r="Q110" s="169"/>
      <c r="S110" s="78"/>
    </row>
  </sheetData>
  <sheetProtection sheet="1" objects="1" scenarios="1" formatCells="0"/>
  <mergeCells count="23">
    <mergeCell ref="G64:G67"/>
    <mergeCell ref="G68:G71"/>
    <mergeCell ref="G72:G75"/>
    <mergeCell ref="G44:G47"/>
    <mergeCell ref="G48:G51"/>
    <mergeCell ref="G52:G55"/>
    <mergeCell ref="G56:G59"/>
    <mergeCell ref="G60:G63"/>
    <mergeCell ref="G24:G27"/>
    <mergeCell ref="G28:G31"/>
    <mergeCell ref="G32:G35"/>
    <mergeCell ref="G36:G39"/>
    <mergeCell ref="G40:G43"/>
    <mergeCell ref="AD1:AH1"/>
    <mergeCell ref="G8:G11"/>
    <mergeCell ref="G12:G15"/>
    <mergeCell ref="G16:G19"/>
    <mergeCell ref="G20:G23"/>
    <mergeCell ref="B1:F1"/>
    <mergeCell ref="G1:L1"/>
    <mergeCell ref="N1:Q1"/>
    <mergeCell ref="S1:V1"/>
    <mergeCell ref="X1:AB1"/>
  </mergeCells>
  <phoneticPr fontId="20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2342</v>
      </c>
      <c r="C1" s="7">
        <f>项目基本情况!D2</f>
        <v>43646</v>
      </c>
      <c r="D1" s="6" t="s">
        <v>2343</v>
      </c>
      <c r="E1" s="8">
        <f>'数据-取费表'!B23</f>
        <v>2</v>
      </c>
      <c r="F1" s="6" t="s">
        <v>2344</v>
      </c>
      <c r="G1" s="9">
        <f ca="1">INDIRECT("d"&amp;$K$1)/100</f>
        <v>4.7500000000000001E-2</v>
      </c>
      <c r="H1" s="6" t="s">
        <v>2345</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2344</v>
      </c>
      <c r="E2" s="10"/>
      <c r="F2" s="10" t="s">
        <v>2346</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2347</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2348</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2349</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2350</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2351</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2352</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2353</v>
      </c>
      <c r="C10" s="34"/>
      <c r="D10" s="34"/>
      <c r="E10" s="34"/>
      <c r="F10" s="34"/>
      <c r="G10" s="34"/>
      <c r="H10" s="34"/>
      <c r="I10" s="2"/>
      <c r="J10" s="2"/>
      <c r="K10" s="34"/>
      <c r="L10" s="35" t="s">
        <v>2354</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2355</v>
      </c>
      <c r="C11" s="38" t="s">
        <v>2356</v>
      </c>
      <c r="D11" s="39" t="s">
        <v>2357</v>
      </c>
      <c r="E11" s="40"/>
      <c r="F11" s="39" t="s">
        <v>2358</v>
      </c>
      <c r="G11" s="41"/>
      <c r="H11" s="40"/>
      <c r="I11" s="39" t="s">
        <v>2359</v>
      </c>
      <c r="J11" s="40"/>
      <c r="K11" s="36"/>
      <c r="L11" s="37" t="s">
        <v>2355</v>
      </c>
      <c r="M11" s="38" t="s">
        <v>2356</v>
      </c>
      <c r="N11" s="37" t="s">
        <v>2360</v>
      </c>
      <c r="O11" s="39" t="s">
        <v>2361</v>
      </c>
      <c r="P11" s="41"/>
      <c r="Q11" s="41"/>
      <c r="R11" s="41"/>
      <c r="S11" s="41"/>
      <c r="T11" s="40"/>
      <c r="U11" s="39" t="s">
        <v>2362</v>
      </c>
      <c r="V11" s="41"/>
      <c r="W11" s="40"/>
      <c r="X11" s="37" t="s">
        <v>2363</v>
      </c>
      <c r="Y11" s="37" t="s">
        <v>2364</v>
      </c>
      <c r="Z11" s="37" t="s">
        <v>2365</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2366</v>
      </c>
      <c r="E12" s="45" t="s">
        <v>2348</v>
      </c>
      <c r="F12" s="45" t="s">
        <v>2349</v>
      </c>
      <c r="G12" s="45" t="s">
        <v>2350</v>
      </c>
      <c r="H12" s="45" t="s">
        <v>2351</v>
      </c>
      <c r="I12" s="56" t="s">
        <v>2367</v>
      </c>
      <c r="J12" s="56" t="s">
        <v>2367</v>
      </c>
      <c r="K12" s="42"/>
      <c r="L12" s="43"/>
      <c r="M12" s="44"/>
      <c r="N12" s="43"/>
      <c r="O12" s="56" t="s">
        <v>2368</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2369</v>
      </c>
      <c r="C13" s="48">
        <v>42301</v>
      </c>
      <c r="D13" s="49">
        <v>4.3499999999999996</v>
      </c>
      <c r="E13" s="49">
        <v>4.3499999999999996</v>
      </c>
      <c r="F13" s="49">
        <v>4.75</v>
      </c>
      <c r="G13" s="49">
        <v>4.75</v>
      </c>
      <c r="H13" s="49">
        <v>4.9000000000000004</v>
      </c>
      <c r="I13" s="49">
        <v>2.75</v>
      </c>
      <c r="J13" s="49">
        <v>3.25</v>
      </c>
      <c r="K13" s="46"/>
      <c r="L13" s="47" t="s">
        <v>2369</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2370</v>
      </c>
      <c r="Y42" s="50" t="s">
        <v>2370</v>
      </c>
      <c r="Z42" s="50" t="s">
        <v>2370</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2370</v>
      </c>
      <c r="Y43" s="50" t="s">
        <v>2370</v>
      </c>
      <c r="Z43" s="50" t="s">
        <v>2370</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2370</v>
      </c>
      <c r="Y44" s="50" t="s">
        <v>2370</v>
      </c>
      <c r="Z44" s="50" t="s">
        <v>2370</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2370</v>
      </c>
      <c r="Y45" s="50" t="s">
        <v>2370</v>
      </c>
      <c r="Z45" s="50" t="s">
        <v>2370</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2370</v>
      </c>
      <c r="Y46" s="50" t="s">
        <v>2370</v>
      </c>
      <c r="Z46" s="50" t="s">
        <v>2370</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2370</v>
      </c>
      <c r="Y47" s="50" t="s">
        <v>2370</v>
      </c>
      <c r="Z47" s="50" t="s">
        <v>2370</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2370</v>
      </c>
      <c r="Y48" s="50" t="s">
        <v>2370</v>
      </c>
      <c r="Z48" s="50" t="s">
        <v>2370</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2370</v>
      </c>
      <c r="Y49" s="50" t="s">
        <v>2370</v>
      </c>
      <c r="Z49" s="50" t="s">
        <v>2370</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2370</v>
      </c>
      <c r="Y50" s="50" t="s">
        <v>2370</v>
      </c>
      <c r="Z50" s="50" t="s">
        <v>2370</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2370</v>
      </c>
      <c r="V51" s="50" t="s">
        <v>2370</v>
      </c>
      <c r="W51" s="50" t="s">
        <v>2370</v>
      </c>
      <c r="X51" s="50" t="s">
        <v>2370</v>
      </c>
      <c r="Y51" s="50" t="s">
        <v>2370</v>
      </c>
      <c r="Z51" s="50" t="s">
        <v>2370</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2370</v>
      </c>
      <c r="J55" s="50" t="s">
        <v>2370</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5"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topLeftCell="A4" workbookViewId="0">
      <selection activeCell="F45" sqref="F45"/>
    </sheetView>
  </sheetViews>
  <sheetFormatPr defaultRowHeight="13.5"/>
  <sheetData>
    <row r="1" spans="1:4">
      <c r="A1" s="3113"/>
      <c r="B1" s="3113" t="s">
        <v>2371</v>
      </c>
      <c r="C1" s="3113" t="s">
        <v>441</v>
      </c>
      <c r="D1" s="3114" t="s">
        <v>2381</v>
      </c>
    </row>
    <row r="2" spans="1:4">
      <c r="A2" s="3115">
        <v>1</v>
      </c>
      <c r="B2" s="3115" t="s">
        <v>2372</v>
      </c>
      <c r="C2" s="3115">
        <v>107.22</v>
      </c>
      <c r="D2" s="3115">
        <v>11.01</v>
      </c>
    </row>
    <row r="3" spans="1:4">
      <c r="A3" s="3115">
        <v>2</v>
      </c>
      <c r="B3" s="3115" t="s">
        <v>2373</v>
      </c>
      <c r="C3" s="3115">
        <v>106.15</v>
      </c>
      <c r="D3" s="3115">
        <v>10.9</v>
      </c>
    </row>
    <row r="4" spans="1:4">
      <c r="A4" s="3115">
        <v>3</v>
      </c>
      <c r="B4" s="3115" t="s">
        <v>2374</v>
      </c>
      <c r="C4" s="3115">
        <v>107.22</v>
      </c>
      <c r="D4" s="3115">
        <v>11.01</v>
      </c>
    </row>
    <row r="5" spans="1:4">
      <c r="A5" s="3115">
        <v>4</v>
      </c>
      <c r="B5" s="3115" t="s">
        <v>2375</v>
      </c>
      <c r="C5" s="3115">
        <v>83.75</v>
      </c>
      <c r="D5" s="3115">
        <v>8.6</v>
      </c>
    </row>
    <row r="6" spans="1:4">
      <c r="A6" s="3115">
        <v>5</v>
      </c>
      <c r="B6" s="3115" t="s">
        <v>2376</v>
      </c>
      <c r="C6" s="3115">
        <v>83.75</v>
      </c>
      <c r="D6" s="3115">
        <v>8.6</v>
      </c>
    </row>
    <row r="7" spans="1:4">
      <c r="A7" s="3115">
        <v>6</v>
      </c>
      <c r="B7" s="3115" t="s">
        <v>2377</v>
      </c>
      <c r="C7" s="3115">
        <v>83.75</v>
      </c>
      <c r="D7" s="3115">
        <v>8.6</v>
      </c>
    </row>
    <row r="8" spans="1:4">
      <c r="A8" s="3115">
        <v>7</v>
      </c>
      <c r="B8" s="3115" t="s">
        <v>2378</v>
      </c>
      <c r="C8" s="3115">
        <v>83.75</v>
      </c>
      <c r="D8" s="3115">
        <v>8.6</v>
      </c>
    </row>
    <row r="9" spans="1:4">
      <c r="A9" s="3113">
        <v>8</v>
      </c>
      <c r="B9" s="3113" t="s">
        <v>1366</v>
      </c>
      <c r="C9" s="3113">
        <v>83.75</v>
      </c>
      <c r="D9" s="3113">
        <v>8.6</v>
      </c>
    </row>
    <row r="10" spans="1:4">
      <c r="A10" s="3113">
        <v>9</v>
      </c>
      <c r="B10" s="3113" t="s">
        <v>1360</v>
      </c>
      <c r="C10" s="3113">
        <v>89.85</v>
      </c>
      <c r="D10" s="3113">
        <v>9.23</v>
      </c>
    </row>
    <row r="11" spans="1:4">
      <c r="A11" s="3113">
        <v>10</v>
      </c>
      <c r="B11" s="3113" t="s">
        <v>1361</v>
      </c>
      <c r="C11" s="3113">
        <v>83.75</v>
      </c>
      <c r="D11" s="3113">
        <v>8.6</v>
      </c>
    </row>
    <row r="12" spans="1:4">
      <c r="A12" s="3113">
        <v>11</v>
      </c>
      <c r="B12" s="3113" t="s">
        <v>1362</v>
      </c>
      <c r="C12" s="3113">
        <v>89.85</v>
      </c>
      <c r="D12" s="3113">
        <v>9.23</v>
      </c>
    </row>
    <row r="13" spans="1:4">
      <c r="A13" s="3113">
        <v>12</v>
      </c>
      <c r="B13" s="3113" t="s">
        <v>1363</v>
      </c>
      <c r="C13" s="3113">
        <v>83.75</v>
      </c>
      <c r="D13" s="3113">
        <v>8.6</v>
      </c>
    </row>
    <row r="14" spans="1:4">
      <c r="A14" s="3113">
        <v>13</v>
      </c>
      <c r="B14" s="3113" t="s">
        <v>1364</v>
      </c>
      <c r="C14" s="3113">
        <v>83.75</v>
      </c>
      <c r="D14" s="3113">
        <v>8.6</v>
      </c>
    </row>
    <row r="15" spans="1:4">
      <c r="A15" s="3113">
        <v>14</v>
      </c>
      <c r="B15" s="3113" t="s">
        <v>1365</v>
      </c>
      <c r="C15" s="3113">
        <v>89.85</v>
      </c>
      <c r="D15" s="3113">
        <v>9.23</v>
      </c>
    </row>
    <row r="16" spans="1:4">
      <c r="A16" s="3113">
        <v>15</v>
      </c>
      <c r="B16" s="3113" t="s">
        <v>1359</v>
      </c>
      <c r="C16" s="3113">
        <v>107.22</v>
      </c>
      <c r="D16" s="3113">
        <v>11.01</v>
      </c>
    </row>
    <row r="17" spans="1:4">
      <c r="A17" s="3113">
        <v>16</v>
      </c>
      <c r="B17" s="3113" t="s">
        <v>1367</v>
      </c>
      <c r="C17" s="3113">
        <v>145.21</v>
      </c>
      <c r="D17" s="3113">
        <v>14.91</v>
      </c>
    </row>
    <row r="18" spans="1:4">
      <c r="A18" s="3113">
        <v>17</v>
      </c>
      <c r="B18" s="3113" t="s">
        <v>1368</v>
      </c>
      <c r="C18" s="3113">
        <v>83.75</v>
      </c>
      <c r="D18" s="3113">
        <v>8.6</v>
      </c>
    </row>
    <row r="19" spans="1:4">
      <c r="A19" s="3113">
        <v>18</v>
      </c>
      <c r="B19" s="3113" t="s">
        <v>1369</v>
      </c>
      <c r="C19" s="3113">
        <v>83.75</v>
      </c>
      <c r="D19" s="3113">
        <v>8.6</v>
      </c>
    </row>
    <row r="20" spans="1:4">
      <c r="A20" s="3115">
        <v>19</v>
      </c>
      <c r="B20" s="3115" t="s">
        <v>2379</v>
      </c>
      <c r="C20" s="3115">
        <v>106.15</v>
      </c>
      <c r="D20" s="3115">
        <v>10.9</v>
      </c>
    </row>
    <row r="21" spans="1:4">
      <c r="A21" s="3115">
        <v>20</v>
      </c>
      <c r="B21" s="3115" t="s">
        <v>2380</v>
      </c>
      <c r="C21" s="3115">
        <v>89.85</v>
      </c>
      <c r="D21" s="3115">
        <v>9.23</v>
      </c>
    </row>
    <row r="22" spans="1:4">
      <c r="A22" s="3116" t="s">
        <v>2382</v>
      </c>
      <c r="B22" s="3116" t="s">
        <v>2383</v>
      </c>
      <c r="C22" s="3117">
        <f>SUM(C2:C21)</f>
        <v>1876.07</v>
      </c>
      <c r="D22" s="3117">
        <f>SUM(D2:D21)</f>
        <v>192.65999999999997</v>
      </c>
    </row>
  </sheetData>
  <phoneticPr fontId="20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69" customWidth="1"/>
    <col min="2" max="2" width="37.875" style="2669" customWidth="1"/>
    <col min="3" max="3" width="16.125" style="2669" customWidth="1"/>
    <col min="4" max="4" width="22.25" style="2669" customWidth="1"/>
    <col min="5" max="5" width="4.125" style="2669" customWidth="1"/>
    <col min="6" max="7" width="13" style="2669" customWidth="1"/>
    <col min="8" max="16384" width="9" style="2669"/>
  </cols>
  <sheetData>
    <row r="1" spans="1:5" ht="18.75">
      <c r="A1" s="2670" t="s">
        <v>86</v>
      </c>
      <c r="B1" s="2671"/>
      <c r="C1" s="2671"/>
      <c r="D1" s="2671"/>
      <c r="E1" s="2671"/>
    </row>
    <row r="2" spans="1:5" ht="78.75" customHeight="1">
      <c r="A2" s="275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5"/>
      <c r="C2" s="2755"/>
      <c r="D2" s="2755"/>
      <c r="E2" s="2755"/>
    </row>
    <row r="3" spans="1:5" ht="13.5" customHeight="1">
      <c r="A3" s="2672"/>
      <c r="B3" s="2672"/>
      <c r="C3" s="2672"/>
      <c r="D3" s="2672"/>
      <c r="E3" s="2672"/>
    </row>
    <row r="4" spans="1:5" ht="18.75">
      <c r="A4" s="2756" t="str">
        <f>IF(项目基本情况!D5="房地产市场价值","估价结果一览表（市场价值不需本页表格)","估价结果一览表")</f>
        <v>估价结果一览表</v>
      </c>
      <c r="B4" s="2756"/>
      <c r="C4" s="2756"/>
      <c r="D4" s="2756"/>
      <c r="E4" s="2756"/>
    </row>
    <row r="5" spans="1:5" ht="14.25" customHeight="1">
      <c r="A5" s="2671"/>
      <c r="B5" s="2673" t="s">
        <v>87</v>
      </c>
      <c r="C5" s="2757" t="s">
        <v>88</v>
      </c>
      <c r="D5" s="2758"/>
      <c r="E5" s="2671"/>
    </row>
    <row r="6" spans="1:5" ht="14.25">
      <c r="A6" s="2671"/>
      <c r="B6" s="2674" t="str">
        <f>项目基本情况!I1</f>
        <v>北京市房地产</v>
      </c>
      <c r="C6" s="2759">
        <f>项目基本情况!C12</f>
        <v>1024.48</v>
      </c>
      <c r="D6" s="2759"/>
      <c r="E6" s="2671"/>
    </row>
    <row r="7" spans="1:5" ht="14.25">
      <c r="A7" s="2671"/>
      <c r="B7" s="2761" t="s">
        <v>89</v>
      </c>
      <c r="C7" s="2676" t="str">
        <f>IF('数据-取费表'!B3="万元","总价（万元）","总价（元）")</f>
        <v>总价（万元）</v>
      </c>
      <c r="D7" s="2675">
        <f ca="1">IF('数据-取费表'!E3="否",结果表!I102,'结果表 (1修多)'!I103)</f>
        <v>4242</v>
      </c>
      <c r="E7" s="2671"/>
    </row>
    <row r="8" spans="1:5" ht="14.25">
      <c r="A8" s="2671"/>
      <c r="B8" s="2761"/>
      <c r="C8" s="2677" t="s">
        <v>90</v>
      </c>
      <c r="D8" s="2678" t="str">
        <f ca="1">IF('数据-取费表'!B3="万元",NUMBERSTRING(INT(D7*10000),2)&amp;"元整",NUMBERSTRING(INT(D7),2)&amp;"元整")</f>
        <v>肆仟贰佰肆拾贰万元整</v>
      </c>
      <c r="E8" s="2671"/>
    </row>
    <row r="9" spans="1:5" ht="14.25">
      <c r="A9" s="2671"/>
      <c r="B9" s="2761"/>
      <c r="C9" s="2679" t="s">
        <v>91</v>
      </c>
      <c r="D9" s="2675">
        <f ca="1">IF('数据-取费表'!E3="否",结果表!I103,'结果表 (1修多)'!I104)</f>
        <v>41406</v>
      </c>
      <c r="E9" s="2671"/>
    </row>
    <row r="10" spans="1:5" ht="14.25">
      <c r="A10" s="2671"/>
      <c r="B10" s="2762" t="str">
        <f>IF('数据-取费表'!E3="否",结果表!F105,'结果表 (1修多)'!F106)</f>
        <v>2.估价师所知悉的法定优先受偿款</v>
      </c>
      <c r="C10" s="2680" t="str">
        <f>IF('数据-取费表'!B3="万元","总额（万元）","总额（元）")</f>
        <v>总额（万元）</v>
      </c>
      <c r="D10" s="2675">
        <f>IF('数据-取费表'!E3="否",结果表!I105,'结果表 (1修多)'!I106)</f>
        <v>0</v>
      </c>
      <c r="E10" s="2671"/>
    </row>
    <row r="11" spans="1:5" ht="14.25">
      <c r="A11" s="2671"/>
      <c r="B11" s="2762"/>
      <c r="C11" s="2677" t="s">
        <v>90</v>
      </c>
      <c r="D11" s="2678" t="str">
        <f>IF('数据-取费表'!B3="万元",NUMBERSTRING(INT(D10*10000),2)&amp;"元整",NUMBERSTRING(INT(D10),2)&amp;"元整")</f>
        <v>零元整</v>
      </c>
      <c r="E11" s="2671"/>
    </row>
    <row r="12" spans="1:5" ht="14.25">
      <c r="A12" s="2671"/>
      <c r="B12" s="2681" t="s">
        <v>92</v>
      </c>
      <c r="C12" s="2682" t="str">
        <f>C10</f>
        <v>总额（万元）</v>
      </c>
      <c r="D12" s="2683">
        <f>IF('数据-取费表'!E3="否",结果表!I106,'结果表 (1修多)'!I107)</f>
        <v>0</v>
      </c>
      <c r="E12" s="2671"/>
    </row>
    <row r="13" spans="1:5" ht="14.25">
      <c r="A13" s="2671"/>
      <c r="B13" s="2681" t="s">
        <v>93</v>
      </c>
      <c r="C13" s="2682" t="str">
        <f>C10</f>
        <v>总额（万元）</v>
      </c>
      <c r="D13" s="2683">
        <f>IF('数据-取费表'!E3="否",结果表!I107,'结果表 (1修多)'!I108)</f>
        <v>0</v>
      </c>
      <c r="E13" s="2671"/>
    </row>
    <row r="14" spans="1:5" ht="14.25">
      <c r="A14" s="2671"/>
      <c r="B14" s="2681" t="s">
        <v>94</v>
      </c>
      <c r="C14" s="2682" t="str">
        <f>C10</f>
        <v>总额（万元）</v>
      </c>
      <c r="D14" s="2683">
        <f>IF('数据-取费表'!E3="否",结果表!I108,'结果表 (1修多)'!I109)</f>
        <v>0</v>
      </c>
      <c r="E14" s="2671"/>
    </row>
    <row r="15" spans="1:5" ht="14.25">
      <c r="A15" s="2671"/>
      <c r="B15" s="2762" t="str">
        <f>IF('数据-取费表'!E3="否",结果表!F110,'结果表 (1修多)'!F111)</f>
        <v>3.房地产抵押价值</v>
      </c>
      <c r="C15" s="2684" t="str">
        <f>C7</f>
        <v>总价（万元）</v>
      </c>
      <c r="D15" s="2675">
        <f ca="1">IF('数据-取费表'!E3="否",结果表!I110,'结果表 (1修多)'!I111)</f>
        <v>4242</v>
      </c>
      <c r="E15" s="2671"/>
    </row>
    <row r="16" spans="1:5" ht="14.25">
      <c r="A16" s="2671"/>
      <c r="B16" s="2762"/>
      <c r="C16" s="2677" t="s">
        <v>90</v>
      </c>
      <c r="D16" s="2675" t="str">
        <f ca="1">IF('数据-取费表'!B3="万元",NUMBERSTRING(INT(D15*10000),2)&amp;"元整",NUMBERSTRING(INT(D15),2)&amp;"元整")</f>
        <v>肆仟贰佰肆拾贰万元整</v>
      </c>
      <c r="E16" s="2671"/>
    </row>
    <row r="17" spans="1:5" ht="14.25">
      <c r="A17" s="2671"/>
      <c r="B17" s="2762"/>
      <c r="C17" s="2679" t="s">
        <v>91</v>
      </c>
      <c r="D17" s="2675">
        <f ca="1">IF('数据-取费表'!E3="否",结果表!I111,'结果表 (1修多)'!I112)</f>
        <v>41406</v>
      </c>
      <c r="E17" s="2671"/>
    </row>
    <row r="18" spans="1:5" ht="14.25">
      <c r="A18" s="2671"/>
      <c r="B18" s="2762" t="str">
        <f>IF('数据-取费表'!E3="否",结果表!F112,'结果表 (1修多)'!F113)</f>
        <v>——</v>
      </c>
      <c r="C18" s="2684" t="str">
        <f>C7</f>
        <v>总价（万元）</v>
      </c>
      <c r="D18" s="2675" t="str">
        <f>IF('数据-取费表'!E3="否",结果表!I112,'结果表 (1修多)'!I113)</f>
        <v>——</v>
      </c>
      <c r="E18" s="2671"/>
    </row>
    <row r="19" spans="1:5" ht="14.25">
      <c r="A19" s="2671"/>
      <c r="B19" s="2762"/>
      <c r="C19" s="2677" t="s">
        <v>90</v>
      </c>
      <c r="D19" s="2675" t="e">
        <f>IF('数据-取费表'!B3="万元",NUMBERSTRING(INT(D18*10000),2)&amp;"元整",NUMBERSTRING(INT(D18),2)&amp;"元整")</f>
        <v>#VALUE!</v>
      </c>
      <c r="E19" s="2671"/>
    </row>
    <row r="20" spans="1:5" ht="14.25">
      <c r="A20" s="2671"/>
      <c r="B20" s="2762"/>
      <c r="C20" s="2679" t="s">
        <v>91</v>
      </c>
      <c r="D20" s="2675" t="str">
        <f>IF('数据-取费表'!E3="否",结果表!I113,'结果表 (1修多)'!I114)</f>
        <v>——</v>
      </c>
      <c r="E20" s="2671"/>
    </row>
    <row r="21" spans="1:5" ht="14.25">
      <c r="A21" s="2671"/>
      <c r="B21" s="2761" t="str">
        <f>IF('数据-取费表'!E3="否",结果表!F114,'结果表 (1修多)'!F115)</f>
        <v>——</v>
      </c>
      <c r="C21" s="2676" t="str">
        <f>C7</f>
        <v>总价（万元）</v>
      </c>
      <c r="D21" s="2675" t="str">
        <f>IF('数据-取费表'!E3="否",结果表!I114,'结果表 (1修多)'!I115)</f>
        <v>——</v>
      </c>
      <c r="E21" s="2671"/>
    </row>
    <row r="22" spans="1:5" ht="14.25">
      <c r="A22" s="2671"/>
      <c r="B22" s="2761"/>
      <c r="C22" s="2677" t="s">
        <v>90</v>
      </c>
      <c r="D22" s="2678" t="e">
        <f>IF('数据-取费表'!B3="万元",NUMBERSTRING(INT(D21*10000),2)&amp;"元整",NUMBERSTRING(INT(D21),2)&amp;"元整")</f>
        <v>#VALUE!</v>
      </c>
      <c r="E22" s="2671"/>
    </row>
    <row r="23" spans="1:5" ht="14.25">
      <c r="A23" s="2671"/>
      <c r="B23" s="2763"/>
      <c r="C23" s="2685" t="s">
        <v>91</v>
      </c>
      <c r="D23" s="2686" t="str">
        <f ca="1">IF('数据-取费表'!E3="否",结果表!I115,'结果表 (1修多)'!I116)</f>
        <v>——</v>
      </c>
      <c r="E23" s="2671"/>
    </row>
    <row r="24" spans="1:5">
      <c r="A24" s="2671"/>
      <c r="B24" s="2671"/>
      <c r="C24" s="2671"/>
      <c r="D24" s="2671"/>
      <c r="E24" s="2671"/>
    </row>
    <row r="25" spans="1:5" ht="18.75" customHeight="1">
      <c r="A25" s="2671"/>
      <c r="B25" s="2760" t="s">
        <v>95</v>
      </c>
      <c r="C25" s="2760"/>
      <c r="D25" s="2760"/>
      <c r="E25" s="2671"/>
    </row>
    <row r="26" spans="1:5" ht="18.75" customHeight="1">
      <c r="A26" s="2671"/>
      <c r="B26" s="2766" t="s">
        <v>96</v>
      </c>
      <c r="C26" s="2767"/>
      <c r="D26" s="2764" t="s">
        <v>97</v>
      </c>
      <c r="E26" s="2671"/>
    </row>
    <row r="27" spans="1:5" ht="18.75" customHeight="1">
      <c r="A27" s="2671"/>
      <c r="B27" s="2768"/>
      <c r="C27" s="2769"/>
      <c r="D27" s="2765"/>
      <c r="E27" s="2671"/>
    </row>
    <row r="28" spans="1:5" ht="14.25">
      <c r="A28" s="2671"/>
      <c r="B28" s="2770" t="s">
        <v>89</v>
      </c>
      <c r="C28" s="2688" t="s">
        <v>98</v>
      </c>
      <c r="D28" s="2689">
        <f ca="1">IF('数据-取费表'!E3="否",结果表!I102,'结果表 (1修多)'!I103)</f>
        <v>4242</v>
      </c>
      <c r="E28" s="2671"/>
    </row>
    <row r="29" spans="1:5" ht="14.25">
      <c r="A29" s="2671"/>
      <c r="B29" s="2771"/>
      <c r="C29" s="2690" t="s">
        <v>90</v>
      </c>
      <c r="D29" s="2691" t="str">
        <f ca="1">IF('数据-取费表'!B3="万元",NUMBERSTRING(INT(D28*10000),2)&amp;"元整",NUMBERSTRING(INT(D28),2)&amp;"元整")</f>
        <v>肆仟贰佰肆拾贰万元整</v>
      </c>
      <c r="E29" s="2671"/>
    </row>
    <row r="30" spans="1:5" ht="14.25">
      <c r="A30" s="2671"/>
      <c r="B30" s="2772"/>
      <c r="C30" s="2679" t="s">
        <v>99</v>
      </c>
      <c r="D30" s="2692">
        <f ca="1">IF('数据-取费表'!E3="否",结果表!I103,'结果表 (1修多)'!I104)</f>
        <v>41406</v>
      </c>
      <c r="E30" s="2671"/>
    </row>
    <row r="31" spans="1:5" ht="14.25">
      <c r="A31" s="2671"/>
      <c r="B31" s="2753" t="str">
        <f>B10</f>
        <v>2.估价师所知悉的法定优先受偿款</v>
      </c>
      <c r="C31" s="2693" t="s">
        <v>100</v>
      </c>
      <c r="D31" s="2687">
        <f>IF('数据-取费表'!E3="否",结果表!I105,'结果表 (1修多)'!I106)</f>
        <v>0</v>
      </c>
      <c r="E31" s="2671"/>
    </row>
    <row r="32" spans="1:5" ht="14.25">
      <c r="A32" s="2671"/>
      <c r="B32" s="2773"/>
      <c r="C32" s="2690" t="s">
        <v>90</v>
      </c>
      <c r="D32" s="2694" t="str">
        <f>IF('数据-取费表'!B3="万元",NUMBERSTRING(INT(D31*10000),2)&amp;"元整",NUMBERSTRING(INT(D31),2)&amp;"元整")</f>
        <v>零元整</v>
      </c>
      <c r="E32" s="2671"/>
    </row>
    <row r="33" spans="1:5" ht="14.25">
      <c r="A33" s="2671"/>
      <c r="B33" s="2677" t="s">
        <v>92</v>
      </c>
      <c r="C33" s="2677" t="str">
        <f>C31</f>
        <v>总额</v>
      </c>
      <c r="D33" s="2692">
        <f>IF('数据-取费表'!E3="否",结果表!I106,'结果表 (1修多)'!I107)</f>
        <v>0</v>
      </c>
      <c r="E33" s="2671"/>
    </row>
    <row r="34" spans="1:5" ht="14.25">
      <c r="A34" s="2671"/>
      <c r="B34" s="2677" t="s">
        <v>93</v>
      </c>
      <c r="C34" s="2677" t="str">
        <f>C31</f>
        <v>总额</v>
      </c>
      <c r="D34" s="2692">
        <f>IF('数据-取费表'!E3="否",结果表!I107,'结果表 (1修多)'!I108)</f>
        <v>0</v>
      </c>
      <c r="E34" s="2671"/>
    </row>
    <row r="35" spans="1:5" ht="14.25">
      <c r="A35" s="2671"/>
      <c r="B35" s="2677" t="s">
        <v>94</v>
      </c>
      <c r="C35" s="2677" t="str">
        <f>C31</f>
        <v>总额</v>
      </c>
      <c r="D35" s="2692">
        <f>IF('数据-取费表'!E3="否",结果表!I108,'结果表 (1修多)'!I109)</f>
        <v>0</v>
      </c>
      <c r="E35" s="2671"/>
    </row>
    <row r="36" spans="1:5" ht="14.25">
      <c r="A36" s="2671"/>
      <c r="B36" s="2752" t="str">
        <f>B15</f>
        <v>3.房地产抵押价值</v>
      </c>
      <c r="C36" s="2693" t="str">
        <f>C28</f>
        <v>总价</v>
      </c>
      <c r="D36" s="2687">
        <f ca="1">IF('数据-取费表'!E3="否",结果表!I110,'结果表 (1修多)'!I111)</f>
        <v>4242</v>
      </c>
      <c r="E36" s="2671"/>
    </row>
    <row r="37" spans="1:5" ht="14.25">
      <c r="A37" s="2671"/>
      <c r="B37" s="2752"/>
      <c r="C37" s="2690" t="s">
        <v>90</v>
      </c>
      <c r="D37" s="2694" t="str">
        <f ca="1">IF('数据-取费表'!B3="万元",NUMBERSTRING(INT(D36*10000),2)&amp;"元整",NUMBERSTRING(INT(D36),2)&amp;"元整")</f>
        <v>肆仟贰佰肆拾贰万元整</v>
      </c>
      <c r="E37" s="2671"/>
    </row>
    <row r="38" spans="1:5" ht="14.25">
      <c r="A38" s="2671"/>
      <c r="B38" s="2752"/>
      <c r="C38" s="2679" t="s">
        <v>99</v>
      </c>
      <c r="D38" s="2692">
        <f ca="1">IF('数据-取费表'!E3="否",结果表!D113,'结果表 (1修多)'!D116)</f>
        <v>41406</v>
      </c>
      <c r="E38" s="2671"/>
    </row>
    <row r="39" spans="1:5" ht="14.25">
      <c r="A39" s="2671"/>
      <c r="B39" s="2751" t="str">
        <f>B18</f>
        <v>——</v>
      </c>
      <c r="C39" s="2693" t="str">
        <f>C28</f>
        <v>总价</v>
      </c>
      <c r="D39" s="2687" t="str">
        <f>IF('数据-取费表'!E3="否",结果表!I112,'结果表 (1修多)'!I113)</f>
        <v>——</v>
      </c>
      <c r="E39" s="2671"/>
    </row>
    <row r="40" spans="1:5" ht="14.25">
      <c r="A40" s="2671"/>
      <c r="B40" s="2751"/>
      <c r="C40" s="2690" t="s">
        <v>90</v>
      </c>
      <c r="D40" s="2694" t="e">
        <f>IF('数据-取费表'!B3="万元",NUMBERSTRING(INT(D39*10000),2)&amp;"元整",NUMBERSTRING(INT(D39),2)&amp;"元整")</f>
        <v>#VALUE!</v>
      </c>
      <c r="E40" s="2671"/>
    </row>
    <row r="41" spans="1:5" ht="14.25">
      <c r="A41" s="2671"/>
      <c r="B41" s="2751"/>
      <c r="C41" s="2679" t="s">
        <v>99</v>
      </c>
      <c r="D41" s="2692" t="str">
        <f>IF('数据-取费表'!E3="否",结果表!D115,'结果表 (1修多)'!D118)</f>
        <v>——</v>
      </c>
      <c r="E41" s="2671"/>
    </row>
    <row r="42" spans="1:5" ht="14.25">
      <c r="A42" s="2671"/>
      <c r="B42" s="2752" t="str">
        <f>B21</f>
        <v>——</v>
      </c>
      <c r="C42" s="2693" t="str">
        <f>C28</f>
        <v>总价</v>
      </c>
      <c r="D42" s="2687" t="str">
        <f>IF('数据-取费表'!E3="否",结果表!I114,'结果表 (1修多)'!I115)</f>
        <v>——</v>
      </c>
      <c r="E42" s="2671"/>
    </row>
    <row r="43" spans="1:5" ht="14.25">
      <c r="A43" s="2671"/>
      <c r="B43" s="2753"/>
      <c r="C43" s="2690" t="s">
        <v>90</v>
      </c>
      <c r="D43" s="2695" t="e">
        <f>IF('数据-取费表'!B3="万元",NUMBERSTRING(INT(D42*10000),2)&amp;"元整",NUMBERSTRING(INT(D42),2)&amp;"元整")</f>
        <v>#VALUE!</v>
      </c>
      <c r="E43" s="2671"/>
    </row>
    <row r="44" spans="1:5" ht="14.25">
      <c r="A44" s="2671"/>
      <c r="B44" s="2754"/>
      <c r="C44" s="2685" t="s">
        <v>99</v>
      </c>
      <c r="D44" s="2696" t="str">
        <f ca="1">IF('数据-取费表'!E3="否",结果表!D117,'结果表 (1修多)'!D120)</f>
        <v>——</v>
      </c>
      <c r="E44" s="2671"/>
    </row>
    <row r="45" spans="1:5">
      <c r="A45" s="2671"/>
      <c r="B45" s="2671" t="str">
        <f>IF('数据-取费表'!B3="元","单位：元、元/平方米（单位：人民币）","单位：万元、元/平方米（单位：人民币）")</f>
        <v>单位：万元、元/平方米（单位：人民币）</v>
      </c>
      <c r="C45" s="2671"/>
      <c r="D45" s="2671"/>
      <c r="E45" s="2671"/>
    </row>
    <row r="46" spans="1:5" ht="18.75">
      <c r="B46" s="2697" t="s">
        <v>101</v>
      </c>
    </row>
  </sheetData>
  <sheetProtection sheet="1" objects="1" scenarios="1" formatCells="0" formatRows="0" insertRows="0" deleteRows="0"/>
  <mergeCells count="17">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 ref="B31:B32"/>
  </mergeCells>
  <phoneticPr fontId="20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53" customWidth="1"/>
    <col min="2" max="9" width="12.25" style="2653" customWidth="1"/>
    <col min="10" max="16384" width="9" style="2653"/>
  </cols>
  <sheetData>
    <row r="1" spans="1:9" ht="15.75">
      <c r="A1" s="2774" t="str">
        <f>IF(项目基本情况!D5="房地产市场价值","估价结果一览表","结果表-2")</f>
        <v>结果表-2</v>
      </c>
      <c r="B1" s="2774"/>
      <c r="C1" s="2774"/>
      <c r="D1" s="2774"/>
      <c r="E1" s="2774"/>
      <c r="F1" s="2774"/>
      <c r="G1" s="2774"/>
      <c r="H1" s="2774"/>
      <c r="I1" s="2774"/>
    </row>
    <row r="2" spans="1:9" ht="30" customHeight="1">
      <c r="A2" s="2775" t="s">
        <v>102</v>
      </c>
      <c r="B2" s="2775" t="s">
        <v>103</v>
      </c>
      <c r="C2" s="2775" t="s">
        <v>104</v>
      </c>
      <c r="D2" s="2775" t="str">
        <f>IF('数据-取费表'!E3="否",结果表!D119,'结果表 (1修多)'!D122)</f>
        <v>出让国有建设用地使用权价值</v>
      </c>
      <c r="E2" s="2775"/>
      <c r="F2" s="2775" t="s">
        <v>105</v>
      </c>
      <c r="G2" s="2775"/>
      <c r="H2" s="2775" t="s">
        <v>106</v>
      </c>
      <c r="I2" s="2775"/>
    </row>
    <row r="3" spans="1:9" ht="15">
      <c r="A3" s="2776"/>
      <c r="B3" s="2776"/>
      <c r="C3" s="2776"/>
      <c r="D3" s="2668" t="s">
        <v>107</v>
      </c>
      <c r="E3" s="2668" t="s">
        <v>108</v>
      </c>
      <c r="F3" s="2668" t="s">
        <v>107</v>
      </c>
      <c r="G3" s="2668" t="s">
        <v>108</v>
      </c>
      <c r="H3" s="2668" t="s">
        <v>107</v>
      </c>
      <c r="I3" s="2668" t="s">
        <v>108</v>
      </c>
    </row>
    <row r="4" spans="1:9" ht="46.5" customHeight="1">
      <c r="A4" s="2668" t="str">
        <f>项目基本情况!I1</f>
        <v>北京市房地产</v>
      </c>
      <c r="B4" s="2668">
        <f>结果表!B121</f>
        <v>1024.48</v>
      </c>
      <c r="C4" s="2668">
        <f>结果表!C121</f>
        <v>105.21</v>
      </c>
      <c r="D4" s="2668">
        <f ca="1">IF('数据-取费表'!E3="否",结果表!D121,'结果表 (1修多)'!D124)</f>
        <v>3545</v>
      </c>
      <c r="E4" s="2668">
        <f ca="1">IF('数据-取费表'!E3="否",结果表!E121,'结果表 (1修多)'!E124)</f>
        <v>34603</v>
      </c>
      <c r="F4" s="2668">
        <f ca="1">IF('数据-取费表'!E3="否",结果表!F121,'结果表 (1修多)'!F124)</f>
        <v>697</v>
      </c>
      <c r="G4" s="2668">
        <f ca="1">IF('数据-取费表'!E3="否",结果表!G121,'结果表 (1修多)'!G124)</f>
        <v>6803</v>
      </c>
      <c r="H4" s="2668">
        <f ca="1">IF('数据-取费表'!E3="否",结果表!H121,'结果表 (1修多)'!H124)</f>
        <v>4242</v>
      </c>
      <c r="I4" s="2668">
        <f ca="1">IF('数据-取费表'!E3="否",结果表!I121,'结果表 (1修多)'!I124)</f>
        <v>41406</v>
      </c>
    </row>
    <row r="5" spans="1:9" ht="15">
      <c r="A5" s="2776" t="s">
        <v>109</v>
      </c>
      <c r="B5" s="2776"/>
      <c r="C5" s="2776"/>
      <c r="D5" s="2777" t="str">
        <f ca="1">IF('数据-取费表'!E3="否",结果表!D122,'结果表 (1修多)'!D125)</f>
        <v>叁仟伍佰肆拾伍万元整</v>
      </c>
      <c r="E5" s="2777"/>
      <c r="F5" s="2777" t="str">
        <f ca="1">IF('数据-取费表'!E3="否",结果表!F122,'结果表 (1修多)'!F125)</f>
        <v>陆佰玖拾柒万元整</v>
      </c>
      <c r="G5" s="2777"/>
      <c r="H5" s="2777" t="str">
        <f ca="1">IF('数据-取费表'!E3="否",结果表!H122,'结果表 (1修多)'!H125)</f>
        <v>肆仟贰佰肆拾贰万元整</v>
      </c>
      <c r="I5" s="2777"/>
    </row>
    <row r="6" spans="1:9" ht="15.75">
      <c r="A6" s="2778" t="str">
        <f>IF('数据-取费表'!E3="否",结果表!A123,'结果表 (1修多)'!A126)</f>
        <v>估价师所知悉的法定优先受偿款</v>
      </c>
      <c r="B6" s="2778"/>
      <c r="C6" s="2778"/>
      <c r="D6" s="2778">
        <f>IF('数据-取费表'!E3="否",结果表!D123,'结果表 (1修多)'!D126)</f>
        <v>0</v>
      </c>
      <c r="E6" s="2778"/>
      <c r="F6" s="2778"/>
      <c r="G6" s="2778"/>
      <c r="H6" s="2778"/>
      <c r="I6" s="2778"/>
    </row>
    <row r="7" spans="1:9" ht="15">
      <c r="A7" s="2776" t="s">
        <v>109</v>
      </c>
      <c r="B7" s="2776"/>
      <c r="C7" s="2776"/>
      <c r="D7" s="2779">
        <f>IF('数据-取费表'!E3="否",结果表!D124,'结果表 (1修多)'!D127)</f>
        <v>0</v>
      </c>
      <c r="E7" s="2780"/>
      <c r="F7" s="2780"/>
      <c r="G7" s="2780"/>
      <c r="H7" s="2780"/>
      <c r="I7" s="2781"/>
    </row>
    <row r="8" spans="1:9" ht="15.75">
      <c r="A8" s="2778" t="str">
        <f>IF('数据-取费表'!E3="否",结果表!A125,'结果表 (1修多)'!A128)</f>
        <v>房地产抵押价值</v>
      </c>
      <c r="B8" s="2778"/>
      <c r="C8" s="2778"/>
      <c r="D8" s="2778">
        <f ca="1">IF('数据-取费表'!E3="否",结果表!D125,'结果表 (1修多)'!D128)</f>
        <v>4242</v>
      </c>
      <c r="E8" s="2778"/>
      <c r="F8" s="2778"/>
      <c r="G8" s="2778"/>
      <c r="H8" s="2778"/>
      <c r="I8" s="2778"/>
    </row>
    <row r="9" spans="1:9" ht="15">
      <c r="A9" s="2776" t="s">
        <v>109</v>
      </c>
      <c r="B9" s="2776"/>
      <c r="C9" s="2776"/>
      <c r="D9" s="2777">
        <f ca="1">IF('数据-取费表'!E3="否",结果表!D126,'结果表 (1修多)'!D129)</f>
        <v>41406</v>
      </c>
      <c r="E9" s="2777"/>
      <c r="F9" s="2777"/>
      <c r="G9" s="2777"/>
      <c r="H9" s="2777"/>
      <c r="I9" s="2777"/>
    </row>
    <row r="10" spans="1:9" ht="15.75">
      <c r="A10" s="2778" t="str">
        <f>IF('数据-取费表'!E3="否",结果表!A127,'结果表 (1修多)'!A130)</f>
        <v/>
      </c>
      <c r="B10" s="2778"/>
      <c r="C10" s="2778"/>
      <c r="D10" s="2778">
        <f ca="1">IF('数据-取费表'!E3="否",结果表!D127,'结果表 (1修多)'!D129)</f>
        <v>41406</v>
      </c>
      <c r="E10" s="2778"/>
      <c r="F10" s="2778"/>
      <c r="G10" s="2778"/>
      <c r="H10" s="2778"/>
      <c r="I10" s="2778"/>
    </row>
    <row r="11" spans="1:9" ht="15">
      <c r="A11" s="2776" t="s">
        <v>109</v>
      </c>
      <c r="B11" s="2776"/>
      <c r="C11" s="2776"/>
      <c r="D11" s="2777" t="str">
        <f>IF('数据-取费表'!E3="否",结果表!D128,'结果表 (1修多)'!D131)</f>
        <v>——</v>
      </c>
      <c r="E11" s="2777"/>
      <c r="F11" s="2777"/>
      <c r="G11" s="2777"/>
      <c r="H11" s="2777"/>
      <c r="I11" s="2777"/>
    </row>
    <row r="12" spans="1:9" ht="15.75">
      <c r="A12" s="2778" t="str">
        <f>IF('数据-取费表'!E3="否",结果表!A129,'结果表 (1修多)'!A132)</f>
        <v/>
      </c>
      <c r="B12" s="2778"/>
      <c r="C12" s="2778"/>
      <c r="D12" s="2778" t="str">
        <f>IF('数据-取费表'!E3="否",结果表!D129,'结果表 (1修多)'!D132)</f>
        <v>——</v>
      </c>
      <c r="E12" s="2778"/>
      <c r="F12" s="2778"/>
      <c r="G12" s="2778"/>
      <c r="H12" s="2778"/>
      <c r="I12" s="2778"/>
    </row>
    <row r="13" spans="1:9" ht="15">
      <c r="A13" s="2782" t="s">
        <v>109</v>
      </c>
      <c r="B13" s="2782"/>
      <c r="C13" s="2782"/>
      <c r="D13" s="2783">
        <f>IF('数据-取费表'!E3="否",结果表!D130,'结果表 (1修多)'!D133)</f>
        <v>0</v>
      </c>
      <c r="E13" s="2783"/>
      <c r="F13" s="2783"/>
      <c r="G13" s="2783"/>
      <c r="H13" s="2783"/>
      <c r="I13" s="2783"/>
    </row>
    <row r="14" spans="1:9">
      <c r="A14" s="2784" t="str">
        <f>IF('数据-取费表'!E3="否",结果表!A131,'结果表 (1修多)'!A134)</f>
        <v>单位：平方米、万元、元/平方米（币种：人民币）</v>
      </c>
      <c r="B14" s="2784"/>
      <c r="C14" s="2784"/>
      <c r="D14" s="2784"/>
      <c r="E14" s="2784"/>
      <c r="F14" s="2784"/>
      <c r="G14" s="2784"/>
      <c r="H14" s="2784"/>
      <c r="I14" s="2784"/>
    </row>
    <row r="15" spans="1:9">
      <c r="A15" s="2594"/>
      <c r="B15" s="2594"/>
      <c r="C15" s="2594"/>
      <c r="D15" s="2594"/>
      <c r="E15" s="2594"/>
      <c r="F15" s="2594"/>
      <c r="G15" s="2594"/>
      <c r="H15" s="2594"/>
      <c r="I15" s="2594"/>
    </row>
    <row r="16" spans="1:9" ht="18.75">
      <c r="A16" s="2638" t="s">
        <v>110</v>
      </c>
      <c r="B16" s="2594"/>
      <c r="C16" s="2594"/>
      <c r="D16" s="2594"/>
      <c r="E16" s="2594"/>
      <c r="F16" s="2594"/>
      <c r="G16" s="2594"/>
      <c r="H16" s="2594"/>
      <c r="I16" s="2594"/>
    </row>
    <row r="17" spans="1:9">
      <c r="A17" s="2594"/>
      <c r="B17" s="2594"/>
      <c r="C17" s="2594"/>
      <c r="D17" s="2594"/>
      <c r="E17" s="2594"/>
      <c r="F17" s="2594"/>
      <c r="G17" s="2594"/>
      <c r="H17" s="2594"/>
      <c r="I17" s="2594"/>
    </row>
    <row r="18" spans="1:9">
      <c r="A18" s="2594"/>
      <c r="B18" s="2594"/>
      <c r="C18" s="2594"/>
      <c r="D18" s="2594"/>
      <c r="E18" s="2594"/>
      <c r="F18" s="2594"/>
      <c r="G18" s="2594"/>
      <c r="H18" s="2594"/>
      <c r="I18" s="2594"/>
    </row>
    <row r="19" spans="1:9">
      <c r="A19" s="2594"/>
      <c r="B19" s="2594"/>
      <c r="C19" s="2594"/>
      <c r="D19" s="2594"/>
      <c r="E19" s="2594"/>
      <c r="F19" s="2594"/>
      <c r="G19" s="2594"/>
      <c r="H19" s="2594"/>
      <c r="I19" s="2594"/>
    </row>
    <row r="20" spans="1:9">
      <c r="A20" s="2594"/>
      <c r="B20" s="2594"/>
      <c r="C20" s="2594"/>
      <c r="D20" s="2594"/>
      <c r="E20" s="2594"/>
      <c r="F20" s="2594"/>
      <c r="G20" s="2594"/>
      <c r="H20" s="2594"/>
      <c r="I20" s="2594"/>
    </row>
    <row r="21" spans="1:9">
      <c r="A21" s="2594"/>
      <c r="B21" s="2594"/>
      <c r="C21" s="2594"/>
      <c r="D21" s="2594"/>
      <c r="E21" s="2594"/>
      <c r="F21" s="2594"/>
      <c r="G21" s="2594"/>
      <c r="H21" s="2594"/>
      <c r="I21" s="2594"/>
    </row>
    <row r="22" spans="1:9">
      <c r="A22" s="2594"/>
      <c r="B22" s="2594"/>
      <c r="C22" s="2594"/>
      <c r="D22" s="2594"/>
      <c r="E22" s="2594"/>
      <c r="F22" s="2594"/>
      <c r="G22" s="2594"/>
      <c r="H22" s="2594"/>
      <c r="I22" s="2594"/>
    </row>
    <row r="23" spans="1:9">
      <c r="A23" s="2594"/>
      <c r="B23" s="2594"/>
      <c r="C23" s="2594"/>
      <c r="D23" s="2594"/>
      <c r="E23" s="2594"/>
      <c r="F23" s="2594"/>
      <c r="G23" s="2594"/>
      <c r="H23" s="2594"/>
      <c r="I23" s="2594"/>
    </row>
    <row r="24" spans="1:9">
      <c r="A24" s="2594"/>
      <c r="B24" s="2594"/>
      <c r="C24" s="2594"/>
      <c r="D24" s="2594"/>
      <c r="E24" s="2594"/>
      <c r="F24" s="2594"/>
      <c r="G24" s="2594"/>
      <c r="H24" s="2594"/>
      <c r="I24" s="2594"/>
    </row>
    <row r="25" spans="1:9">
      <c r="A25" s="2594"/>
      <c r="B25" s="2594"/>
      <c r="C25" s="2594"/>
      <c r="D25" s="2594"/>
      <c r="E25" s="2594"/>
      <c r="F25" s="2594"/>
      <c r="G25" s="2594"/>
      <c r="H25" s="2594"/>
      <c r="I25" s="2594"/>
    </row>
    <row r="26" spans="1:9">
      <c r="A26" s="2594"/>
      <c r="B26" s="2594"/>
      <c r="C26" s="2594"/>
      <c r="D26" s="2594"/>
      <c r="E26" s="2594"/>
      <c r="F26" s="2594"/>
      <c r="G26" s="2594"/>
      <c r="H26" s="2594"/>
      <c r="I26" s="2594"/>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05"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53" customWidth="1"/>
    <col min="2" max="2" width="24" style="2653" customWidth="1"/>
    <col min="3" max="3" width="23.25" style="2653" customWidth="1"/>
    <col min="4" max="4" width="21" style="2653" customWidth="1"/>
    <col min="5" max="16384" width="9" style="2653"/>
  </cols>
  <sheetData>
    <row r="1" spans="1:4" ht="18.75">
      <c r="A1" s="2785" t="s">
        <v>111</v>
      </c>
      <c r="B1" s="2785"/>
      <c r="C1" s="2785"/>
      <c r="D1" s="2785"/>
    </row>
    <row r="2" spans="1:4" ht="18">
      <c r="A2" s="2786" t="s">
        <v>112</v>
      </c>
      <c r="B2" s="2786"/>
      <c r="C2" s="2786"/>
      <c r="D2" s="2786"/>
    </row>
    <row r="3" spans="1:4" ht="18.75">
      <c r="A3" s="2655" t="s">
        <v>113</v>
      </c>
      <c r="B3" s="2655" t="s">
        <v>114</v>
      </c>
      <c r="C3" s="2655" t="s">
        <v>115</v>
      </c>
      <c r="D3" s="2655" t="s">
        <v>116</v>
      </c>
    </row>
    <row r="4" spans="1:4" ht="56.25" customHeight="1">
      <c r="A4" s="2656" t="str">
        <f>项目基本情况!B3</f>
        <v>吴薇</v>
      </c>
      <c r="B4" s="2657">
        <f ca="1">项目基本情况!C3</f>
        <v>1419970001</v>
      </c>
      <c r="C4" s="2658"/>
      <c r="D4" s="2659" t="s">
        <v>117</v>
      </c>
    </row>
    <row r="5" spans="1:4" ht="56.25" customHeight="1">
      <c r="A5" s="2656" t="str">
        <f>项目基本情况!D3</f>
        <v>崔锴</v>
      </c>
      <c r="B5" s="2657">
        <f ca="1">项目基本情况!E3</f>
        <v>1120100036</v>
      </c>
      <c r="C5" s="2660"/>
      <c r="D5" s="2659" t="s">
        <v>117</v>
      </c>
    </row>
    <row r="6" spans="1:4" ht="12" customHeight="1">
      <c r="A6" s="2656"/>
      <c r="B6" s="2657"/>
      <c r="C6" s="2661"/>
      <c r="D6" s="2659"/>
    </row>
    <row r="7" spans="1:4" ht="18">
      <c r="A7" s="2786" t="s">
        <v>118</v>
      </c>
      <c r="B7" s="2786"/>
      <c r="C7" s="2786"/>
      <c r="D7" s="2786"/>
    </row>
    <row r="8" spans="1:4" ht="18.75">
      <c r="A8" s="2655" t="s">
        <v>113</v>
      </c>
      <c r="B8" s="2657" t="s">
        <v>119</v>
      </c>
      <c r="C8" s="2655" t="s">
        <v>115</v>
      </c>
      <c r="D8" s="2655" t="s">
        <v>116</v>
      </c>
    </row>
    <row r="9" spans="1:4" ht="56.25" customHeight="1">
      <c r="A9" s="2662" t="s">
        <v>120</v>
      </c>
      <c r="B9" s="2662" t="s">
        <v>121</v>
      </c>
      <c r="C9" s="2658"/>
      <c r="D9" s="2659" t="s">
        <v>117</v>
      </c>
    </row>
    <row r="11" spans="1:4" ht="18.75">
      <c r="A11" s="2654" t="s">
        <v>122</v>
      </c>
    </row>
    <row r="12" spans="1:4" ht="30" customHeight="1">
      <c r="A12" s="2787" t="s">
        <v>123</v>
      </c>
      <c r="B12" s="2788"/>
      <c r="C12" s="2788"/>
      <c r="D12" s="2788"/>
    </row>
    <row r="13" spans="1:4" ht="15.75">
      <c r="A13" s="278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8"/>
      <c r="C13" s="2788"/>
      <c r="D13" s="2788"/>
    </row>
    <row r="14" spans="1:4" ht="30" customHeight="1">
      <c r="A14" s="278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8"/>
      <c r="C14" s="2788"/>
      <c r="D14" s="2788"/>
    </row>
    <row r="15" spans="1:4" ht="15.75" customHeight="1">
      <c r="A15" s="2787" t="str">
        <f>IF(项目基本情况!D4="抵押","4.本次评估估价师所知悉的法定优先受偿款情况说明如下：","——")</f>
        <v>4.本次评估估价师所知悉的法定优先受偿款情况说明如下：</v>
      </c>
      <c r="B15" s="2788"/>
      <c r="C15" s="2788"/>
      <c r="D15" s="2788"/>
    </row>
    <row r="16" spans="1:4" ht="75" customHeight="1">
      <c r="A16" s="2787"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2787"/>
      <c r="C16" s="2787"/>
      <c r="D16" s="2787"/>
    </row>
    <row r="17" spans="1:4" ht="63.75" customHeight="1">
      <c r="A17" s="2789" t="s">
        <v>124</v>
      </c>
      <c r="B17" s="2789"/>
      <c r="C17" s="2789"/>
      <c r="D17" s="2789"/>
    </row>
    <row r="18" spans="1:4" ht="15.75" customHeight="1">
      <c r="A18" s="2787" t="str">
        <f>IF(项目基本情况!D4="抵押",结果表!K106,"——")</f>
        <v>本次评估不存在估价师所知悉的法定优先受偿款。</v>
      </c>
      <c r="B18" s="2787"/>
      <c r="C18" s="2787"/>
      <c r="D18" s="2787"/>
    </row>
    <row r="19" spans="1:4" ht="46.5" customHeight="1">
      <c r="A19" s="278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7"/>
      <c r="C19" s="2787"/>
      <c r="D19" s="2787"/>
    </row>
    <row r="20" spans="1:4" ht="15">
      <c r="A20" s="2789" t="s">
        <v>125</v>
      </c>
      <c r="B20" s="2789"/>
      <c r="C20" s="2789"/>
      <c r="D20" s="2789"/>
    </row>
    <row r="21" spans="1:4">
      <c r="A21" s="2663"/>
      <c r="B21" s="318"/>
      <c r="C21" s="318"/>
      <c r="D21" s="318"/>
    </row>
    <row r="22" spans="1:4">
      <c r="A22" s="2663"/>
      <c r="B22" s="318"/>
      <c r="C22" s="318"/>
      <c r="D22" s="318"/>
    </row>
    <row r="23" spans="1:4" ht="18.75">
      <c r="A23" s="2664" t="s">
        <v>126</v>
      </c>
    </row>
    <row r="24" spans="1:4" ht="18">
      <c r="A24" s="2664"/>
    </row>
    <row r="25" spans="1:4" ht="18.75">
      <c r="A25" s="2664" t="s">
        <v>127</v>
      </c>
    </row>
    <row r="28" spans="1:4" ht="21" customHeight="1">
      <c r="D28" s="2665" t="s">
        <v>128</v>
      </c>
    </row>
    <row r="29" spans="1:4" ht="21" customHeight="1">
      <c r="C29" s="2666"/>
      <c r="D29" s="2667">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05"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B21" sqref="B9 B12 B15:C15 B18:C18 B21:C21"/>
    </sheetView>
  </sheetViews>
  <sheetFormatPr defaultColWidth="14.5" defaultRowHeight="15.75"/>
  <cols>
    <col min="1" max="1" width="14.5" style="2639" customWidth="1"/>
    <col min="2" max="16384" width="14.5" style="2594"/>
  </cols>
  <sheetData>
    <row r="1" spans="1:7" s="2638" customFormat="1" ht="18.75">
      <c r="A1" s="2640" t="s">
        <v>129</v>
      </c>
    </row>
    <row r="3" spans="1:7" ht="14.25">
      <c r="A3" s="2641" t="s">
        <v>130</v>
      </c>
      <c r="B3" s="2594" t="s">
        <v>131</v>
      </c>
      <c r="G3" s="2642"/>
    </row>
    <row r="4" spans="1:7">
      <c r="G4" s="2642"/>
    </row>
    <row r="5" spans="1:7" ht="14.25">
      <c r="A5" s="2643" t="s">
        <v>132</v>
      </c>
      <c r="B5" s="2594" t="s">
        <v>133</v>
      </c>
      <c r="G5" s="2642"/>
    </row>
    <row r="6" spans="1:7">
      <c r="G6" s="2642"/>
    </row>
    <row r="7" spans="1:7" ht="14.25">
      <c r="A7" s="2185" t="s">
        <v>134</v>
      </c>
      <c r="B7" s="2594" t="s">
        <v>135</v>
      </c>
      <c r="G7" s="2642"/>
    </row>
    <row r="8" spans="1:7">
      <c r="G8" s="2642"/>
    </row>
    <row r="9" spans="1:7">
      <c r="A9" s="2644" t="s">
        <v>136</v>
      </c>
      <c r="B9" s="2594" t="s">
        <v>137</v>
      </c>
    </row>
    <row r="11" spans="1:7">
      <c r="A11" s="2645" t="s">
        <v>138</v>
      </c>
      <c r="B11" s="2646" t="s">
        <v>139</v>
      </c>
    </row>
    <row r="13" spans="1:7">
      <c r="A13" s="2647" t="s">
        <v>140</v>
      </c>
    </row>
    <row r="15" spans="1:7" ht="14.25">
      <c r="A15" s="2792" t="s">
        <v>141</v>
      </c>
      <c r="B15" s="2797" t="s">
        <v>142</v>
      </c>
      <c r="C15" s="2791"/>
    </row>
    <row r="16" spans="1:7" ht="14.25">
      <c r="A16" s="2793"/>
      <c r="B16" s="2797" t="s">
        <v>143</v>
      </c>
      <c r="C16" s="2791"/>
    </row>
    <row r="17" spans="1:3" ht="14.25">
      <c r="A17" s="2793"/>
      <c r="B17" s="2797" t="s">
        <v>144</v>
      </c>
      <c r="C17" s="2791"/>
    </row>
    <row r="18" spans="1:3" ht="14.25">
      <c r="A18" s="2794"/>
      <c r="B18" s="2790" t="s">
        <v>145</v>
      </c>
      <c r="C18" s="2791"/>
    </row>
    <row r="19" spans="1:3" ht="14.25">
      <c r="A19" s="2648" t="s">
        <v>146</v>
      </c>
      <c r="B19" s="2649"/>
      <c r="C19" s="2650"/>
    </row>
    <row r="20" spans="1:3" ht="14.25">
      <c r="A20" s="2795" t="s">
        <v>147</v>
      </c>
      <c r="B20" s="2790" t="s">
        <v>148</v>
      </c>
      <c r="C20" s="2791"/>
    </row>
    <row r="21" spans="1:3" ht="14.25">
      <c r="A21" s="2795"/>
      <c r="B21" s="2790" t="s">
        <v>149</v>
      </c>
      <c r="C21" s="2791"/>
    </row>
    <row r="22" spans="1:3" ht="14.25">
      <c r="A22" s="2795"/>
      <c r="B22" s="2790" t="s">
        <v>150</v>
      </c>
      <c r="C22" s="2791"/>
    </row>
    <row r="23" spans="1:3" ht="14.25">
      <c r="A23" s="2795"/>
      <c r="B23" s="2796" t="s">
        <v>151</v>
      </c>
      <c r="C23" s="2651" t="s">
        <v>152</v>
      </c>
    </row>
    <row r="24" spans="1:3" ht="14.25">
      <c r="A24" s="2795"/>
      <c r="B24" s="2796"/>
      <c r="C24" s="2651" t="s">
        <v>153</v>
      </c>
    </row>
    <row r="25" spans="1:3" ht="14.25">
      <c r="A25" s="2795"/>
      <c r="B25" s="2796"/>
      <c r="C25" s="2651" t="s">
        <v>154</v>
      </c>
    </row>
    <row r="26" spans="1:3" ht="14.25">
      <c r="A26" s="2795"/>
      <c r="B26" s="2796"/>
      <c r="C26" s="2651" t="s">
        <v>155</v>
      </c>
    </row>
    <row r="27" spans="1:3" ht="14.25">
      <c r="A27" s="2795"/>
      <c r="B27" s="2796"/>
      <c r="C27" s="2651" t="s">
        <v>156</v>
      </c>
    </row>
    <row r="28" spans="1:3" ht="14.25">
      <c r="A28" s="2795"/>
      <c r="B28" s="2796"/>
      <c r="C28" s="2651" t="s">
        <v>157</v>
      </c>
    </row>
    <row r="29" spans="1:3" ht="14.25">
      <c r="A29" s="2795"/>
      <c r="B29" s="2796"/>
      <c r="C29" s="2651" t="s">
        <v>158</v>
      </c>
    </row>
    <row r="30" spans="1:3" ht="14.25">
      <c r="A30" s="2795"/>
      <c r="B30" s="2796"/>
      <c r="C30" s="2651" t="s">
        <v>159</v>
      </c>
    </row>
    <row r="31" spans="1:3" ht="14.25">
      <c r="A31" s="2795"/>
      <c r="B31" s="2796"/>
      <c r="C31" s="2651" t="s">
        <v>160</v>
      </c>
    </row>
    <row r="32" spans="1:3">
      <c r="A32" s="2652"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sqref="B9 B12 B15 B18 B21"/>
    </sheetView>
  </sheetViews>
  <sheetFormatPr defaultColWidth="22.625" defaultRowHeight="24" customHeight="1"/>
  <cols>
    <col min="1" max="2" width="22.625" style="2611"/>
    <col min="3" max="3" width="26" style="2611" customWidth="1"/>
    <col min="4" max="4" width="41.375" style="2611" customWidth="1"/>
    <col min="5" max="6" width="22.625" style="2611"/>
    <col min="7" max="7" width="25.625" style="2611" customWidth="1"/>
    <col min="8" max="16384" width="22.625" style="2611"/>
  </cols>
  <sheetData>
    <row r="2" spans="1:8" ht="24" customHeight="1">
      <c r="A2" s="2612" t="s">
        <v>162</v>
      </c>
      <c r="B2" s="2613">
        <f ca="1">TODAY()</f>
        <v>43654</v>
      </c>
      <c r="C2" s="2614" t="s">
        <v>163</v>
      </c>
      <c r="D2" s="2614"/>
      <c r="E2" s="2614"/>
    </row>
    <row r="3" spans="1:8" ht="24" customHeight="1">
      <c r="A3" s="2615" t="s">
        <v>164</v>
      </c>
      <c r="B3" s="2616" t="s">
        <v>165</v>
      </c>
      <c r="C3" s="2616" t="s">
        <v>166</v>
      </c>
      <c r="D3" s="2617" t="s">
        <v>167</v>
      </c>
      <c r="E3" s="2618" t="s">
        <v>168</v>
      </c>
      <c r="F3" s="2619" t="s">
        <v>169</v>
      </c>
      <c r="G3" s="2616" t="s">
        <v>166</v>
      </c>
      <c r="H3" s="2617" t="s">
        <v>170</v>
      </c>
    </row>
    <row r="4" spans="1:8" ht="24" customHeight="1">
      <c r="A4" s="2620" t="s">
        <v>171</v>
      </c>
      <c r="B4" s="2619">
        <f ca="1">IF(C4&lt;B2,"已过期",1119970066)</f>
        <v>1119970066</v>
      </c>
      <c r="C4" s="2621">
        <v>43849</v>
      </c>
      <c r="D4" s="2622" t="str">
        <f ca="1">A4&amp;"（注册号："&amp;B4&amp;"）"</f>
        <v>梁津（注册号：1119970066）</v>
      </c>
      <c r="E4" s="2620" t="s">
        <v>171</v>
      </c>
      <c r="F4" s="2619">
        <f ca="1">IF(G4&lt;B2,"已过期",96010014)</f>
        <v>96010014</v>
      </c>
      <c r="G4" s="2623">
        <v>47118</v>
      </c>
      <c r="H4" s="2624" t="str">
        <f ca="1">E4&amp;"（注册号："&amp;F4&amp;"）"</f>
        <v>梁津（注册号：96010014）</v>
      </c>
    </row>
    <row r="5" spans="1:8" ht="24" customHeight="1">
      <c r="A5" s="2620" t="s">
        <v>172</v>
      </c>
      <c r="B5" s="2619">
        <f ca="1">IF(C5&lt;B2,"已过期",1119970074)</f>
        <v>1119970074</v>
      </c>
      <c r="C5" s="2621">
        <v>43849</v>
      </c>
      <c r="D5" s="2622" t="str">
        <f t="shared" ref="D5:D24" ca="1" si="0">A5&amp;"（注册号："&amp;B5&amp;"）"</f>
        <v>李立（注册号：1119970074）</v>
      </c>
      <c r="E5" s="2620" t="s">
        <v>172</v>
      </c>
      <c r="F5" s="2619">
        <f ca="1">IF(G5&lt;B2,"已过期",2002110027)</f>
        <v>2002110027</v>
      </c>
      <c r="G5" s="2623">
        <v>46752</v>
      </c>
      <c r="H5" s="2624" t="str">
        <f t="shared" ref="H5:H24" ca="1" si="1">E5&amp;"（注册号："&amp;F5&amp;"）"</f>
        <v>李立（注册号：2002110027）</v>
      </c>
    </row>
    <row r="6" spans="1:8" ht="24" customHeight="1">
      <c r="A6" s="2620" t="s">
        <v>173</v>
      </c>
      <c r="B6" s="2619">
        <f ca="1">IF(C6&lt;B2,"已过期",1119970111)</f>
        <v>1119970111</v>
      </c>
      <c r="C6" s="2621">
        <v>43849</v>
      </c>
      <c r="D6" s="2622" t="str">
        <f t="shared" ca="1" si="0"/>
        <v>叶凌（注册号：1119970111）</v>
      </c>
      <c r="E6" s="2620" t="s">
        <v>173</v>
      </c>
      <c r="F6" s="2619">
        <f ca="1">IF(G6&lt;B2,"已过期",94010078)</f>
        <v>94010078</v>
      </c>
      <c r="G6" s="2623">
        <v>46387</v>
      </c>
      <c r="H6" s="2624" t="str">
        <f t="shared" ca="1" si="1"/>
        <v>叶凌（注册号：94010078）</v>
      </c>
    </row>
    <row r="7" spans="1:8" ht="24" customHeight="1">
      <c r="A7" s="2620" t="s">
        <v>174</v>
      </c>
      <c r="B7" s="2619">
        <f ca="1">IF(C7&lt;B2,"已过期",1120050019)</f>
        <v>1120050019</v>
      </c>
      <c r="C7" s="2621">
        <v>44395</v>
      </c>
      <c r="D7" s="2622" t="str">
        <f t="shared" ca="1" si="0"/>
        <v>王鹏（注册号：1120050019）</v>
      </c>
      <c r="E7" s="2620" t="s">
        <v>174</v>
      </c>
      <c r="F7" s="2619">
        <f ca="1">IF(G7&lt;B2,"已过期",2002110030)</f>
        <v>2002110030</v>
      </c>
      <c r="G7" s="2623">
        <v>46387</v>
      </c>
      <c r="H7" s="2624" t="str">
        <f t="shared" ca="1" si="1"/>
        <v>王鹏（注册号：2002110030）</v>
      </c>
    </row>
    <row r="8" spans="1:8" ht="24" customHeight="1">
      <c r="A8" s="2620" t="s">
        <v>175</v>
      </c>
      <c r="B8" s="2619">
        <f ca="1">IF(C8&lt;B2,"已过期",1120000080)</f>
        <v>1120000080</v>
      </c>
      <c r="C8" s="2621">
        <v>43849</v>
      </c>
      <c r="D8" s="2622" t="str">
        <f t="shared" ca="1" si="0"/>
        <v>欧红伟（注册号：1120000080）</v>
      </c>
      <c r="E8" s="2620" t="s">
        <v>175</v>
      </c>
      <c r="F8" s="2619">
        <f ca="1">IF(G8&lt;B2,"已过期",2000110082)</f>
        <v>2000110082</v>
      </c>
      <c r="G8" s="2623">
        <v>46387</v>
      </c>
      <c r="H8" s="2624" t="str">
        <f t="shared" ca="1" si="1"/>
        <v>欧红伟（注册号：2000110082）</v>
      </c>
    </row>
    <row r="9" spans="1:8" ht="24" customHeight="1">
      <c r="A9" s="2620" t="s">
        <v>176</v>
      </c>
      <c r="B9" s="2619">
        <f ca="1">IF(C9&lt;B2,"已过期",1419970001)</f>
        <v>1419970001</v>
      </c>
      <c r="C9" s="2621">
        <v>43867</v>
      </c>
      <c r="D9" s="2622" t="str">
        <f t="shared" ca="1" si="0"/>
        <v>吴薇（注册号：1419970001）</v>
      </c>
      <c r="E9" s="2620" t="s">
        <v>176</v>
      </c>
      <c r="F9" s="2619">
        <f ca="1">IF(G9&lt;B2,"已过期",2002110125)</f>
        <v>2002110125</v>
      </c>
      <c r="G9" s="2623">
        <v>47118</v>
      </c>
      <c r="H9" s="2624" t="str">
        <f t="shared" ca="1" si="1"/>
        <v>吴薇（注册号：2002110125）</v>
      </c>
    </row>
    <row r="10" spans="1:8" ht="24" customHeight="1">
      <c r="A10" s="2620" t="s">
        <v>177</v>
      </c>
      <c r="B10" s="2619">
        <f ca="1">IF(C10&lt;B2,"已过期",1120060040)</f>
        <v>1120060040</v>
      </c>
      <c r="C10" s="2625">
        <v>44554</v>
      </c>
      <c r="D10" s="2622" t="str">
        <f t="shared" ca="1" si="0"/>
        <v>陈颖（注册号：1120060040）</v>
      </c>
      <c r="E10" s="2620" t="s">
        <v>177</v>
      </c>
      <c r="F10" s="2619">
        <f ca="1">IF(G10&lt;B2,"已过期",2004110096)</f>
        <v>2004110096</v>
      </c>
      <c r="G10" s="2623">
        <v>47118</v>
      </c>
      <c r="H10" s="2624" t="str">
        <f t="shared" ca="1" si="1"/>
        <v>陈颖（注册号：2004110096）</v>
      </c>
    </row>
    <row r="11" spans="1:8" ht="24" customHeight="1">
      <c r="A11" s="2620" t="s">
        <v>178</v>
      </c>
      <c r="B11" s="2619">
        <f ca="1">IF(C11&lt;B2,"已过期",1120100036)</f>
        <v>1120100036</v>
      </c>
      <c r="C11" s="2625">
        <v>44675</v>
      </c>
      <c r="D11" s="2622" t="str">
        <f t="shared" ca="1" si="0"/>
        <v>崔锴（注册号：1120100036）</v>
      </c>
      <c r="E11" s="2620" t="s">
        <v>178</v>
      </c>
      <c r="F11" s="2619">
        <f ca="1">IF(G11&lt;B2,"已过期",2010110070)</f>
        <v>2010110070</v>
      </c>
      <c r="G11" s="2623">
        <v>47907</v>
      </c>
      <c r="H11" s="2624" t="str">
        <f t="shared" ca="1" si="1"/>
        <v>崔锴（注册号：2010110070）</v>
      </c>
    </row>
    <row r="12" spans="1:8" ht="24" customHeight="1">
      <c r="A12" s="2620"/>
      <c r="B12" s="2619"/>
      <c r="C12" s="2621"/>
      <c r="D12" s="2622"/>
      <c r="E12" s="2620"/>
      <c r="F12" s="2619"/>
      <c r="G12" s="2623"/>
      <c r="H12" s="2624"/>
    </row>
    <row r="13" spans="1:8" ht="24" customHeight="1">
      <c r="A13" s="2620" t="s">
        <v>179</v>
      </c>
      <c r="B13" s="2619">
        <f ca="1">IF(C13&lt;B2,"已过期",1120070131)</f>
        <v>1120070131</v>
      </c>
      <c r="C13" s="2621">
        <v>43814</v>
      </c>
      <c r="D13" s="2622" t="str">
        <f t="shared" ca="1" si="0"/>
        <v>郑燚（注册号：1120070131）</v>
      </c>
      <c r="E13" s="2620" t="s">
        <v>179</v>
      </c>
      <c r="F13" s="2619">
        <f ca="1">IF(G13&lt;B2,"已过期",2014110011)</f>
        <v>2014110011</v>
      </c>
      <c r="G13" s="2623">
        <v>49302</v>
      </c>
      <c r="H13" s="2624" t="str">
        <f t="shared" ca="1" si="1"/>
        <v>郑燚（注册号：2014110011）</v>
      </c>
    </row>
    <row r="14" spans="1:8" ht="24" customHeight="1">
      <c r="A14" s="2620" t="s">
        <v>180</v>
      </c>
      <c r="B14" s="2619">
        <f ca="1">IF(C14&lt;B2,"已过期",1120040230)</f>
        <v>1120040230</v>
      </c>
      <c r="C14" s="2625">
        <v>43835</v>
      </c>
      <c r="D14" s="2622" t="str">
        <f t="shared" ca="1" si="0"/>
        <v>苏海（注册号：1120040230）</v>
      </c>
      <c r="E14" s="2626" t="s">
        <v>180</v>
      </c>
      <c r="F14" s="2619">
        <f ca="1">IF(G14&lt;B2,"已过期",98030020)</f>
        <v>98030020</v>
      </c>
      <c r="G14" s="2623">
        <v>47118</v>
      </c>
      <c r="H14" s="2624" t="str">
        <f t="shared" ca="1" si="1"/>
        <v>苏海（注册号：98030020）</v>
      </c>
    </row>
    <row r="15" spans="1:8" ht="24" customHeight="1">
      <c r="A15" s="2627" t="s">
        <v>181</v>
      </c>
      <c r="B15" s="2619">
        <f ca="1">IF(C15&lt;B2,"已过期",1120070085)</f>
        <v>1120070085</v>
      </c>
      <c r="C15" s="2625">
        <v>43814</v>
      </c>
      <c r="D15" s="2622" t="str">
        <f t="shared" ca="1" si="0"/>
        <v>杨红英（注册号：1120070085）</v>
      </c>
      <c r="E15" s="2627" t="s">
        <v>181</v>
      </c>
      <c r="F15" s="2619">
        <f ca="1">IF(G15&lt;B2,"已过期",2004110128)</f>
        <v>2004110128</v>
      </c>
      <c r="G15" s="2628">
        <v>47118</v>
      </c>
      <c r="H15" s="2624" t="str">
        <f t="shared" ca="1" si="1"/>
        <v>杨红英（注册号：2004110128）</v>
      </c>
    </row>
    <row r="16" spans="1:8" ht="24" customHeight="1">
      <c r="A16" s="2620" t="s">
        <v>182</v>
      </c>
      <c r="B16" s="2619">
        <f ca="1">IF(C16&lt;B2,"已过期",1120140022)</f>
        <v>1120140022</v>
      </c>
      <c r="C16" s="2621">
        <v>44029</v>
      </c>
      <c r="D16" s="2622" t="str">
        <f t="shared" ca="1" si="0"/>
        <v>刘梅（注册号：1120140022）</v>
      </c>
      <c r="E16" s="2620" t="s">
        <v>182</v>
      </c>
      <c r="F16" s="2619">
        <f ca="1">IF(G16&lt;B2,"已过期",2008110059)</f>
        <v>2008110059</v>
      </c>
      <c r="G16" s="2623">
        <v>47177</v>
      </c>
      <c r="H16" s="2624" t="str">
        <f t="shared" ca="1" si="1"/>
        <v>刘梅（注册号：2008110059）</v>
      </c>
    </row>
    <row r="17" spans="1:8" ht="24" customHeight="1">
      <c r="A17" s="2620"/>
      <c r="B17" s="2619"/>
      <c r="C17" s="2621"/>
      <c r="D17" s="2622"/>
      <c r="E17" s="2626" t="s">
        <v>183</v>
      </c>
      <c r="F17" s="2619">
        <f ca="1">IF(G17&lt;B2,"已过期",2014110076)</f>
        <v>2014110076</v>
      </c>
      <c r="G17" s="2623">
        <v>49302</v>
      </c>
      <c r="H17" s="2624"/>
    </row>
    <row r="18" spans="1:8" ht="24" customHeight="1">
      <c r="A18" s="2620"/>
      <c r="B18" s="2619"/>
      <c r="C18" s="2621"/>
      <c r="D18" s="2622"/>
      <c r="E18" s="2620"/>
      <c r="F18" s="2619"/>
      <c r="G18" s="2623"/>
      <c r="H18" s="2624"/>
    </row>
    <row r="19" spans="1:8" ht="24" customHeight="1">
      <c r="A19" s="2620"/>
      <c r="B19" s="2619"/>
      <c r="C19" s="2621"/>
      <c r="D19" s="2622"/>
      <c r="E19" s="2620"/>
      <c r="F19" s="2619"/>
      <c r="G19" s="2619"/>
      <c r="H19" s="2624"/>
    </row>
    <row r="20" spans="1:8" ht="24" customHeight="1">
      <c r="A20" s="2620"/>
      <c r="B20" s="2619"/>
      <c r="C20" s="2621"/>
      <c r="D20" s="2622"/>
      <c r="E20" s="2620"/>
      <c r="F20" s="2619"/>
      <c r="G20" s="2619"/>
      <c r="H20" s="2624"/>
    </row>
    <row r="21" spans="1:8" ht="24" customHeight="1">
      <c r="A21" s="2620"/>
      <c r="B21" s="2619"/>
      <c r="C21" s="2621"/>
      <c r="D21" s="2622" t="str">
        <f t="shared" si="0"/>
        <v>（注册号：）</v>
      </c>
      <c r="E21" s="2620" t="s">
        <v>184</v>
      </c>
      <c r="F21" s="2619">
        <f ca="1">IF(G21&lt;B2,"已过期",2011110090)</f>
        <v>2011110090</v>
      </c>
      <c r="G21" s="2623">
        <v>48302</v>
      </c>
      <c r="H21" s="2624" t="str">
        <f t="shared" ca="1" si="1"/>
        <v>赵雯（注册号：2011110090）</v>
      </c>
    </row>
    <row r="22" spans="1:8" ht="24" customHeight="1">
      <c r="A22" s="2620" t="s">
        <v>185</v>
      </c>
      <c r="B22" s="2619">
        <f ca="1">IF(C22&lt;B2,"已过期",1120020033)</f>
        <v>1120020033</v>
      </c>
      <c r="C22" s="2621">
        <v>44339</v>
      </c>
      <c r="D22" s="2622" t="str">
        <f t="shared" ca="1" si="0"/>
        <v>刘敬东（注册号：1120020033）</v>
      </c>
      <c r="E22" s="2620" t="s">
        <v>185</v>
      </c>
      <c r="F22" s="2619">
        <f ca="1">IF(G22&lt;B2,"已过期",2000110137)</f>
        <v>2000110137</v>
      </c>
      <c r="G22" s="2623">
        <v>46387</v>
      </c>
      <c r="H22" s="2624" t="str">
        <f t="shared" ca="1" si="1"/>
        <v>刘敬东（注册号：2000110137）</v>
      </c>
    </row>
    <row r="23" spans="1:8" ht="24" customHeight="1">
      <c r="A23" s="2620"/>
      <c r="B23" s="2619"/>
      <c r="C23" s="2621"/>
      <c r="D23" s="2622" t="str">
        <f t="shared" si="0"/>
        <v>（注册号：）</v>
      </c>
      <c r="E23" s="2620"/>
      <c r="F23" s="2619"/>
      <c r="G23" s="2619"/>
      <c r="H23" s="2624" t="str">
        <f t="shared" si="1"/>
        <v>（注册号：）</v>
      </c>
    </row>
    <row r="24" spans="1:8" s="2608" customFormat="1" ht="24" customHeight="1">
      <c r="A24" s="2619" t="s">
        <v>121</v>
      </c>
      <c r="B24" s="2619" t="s">
        <v>121</v>
      </c>
      <c r="C24" s="2619" t="s">
        <v>121</v>
      </c>
      <c r="D24" s="2622" t="str">
        <f t="shared" si="0"/>
        <v>——（注册号：——）</v>
      </c>
      <c r="E24" s="2619" t="s">
        <v>121</v>
      </c>
      <c r="F24" s="2619" t="s">
        <v>121</v>
      </c>
      <c r="G24" s="2619" t="s">
        <v>121</v>
      </c>
      <c r="H24" s="2624" t="str">
        <f t="shared" si="1"/>
        <v>——（注册号：——）</v>
      </c>
    </row>
    <row r="25" spans="1:8" ht="24" customHeight="1">
      <c r="A25" s="2798" t="s">
        <v>186</v>
      </c>
      <c r="B25" s="2798"/>
      <c r="C25" s="2798"/>
      <c r="D25" s="2798"/>
      <c r="E25" s="2798"/>
      <c r="F25" s="2798"/>
      <c r="G25" s="2798"/>
      <c r="H25" s="2798"/>
    </row>
    <row r="26" spans="1:8" s="2609" customFormat="1" ht="24" customHeight="1">
      <c r="A26" s="2799" t="s">
        <v>187</v>
      </c>
      <c r="B26" s="2799"/>
      <c r="C26" s="2799"/>
      <c r="D26" s="2629"/>
      <c r="E26" s="2629"/>
      <c r="F26" s="2799" t="s">
        <v>188</v>
      </c>
      <c r="G26" s="2799"/>
      <c r="H26" s="2799"/>
    </row>
    <row r="27" spans="1:8" s="2610" customFormat="1" ht="24" customHeight="1">
      <c r="A27" s="2630" t="s">
        <v>189</v>
      </c>
      <c r="B27" s="2616" t="s">
        <v>190</v>
      </c>
      <c r="C27" s="2616" t="s">
        <v>166</v>
      </c>
      <c r="D27" s="2616"/>
      <c r="E27" s="2616"/>
      <c r="F27" s="2619" t="s">
        <v>189</v>
      </c>
      <c r="G27" s="2616" t="s">
        <v>190</v>
      </c>
      <c r="H27" s="2616" t="s">
        <v>166</v>
      </c>
    </row>
    <row r="28" spans="1:8" s="2610" customFormat="1" ht="24" customHeight="1">
      <c r="A28" s="2631" t="s">
        <v>191</v>
      </c>
      <c r="B28" s="2632" t="s">
        <v>192</v>
      </c>
      <c r="C28" s="2623">
        <v>43725</v>
      </c>
      <c r="D28" s="2623"/>
      <c r="E28" s="2623"/>
      <c r="F28" s="2631" t="s">
        <v>193</v>
      </c>
      <c r="G28" s="2631" t="s">
        <v>194</v>
      </c>
      <c r="H28" s="2633">
        <v>44377</v>
      </c>
    </row>
    <row r="29" spans="1:8" s="2610" customFormat="1" ht="24" customHeight="1">
      <c r="A29" s="2631"/>
      <c r="B29" s="2631"/>
      <c r="C29" s="2634"/>
      <c r="D29" s="2634"/>
      <c r="E29" s="2634"/>
      <c r="F29" s="2631" t="s">
        <v>195</v>
      </c>
      <c r="G29" s="2635" t="s">
        <v>196</v>
      </c>
      <c r="H29" s="2636">
        <v>43646</v>
      </c>
    </row>
    <row r="30" spans="1:8" ht="24" customHeight="1">
      <c r="C30" s="2637"/>
      <c r="D30" s="2637"/>
      <c r="E30" s="2637"/>
    </row>
  </sheetData>
  <sheetProtection sheet="1" objects="1" scenarios="1"/>
  <mergeCells count="3">
    <mergeCell ref="A25:H25"/>
    <mergeCell ref="A26:C26"/>
    <mergeCell ref="F26:H26"/>
  </mergeCells>
  <phoneticPr fontId="205" type="noConversion"/>
  <conditionalFormatting sqref="C5">
    <cfRule type="expression" dxfId="221" priority="45">
      <formula>AND($C5-TODAY()&lt;30,TODAY()&lt;$C5)</formula>
    </cfRule>
    <cfRule type="cellIs" dxfId="220" priority="46" stopIfTrue="1" operator="lessThan">
      <formula>$B$2</formula>
    </cfRule>
  </conditionalFormatting>
  <conditionalFormatting sqref="D5">
    <cfRule type="expression" dxfId="219" priority="85">
      <formula>AND($C5-TODAY()&lt;30,TODAY()&lt;$C5)</formula>
    </cfRule>
  </conditionalFormatting>
  <conditionalFormatting sqref="C8">
    <cfRule type="expression" dxfId="218" priority="41">
      <formula>AND($C8-TODAY()&lt;30,TODAY()&lt;$C8)</formula>
    </cfRule>
    <cfRule type="cellIs" dxfId="217" priority="42" stopIfTrue="1" operator="lessThan">
      <formula>$B$2</formula>
    </cfRule>
  </conditionalFormatting>
  <conditionalFormatting sqref="C9">
    <cfRule type="expression" dxfId="216" priority="39">
      <formula>AND($C9-TODAY()&lt;30,TODAY()&lt;$C9)</formula>
    </cfRule>
    <cfRule type="cellIs" dxfId="215" priority="40" stopIfTrue="1" operator="lessThan">
      <formula>$B$2</formula>
    </cfRule>
  </conditionalFormatting>
  <conditionalFormatting sqref="C12:D12">
    <cfRule type="expression" dxfId="214" priority="80">
      <formula>AND($C12-TODAY()&lt;30,TODAY()&lt;$C12)</formula>
    </cfRule>
    <cfRule type="cellIs" dxfId="213" priority="81" stopIfTrue="1" operator="lessThan">
      <formula>$B$2</formula>
    </cfRule>
  </conditionalFormatting>
  <conditionalFormatting sqref="G12">
    <cfRule type="cellIs" dxfId="212" priority="24" stopIfTrue="1" operator="lessThan">
      <formula>$B$2</formula>
    </cfRule>
  </conditionalFormatting>
  <conditionalFormatting sqref="C13">
    <cfRule type="expression" dxfId="211" priority="37">
      <formula>AND($C13-TODAY()&lt;30,TODAY()&lt;$C13)</formula>
    </cfRule>
    <cfRule type="cellIs" dxfId="210" priority="38" stopIfTrue="1" operator="lessThan">
      <formula>$B$2</formula>
    </cfRule>
  </conditionalFormatting>
  <conditionalFormatting sqref="G13">
    <cfRule type="cellIs" dxfId="209" priority="25" stopIfTrue="1" operator="lessThan">
      <formula>$B$2</formula>
    </cfRule>
  </conditionalFormatting>
  <conditionalFormatting sqref="B14">
    <cfRule type="cellIs" dxfId="208" priority="8" stopIfTrue="1" operator="equal">
      <formula>"已过期"</formula>
    </cfRule>
  </conditionalFormatting>
  <conditionalFormatting sqref="C14">
    <cfRule type="expression" dxfId="207" priority="11">
      <formula>AND($C14-TODAY()&lt;30,TODAY()&lt;$C14)</formula>
    </cfRule>
    <cfRule type="cellIs" dxfId="206" priority="12" stopIfTrue="1" operator="lessThan">
      <formula>$B$2</formula>
    </cfRule>
  </conditionalFormatting>
  <conditionalFormatting sqref="D14">
    <cfRule type="expression" dxfId="205" priority="76">
      <formula>AND($C14-TODAY()&lt;30,TODAY()&lt;$C14)</formula>
    </cfRule>
    <cfRule type="cellIs" dxfId="204" priority="77" stopIfTrue="1" operator="lessThan">
      <formula>$B$2</formula>
    </cfRule>
  </conditionalFormatting>
  <conditionalFormatting sqref="F14">
    <cfRule type="cellIs" dxfId="203" priority="16" stopIfTrue="1" operator="equal">
      <formula>"已过期"</formula>
    </cfRule>
  </conditionalFormatting>
  <conditionalFormatting sqref="G14">
    <cfRule type="cellIs" dxfId="202" priority="15" stopIfTrue="1" operator="lessThan">
      <formula>$B$2</formula>
    </cfRule>
  </conditionalFormatting>
  <conditionalFormatting sqref="A15">
    <cfRule type="cellIs" dxfId="201" priority="6" stopIfTrue="1" operator="equal">
      <formula>"已过期"</formula>
    </cfRule>
  </conditionalFormatting>
  <conditionalFormatting sqref="B15">
    <cfRule type="cellIs" dxfId="200" priority="7" stopIfTrue="1" operator="equal">
      <formula>"已过期"</formula>
    </cfRule>
  </conditionalFormatting>
  <conditionalFormatting sqref="C15">
    <cfRule type="expression" dxfId="199" priority="9">
      <formula>AND($C15-TODAY()&lt;30,TODAY()&lt;$C15)</formula>
    </cfRule>
    <cfRule type="cellIs" dxfId="198" priority="10" stopIfTrue="1" operator="lessThan">
      <formula>$B$2</formula>
    </cfRule>
    <cfRule type="expression" dxfId="197" priority="5">
      <formula>AND($C15-TODAY()&lt;30,TODAY()&lt;$C15)</formula>
    </cfRule>
  </conditionalFormatting>
  <conditionalFormatting sqref="D15">
    <cfRule type="expression" dxfId="196" priority="66">
      <formula>AND($C15-TODAY()&lt;30,TODAY()&lt;$C15)</formula>
    </cfRule>
    <cfRule type="cellIs" dxfId="195" priority="67" stopIfTrue="1" operator="lessThan">
      <formula>$B$2</formula>
    </cfRule>
  </conditionalFormatting>
  <conditionalFormatting sqref="E15">
    <cfRule type="cellIs" dxfId="194" priority="28" stopIfTrue="1" operator="equal">
      <formula>"已过期"</formula>
    </cfRule>
  </conditionalFormatting>
  <conditionalFormatting sqref="F15">
    <cfRule type="cellIs" dxfId="193" priority="29" stopIfTrue="1" operator="equal">
      <formula>"已过期"</formula>
    </cfRule>
  </conditionalFormatting>
  <conditionalFormatting sqref="C16:D16">
    <cfRule type="expression" dxfId="192" priority="74">
      <formula>AND($C16-TODAY()&lt;30,TODAY()&lt;$C16)</formula>
    </cfRule>
    <cfRule type="cellIs" dxfId="191" priority="75" stopIfTrue="1" operator="lessThan">
      <formula>$B$2</formula>
    </cfRule>
  </conditionalFormatting>
  <conditionalFormatting sqref="G16">
    <cfRule type="cellIs" dxfId="190" priority="56" stopIfTrue="1" operator="lessThan">
      <formula>$B$2</formula>
    </cfRule>
  </conditionalFormatting>
  <conditionalFormatting sqref="C17:D17">
    <cfRule type="expression" dxfId="189" priority="64">
      <formula>AND($C17-TODAY()&lt;30,TODAY()&lt;$C17)</formula>
    </cfRule>
    <cfRule type="cellIs" dxfId="188" priority="65" stopIfTrue="1" operator="lessThan">
      <formula>$B$2</formula>
    </cfRule>
  </conditionalFormatting>
  <conditionalFormatting sqref="F17">
    <cfRule type="cellIs" dxfId="187" priority="17" stopIfTrue="1" operator="equal">
      <formula>"已过期"</formula>
    </cfRule>
  </conditionalFormatting>
  <conditionalFormatting sqref="G17">
    <cfRule type="cellIs" dxfId="186" priority="18" stopIfTrue="1" operator="lessThan">
      <formula>$B$2</formula>
    </cfRule>
  </conditionalFormatting>
  <conditionalFormatting sqref="C18:D18">
    <cfRule type="expression" dxfId="185" priority="72">
      <formula>AND($C18-TODAY()&lt;30,TODAY()&lt;$C18)</formula>
    </cfRule>
    <cfRule type="cellIs" dxfId="184" priority="73" stopIfTrue="1" operator="lessThan">
      <formula>$B$2</formula>
    </cfRule>
  </conditionalFormatting>
  <conditionalFormatting sqref="G18">
    <cfRule type="cellIs" dxfId="183" priority="55" stopIfTrue="1" operator="lessThan">
      <formula>$B$2</formula>
    </cfRule>
  </conditionalFormatting>
  <conditionalFormatting sqref="C19:D19">
    <cfRule type="expression" dxfId="182" priority="62">
      <formula>AND($C19-TODAY()&lt;30,TODAY()&lt;$C19)</formula>
    </cfRule>
    <cfRule type="cellIs" dxfId="181" priority="63" stopIfTrue="1" operator="lessThan">
      <formula>$B$2</formula>
    </cfRule>
  </conditionalFormatting>
  <conditionalFormatting sqref="C20:D20">
    <cfRule type="expression" dxfId="180" priority="70">
      <formula>AND($C20-TODAY()&lt;30,TODAY()&lt;$C20)</formula>
    </cfRule>
    <cfRule type="cellIs" dxfId="179" priority="71" stopIfTrue="1" operator="lessThan">
      <formula>$B$2</formula>
    </cfRule>
  </conditionalFormatting>
  <conditionalFormatting sqref="C21:D21">
    <cfRule type="expression" dxfId="178" priority="60">
      <formula>AND($C21-TODAY()&lt;30,TODAY()&lt;$C21)</formula>
    </cfRule>
    <cfRule type="cellIs" dxfId="177" priority="61" stopIfTrue="1" operator="lessThan">
      <formula>$B$2</formula>
    </cfRule>
  </conditionalFormatting>
  <conditionalFormatting sqref="G21">
    <cfRule type="cellIs" dxfId="176" priority="53" stopIfTrue="1" operator="lessThan">
      <formula>$B$2</formula>
    </cfRule>
  </conditionalFormatting>
  <conditionalFormatting sqref="C22:D22">
    <cfRule type="expression" dxfId="175" priority="68">
      <formula>AND($C22-TODAY()&lt;30,TODAY()&lt;$C22)</formula>
    </cfRule>
    <cfRule type="cellIs" dxfId="174" priority="69" stopIfTrue="1" operator="lessThan">
      <formula>$B$2</formula>
    </cfRule>
  </conditionalFormatting>
  <conditionalFormatting sqref="G22">
    <cfRule type="cellIs" dxfId="173" priority="54" stopIfTrue="1" operator="lessThan">
      <formula>$B$2</formula>
    </cfRule>
  </conditionalFormatting>
  <conditionalFormatting sqref="C23:D23">
    <cfRule type="expression" dxfId="172" priority="58">
      <formula>AND($C23-TODAY()&lt;30,TODAY()&lt;$C23)</formula>
    </cfRule>
    <cfRule type="cellIs" dxfId="171" priority="59" stopIfTrue="1" operator="lessThan">
      <formula>$B$2</formula>
    </cfRule>
  </conditionalFormatting>
  <conditionalFormatting sqref="A24:C24">
    <cfRule type="cellIs" dxfId="170" priority="27" stopIfTrue="1" operator="equal">
      <formula>"已过期"</formula>
    </cfRule>
  </conditionalFormatting>
  <conditionalFormatting sqref="D24">
    <cfRule type="expression" dxfId="169" priority="89">
      <formula>AND($C24-TODAY()&lt;30,TODAY()&lt;$C24)</formula>
    </cfRule>
  </conditionalFormatting>
  <conditionalFormatting sqref="E24:G24">
    <cfRule type="cellIs" dxfId="168" priority="26" stopIfTrue="1" operator="equal">
      <formula>"已过期"</formula>
    </cfRule>
  </conditionalFormatting>
  <conditionalFormatting sqref="C28:E28">
    <cfRule type="expression" dxfId="167" priority="88">
      <formula>AND($C28-TODAY()&lt;30,TODAY()&lt;$C28)</formula>
    </cfRule>
  </conditionalFormatting>
  <conditionalFormatting sqref="H28">
    <cfRule type="expression" dxfId="166" priority="49">
      <formula>AND($F28-TODAY()&lt;30,TODAY()&lt;$F28)</formula>
    </cfRule>
    <cfRule type="cellIs" dxfId="165" priority="50" stopIfTrue="1" operator="lessThan">
      <formula>$B$2</formula>
    </cfRule>
  </conditionalFormatting>
  <conditionalFormatting sqref="H29">
    <cfRule type="expression" dxfId="164" priority="1" stopIfTrue="1">
      <formula>AND($E29-TODAY()&lt;30,TODAY()&lt;$E29)</formula>
    </cfRule>
    <cfRule type="cellIs" dxfId="163" priority="2" stopIfTrue="1" operator="lessThan">
      <formula>$B$2</formula>
    </cfRule>
  </conditionalFormatting>
  <conditionalFormatting sqref="C4:C6">
    <cfRule type="expression" dxfId="162" priority="43">
      <formula>AND($C4-TODAY()&lt;30,TODAY()&lt;$C4)</formula>
    </cfRule>
    <cfRule type="cellIs" dxfId="161" priority="44" stopIfTrue="1" operator="lessThan">
      <formula>$B$2</formula>
    </cfRule>
  </conditionalFormatting>
  <conditionalFormatting sqref="C10:C11">
    <cfRule type="expression" dxfId="160" priority="3">
      <formula>AND($C10-TODAY()&lt;30,TODAY()&lt;$C10)</formula>
    </cfRule>
    <cfRule type="cellIs" dxfId="159" priority="4" stopIfTrue="1" operator="lessThan">
      <formula>$B$2</formula>
    </cfRule>
  </conditionalFormatting>
  <conditionalFormatting sqref="C14:C15">
    <cfRule type="expression" dxfId="158" priority="13">
      <formula>AND($C14-TODAY()&lt;30,TODAY()&lt;$C14)</formula>
    </cfRule>
    <cfRule type="cellIs" dxfId="157" priority="14" stopIfTrue="1" operator="lessThan">
      <formula>$B$2</formula>
    </cfRule>
  </conditionalFormatting>
  <conditionalFormatting sqref="B4:B13 F4:F13 B16:B23 F16 F18:F23">
    <cfRule type="cellIs" dxfId="156" priority="51" stopIfTrue="1" operator="equal">
      <formula>"已过期"</formula>
    </cfRule>
  </conditionalFormatting>
  <conditionalFormatting sqref="C28:E28 G4">
    <cfRule type="cellIs" dxfId="155" priority="90" stopIfTrue="1" operator="lessThan">
      <formula>$B$2</formula>
    </cfRule>
  </conditionalFormatting>
  <conditionalFormatting sqref="D24 C7:D7 D4:D6 C12:D12 C16:D23 D13:D15 D8:D11">
    <cfRule type="expression" dxfId="154" priority="82">
      <formula>AND($C4-TODAY()&lt;30,TODAY()&lt;$C4)</formula>
    </cfRule>
  </conditionalFormatting>
  <conditionalFormatting sqref="G7 G9 G11 D24 C7:D7 D4:D6 C12:D12 C16:D23 D13:D15 D8:D11">
    <cfRule type="cellIs" dxfId="153" priority="83" stopIfTrue="1" operator="lessThan">
      <formula>$B$2</formula>
    </cfRule>
  </conditionalFormatting>
  <conditionalFormatting sqref="D5 G5">
    <cfRule type="cellIs" dxfId="152" priority="86" stopIfTrue="1" operator="lessThan">
      <formula>$B$2</formula>
    </cfRule>
  </conditionalFormatting>
  <conditionalFormatting sqref="G6 G8 G10">
    <cfRule type="cellIs" dxfId="151" priority="84"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93" customWidth="1"/>
    <col min="2" max="2" width="22.5" style="2594" customWidth="1"/>
    <col min="3" max="3" width="13" style="545" hidden="1" customWidth="1"/>
    <col min="4" max="4" width="5.75" style="546" hidden="1" customWidth="1"/>
    <col min="5" max="5" width="7.125" style="546" hidden="1" customWidth="1"/>
    <col min="6" max="6" width="10.625" style="546" hidden="1" customWidth="1"/>
    <col min="7" max="7" width="7.5" style="546" hidden="1" customWidth="1"/>
    <col min="8" max="8" width="9" style="545" hidden="1" customWidth="1"/>
    <col min="9" max="9" width="11.625" style="545" hidden="1" customWidth="1"/>
    <col min="10" max="10" width="9" style="545" hidden="1" customWidth="1"/>
    <col min="11" max="19" width="9" style="546" hidden="1" customWidth="1"/>
    <col min="20" max="24" width="9" style="545" hidden="1" customWidth="1"/>
    <col min="25" max="25" width="9" style="545" customWidth="1"/>
    <col min="26" max="26" width="15.875" style="2594" customWidth="1"/>
    <col min="27" max="16384" width="9" style="2594"/>
  </cols>
  <sheetData>
    <row r="1" spans="1:25" s="2592" customFormat="1" ht="27">
      <c r="A1" s="2595" t="s">
        <v>197</v>
      </c>
      <c r="B1" s="2596" t="s">
        <v>198</v>
      </c>
      <c r="C1" s="2597" t="s">
        <v>199</v>
      </c>
      <c r="D1" s="2598" t="s">
        <v>200</v>
      </c>
      <c r="E1" s="2598" t="s">
        <v>201</v>
      </c>
      <c r="F1" s="2598" t="s">
        <v>202</v>
      </c>
      <c r="G1" s="2598" t="s">
        <v>203</v>
      </c>
      <c r="H1" s="2598" t="s">
        <v>204</v>
      </c>
      <c r="I1" s="2598" t="s">
        <v>205</v>
      </c>
      <c r="J1" s="2598" t="s">
        <v>206</v>
      </c>
      <c r="K1" s="2598" t="s">
        <v>207</v>
      </c>
      <c r="L1" s="2598" t="s">
        <v>208</v>
      </c>
      <c r="M1" s="2598" t="s">
        <v>209</v>
      </c>
      <c r="N1" s="2598" t="s">
        <v>210</v>
      </c>
      <c r="O1" s="2598" t="s">
        <v>211</v>
      </c>
      <c r="P1" s="2606" t="s">
        <v>212</v>
      </c>
      <c r="Q1" s="2606" t="s">
        <v>213</v>
      </c>
      <c r="R1" s="2606" t="s">
        <v>214</v>
      </c>
      <c r="S1" s="2598" t="s">
        <v>215</v>
      </c>
      <c r="T1" s="2607" t="s">
        <v>216</v>
      </c>
      <c r="U1" s="2598" t="s">
        <v>217</v>
      </c>
      <c r="V1" s="2598" t="s">
        <v>218</v>
      </c>
      <c r="W1" s="2598" t="s">
        <v>219</v>
      </c>
      <c r="X1" s="2598" t="s">
        <v>220</v>
      </c>
      <c r="Y1" s="2598" t="s">
        <v>221</v>
      </c>
    </row>
    <row r="2" spans="1:25">
      <c r="A2" s="2599" t="s">
        <v>121</v>
      </c>
      <c r="B2" s="2599" t="s">
        <v>222</v>
      </c>
      <c r="C2" s="2600" t="s">
        <v>223</v>
      </c>
      <c r="D2" s="546" t="s">
        <v>224</v>
      </c>
      <c r="E2" s="546" t="s">
        <v>225</v>
      </c>
      <c r="F2" s="546" t="s">
        <v>152</v>
      </c>
      <c r="G2" s="546">
        <v>40</v>
      </c>
      <c r="H2" s="546" t="s">
        <v>152</v>
      </c>
      <c r="I2" s="546" t="s">
        <v>226</v>
      </c>
      <c r="J2" s="546" t="s">
        <v>227</v>
      </c>
      <c r="K2" s="546" t="s">
        <v>228</v>
      </c>
      <c r="L2" s="546" t="s">
        <v>228</v>
      </c>
      <c r="M2" s="546" t="s">
        <v>228</v>
      </c>
      <c r="N2" s="546" t="s">
        <v>228</v>
      </c>
      <c r="O2" s="546" t="s">
        <v>228</v>
      </c>
      <c r="P2" s="546" t="s">
        <v>228</v>
      </c>
      <c r="Q2" s="546" t="s">
        <v>228</v>
      </c>
      <c r="R2" s="546" t="s">
        <v>229</v>
      </c>
      <c r="S2" s="546" t="s">
        <v>228</v>
      </c>
      <c r="T2" s="546" t="s">
        <v>230</v>
      </c>
      <c r="U2" s="546" t="s">
        <v>228</v>
      </c>
      <c r="V2" s="546" t="s">
        <v>231</v>
      </c>
      <c r="W2" s="546" t="s">
        <v>228</v>
      </c>
      <c r="X2" s="546" t="s">
        <v>232</v>
      </c>
      <c r="Y2" s="546" t="s">
        <v>233</v>
      </c>
    </row>
    <row r="3" spans="1:25">
      <c r="A3" s="2599" t="s">
        <v>234</v>
      </c>
      <c r="B3" s="2601" t="s">
        <v>235</v>
      </c>
      <c r="C3" s="324" t="s">
        <v>236</v>
      </c>
      <c r="D3" s="546" t="s">
        <v>237</v>
      </c>
      <c r="E3" s="546" t="s">
        <v>121</v>
      </c>
      <c r="F3" s="546" t="s">
        <v>153</v>
      </c>
      <c r="G3" s="546">
        <v>50</v>
      </c>
      <c r="H3" s="546" t="s">
        <v>153</v>
      </c>
      <c r="I3" s="546" t="s">
        <v>238</v>
      </c>
      <c r="J3" s="546" t="s">
        <v>239</v>
      </c>
      <c r="K3" s="546" t="s">
        <v>240</v>
      </c>
      <c r="L3" s="546" t="s">
        <v>240</v>
      </c>
      <c r="M3" s="546" t="s">
        <v>240</v>
      </c>
      <c r="N3" s="546" t="s">
        <v>240</v>
      </c>
      <c r="O3" s="546" t="s">
        <v>240</v>
      </c>
      <c r="P3" s="546" t="s">
        <v>240</v>
      </c>
      <c r="Q3" s="546" t="s">
        <v>240</v>
      </c>
      <c r="R3" s="546" t="s">
        <v>241</v>
      </c>
      <c r="S3" s="546" t="s">
        <v>240</v>
      </c>
      <c r="T3" s="546" t="s">
        <v>242</v>
      </c>
      <c r="U3" s="546" t="s">
        <v>240</v>
      </c>
      <c r="V3" s="546" t="s">
        <v>243</v>
      </c>
      <c r="W3" s="546" t="s">
        <v>240</v>
      </c>
      <c r="X3" s="546" t="s">
        <v>244</v>
      </c>
      <c r="Y3" s="546" t="s">
        <v>245</v>
      </c>
    </row>
    <row r="4" spans="1:25">
      <c r="A4" s="2599" t="s">
        <v>246</v>
      </c>
      <c r="B4" s="2601" t="s">
        <v>247</v>
      </c>
      <c r="C4" s="2600" t="s">
        <v>248</v>
      </c>
      <c r="D4" s="546" t="s">
        <v>121</v>
      </c>
      <c r="E4" s="546" t="s">
        <v>249</v>
      </c>
      <c r="F4" s="546" t="s">
        <v>154</v>
      </c>
      <c r="G4" s="546">
        <v>70</v>
      </c>
      <c r="H4" s="546" t="s">
        <v>154</v>
      </c>
      <c r="I4" s="546" t="s">
        <v>250</v>
      </c>
      <c r="K4" s="546" t="s">
        <v>251</v>
      </c>
      <c r="L4" s="546" t="s">
        <v>251</v>
      </c>
      <c r="M4" s="546" t="s">
        <v>251</v>
      </c>
      <c r="N4" s="546" t="s">
        <v>251</v>
      </c>
      <c r="O4" s="546" t="s">
        <v>251</v>
      </c>
      <c r="P4" s="546" t="s">
        <v>251</v>
      </c>
      <c r="Q4" s="546" t="s">
        <v>251</v>
      </c>
      <c r="R4" s="546" t="s">
        <v>252</v>
      </c>
      <c r="S4" s="546" t="s">
        <v>251</v>
      </c>
      <c r="T4" s="546" t="s">
        <v>253</v>
      </c>
      <c r="U4" s="546" t="s">
        <v>251</v>
      </c>
      <c r="W4" s="546" t="s">
        <v>251</v>
      </c>
      <c r="X4" s="546" t="s">
        <v>254</v>
      </c>
      <c r="Y4" s="546" t="s">
        <v>255</v>
      </c>
    </row>
    <row r="5" spans="1:25">
      <c r="A5" s="2599" t="s">
        <v>256</v>
      </c>
      <c r="B5" s="2599" t="s">
        <v>257</v>
      </c>
      <c r="C5" s="2600" t="s">
        <v>258</v>
      </c>
      <c r="F5" s="546" t="s">
        <v>155</v>
      </c>
      <c r="H5" s="546" t="s">
        <v>259</v>
      </c>
      <c r="I5" s="546" t="s">
        <v>260</v>
      </c>
      <c r="K5" s="546" t="s">
        <v>261</v>
      </c>
      <c r="L5" s="546" t="s">
        <v>261</v>
      </c>
      <c r="M5" s="546" t="s">
        <v>261</v>
      </c>
      <c r="N5" s="546" t="s">
        <v>261</v>
      </c>
      <c r="O5" s="546" t="s">
        <v>261</v>
      </c>
      <c r="P5" s="546" t="s">
        <v>261</v>
      </c>
      <c r="Q5" s="546" t="s">
        <v>261</v>
      </c>
      <c r="R5" s="546" t="s">
        <v>262</v>
      </c>
      <c r="S5" s="546" t="s">
        <v>261</v>
      </c>
      <c r="T5" s="546" t="s">
        <v>263</v>
      </c>
      <c r="U5" s="546" t="s">
        <v>261</v>
      </c>
      <c r="W5" s="546" t="s">
        <v>261</v>
      </c>
      <c r="X5" s="2604"/>
    </row>
    <row r="6" spans="1:25">
      <c r="A6" s="2599" t="s">
        <v>264</v>
      </c>
      <c r="B6" s="2599" t="s">
        <v>265</v>
      </c>
      <c r="C6" s="864" t="s">
        <v>266</v>
      </c>
      <c r="F6" s="546" t="s">
        <v>259</v>
      </c>
      <c r="H6" s="546" t="s">
        <v>157</v>
      </c>
      <c r="I6" s="546" t="s">
        <v>267</v>
      </c>
      <c r="K6" s="546" t="s">
        <v>268</v>
      </c>
      <c r="L6" s="546" t="s">
        <v>268</v>
      </c>
      <c r="M6" s="546" t="s">
        <v>268</v>
      </c>
      <c r="N6" s="546" t="s">
        <v>268</v>
      </c>
      <c r="O6" s="546" t="s">
        <v>268</v>
      </c>
      <c r="P6" s="546" t="s">
        <v>268</v>
      </c>
      <c r="Q6" s="546" t="s">
        <v>268</v>
      </c>
      <c r="R6" s="546" t="s">
        <v>269</v>
      </c>
      <c r="S6" s="546" t="s">
        <v>268</v>
      </c>
      <c r="T6" s="546"/>
      <c r="U6" s="546" t="s">
        <v>268</v>
      </c>
      <c r="W6" s="546" t="s">
        <v>268</v>
      </c>
      <c r="X6" s="2604"/>
    </row>
    <row r="7" spans="1:25">
      <c r="A7" s="2599" t="s">
        <v>270</v>
      </c>
      <c r="B7" s="2601" t="s">
        <v>271</v>
      </c>
      <c r="C7" s="2600" t="s">
        <v>272</v>
      </c>
      <c r="F7" s="546" t="s">
        <v>273</v>
      </c>
      <c r="H7" s="546" t="s">
        <v>155</v>
      </c>
      <c r="I7" s="546" t="s">
        <v>274</v>
      </c>
      <c r="X7" s="2604"/>
    </row>
    <row r="8" spans="1:25">
      <c r="A8" s="2599" t="s">
        <v>275</v>
      </c>
      <c r="B8" s="2601" t="s">
        <v>276</v>
      </c>
      <c r="C8" s="2600" t="s">
        <v>277</v>
      </c>
      <c r="F8" s="546" t="s">
        <v>278</v>
      </c>
      <c r="H8" s="546" t="s">
        <v>279</v>
      </c>
      <c r="I8" s="546" t="s">
        <v>280</v>
      </c>
      <c r="X8" s="2604"/>
    </row>
    <row r="9" spans="1:25">
      <c r="A9" s="2599" t="s">
        <v>281</v>
      </c>
      <c r="B9" s="2599" t="s">
        <v>282</v>
      </c>
      <c r="C9" s="2600" t="s">
        <v>283</v>
      </c>
      <c r="F9" s="546" t="s">
        <v>157</v>
      </c>
      <c r="H9" s="546" t="s">
        <v>284</v>
      </c>
    </row>
    <row r="10" spans="1:25">
      <c r="A10" s="2599" t="s">
        <v>285</v>
      </c>
      <c r="B10" s="2599" t="s">
        <v>286</v>
      </c>
      <c r="C10" s="2600" t="s">
        <v>287</v>
      </c>
      <c r="F10" s="546" t="s">
        <v>121</v>
      </c>
    </row>
    <row r="11" spans="1:25">
      <c r="A11" s="2599" t="s">
        <v>288</v>
      </c>
      <c r="B11" s="2599" t="s">
        <v>289</v>
      </c>
      <c r="C11" s="2600" t="s">
        <v>290</v>
      </c>
    </row>
    <row r="12" spans="1:25">
      <c r="A12" s="2599" t="s">
        <v>291</v>
      </c>
      <c r="B12" s="2599" t="s">
        <v>292</v>
      </c>
      <c r="C12" s="2600" t="s">
        <v>293</v>
      </c>
    </row>
    <row r="13" spans="1:25">
      <c r="A13" s="2599" t="s">
        <v>294</v>
      </c>
      <c r="B13" s="2599" t="s">
        <v>295</v>
      </c>
      <c r="C13" s="2600" t="s">
        <v>296</v>
      </c>
    </row>
    <row r="14" spans="1:25">
      <c r="A14" s="2599" t="s">
        <v>297</v>
      </c>
      <c r="B14" s="2599" t="s">
        <v>298</v>
      </c>
      <c r="C14" s="2600"/>
    </row>
    <row r="15" spans="1:25">
      <c r="A15" s="2599" t="s">
        <v>299</v>
      </c>
      <c r="B15" s="2599" t="s">
        <v>300</v>
      </c>
      <c r="C15" s="2600"/>
    </row>
    <row r="16" spans="1:25">
      <c r="A16" s="2599" t="s">
        <v>301</v>
      </c>
      <c r="B16" s="2599" t="s">
        <v>302</v>
      </c>
      <c r="C16" s="2600"/>
    </row>
    <row r="17" spans="1:3">
      <c r="A17" s="2599" t="s">
        <v>303</v>
      </c>
      <c r="B17" s="2599" t="s">
        <v>304</v>
      </c>
      <c r="C17" s="2600"/>
    </row>
    <row r="18" spans="1:3">
      <c r="A18" s="2599" t="s">
        <v>305</v>
      </c>
      <c r="B18" s="2599" t="s">
        <v>306</v>
      </c>
      <c r="C18" s="2600"/>
    </row>
    <row r="19" spans="1:3">
      <c r="A19" s="2599" t="s">
        <v>307</v>
      </c>
      <c r="B19" s="2599" t="s">
        <v>308</v>
      </c>
      <c r="C19" s="2600"/>
    </row>
    <row r="20" spans="1:3">
      <c r="A20" s="2599" t="s">
        <v>309</v>
      </c>
      <c r="B20" s="2599" t="s">
        <v>310</v>
      </c>
      <c r="C20" s="2600"/>
    </row>
    <row r="21" spans="1:3">
      <c r="A21" s="2599" t="s">
        <v>259</v>
      </c>
      <c r="B21" s="2599" t="s">
        <v>310</v>
      </c>
      <c r="C21" s="2600"/>
    </row>
    <row r="22" spans="1:3">
      <c r="A22" s="2599" t="s">
        <v>311</v>
      </c>
      <c r="B22" s="2599" t="s">
        <v>310</v>
      </c>
      <c r="C22" s="2600"/>
    </row>
    <row r="23" spans="1:3">
      <c r="A23" s="2599" t="s">
        <v>312</v>
      </c>
      <c r="B23" s="2599" t="s">
        <v>310</v>
      </c>
      <c r="C23" s="2600"/>
    </row>
    <row r="24" spans="1:3">
      <c r="A24" s="2599" t="s">
        <v>313</v>
      </c>
      <c r="B24" s="2599" t="s">
        <v>310</v>
      </c>
      <c r="C24" s="2600"/>
    </row>
    <row r="25" spans="1:3">
      <c r="A25" s="2599" t="s">
        <v>314</v>
      </c>
      <c r="B25" s="2599" t="s">
        <v>310</v>
      </c>
      <c r="C25" s="2600"/>
    </row>
    <row r="26" spans="1:3">
      <c r="A26" s="2599" t="s">
        <v>315</v>
      </c>
      <c r="B26" s="2599" t="s">
        <v>310</v>
      </c>
      <c r="C26" s="2600"/>
    </row>
    <row r="27" spans="1:3">
      <c r="A27" s="2599" t="s">
        <v>310</v>
      </c>
      <c r="B27" s="2599" t="s">
        <v>310</v>
      </c>
      <c r="C27" s="2600"/>
    </row>
    <row r="28" spans="1:3">
      <c r="A28" s="2599" t="s">
        <v>310</v>
      </c>
      <c r="B28" s="2599" t="s">
        <v>310</v>
      </c>
      <c r="C28" s="2600"/>
    </row>
    <row r="29" spans="1:3">
      <c r="A29" s="2599" t="s">
        <v>310</v>
      </c>
      <c r="B29" s="2599" t="s">
        <v>310</v>
      </c>
      <c r="C29" s="2600"/>
    </row>
    <row r="30" spans="1:3">
      <c r="A30" s="2599" t="s">
        <v>310</v>
      </c>
      <c r="B30" s="2599" t="s">
        <v>310</v>
      </c>
      <c r="C30" s="2600"/>
    </row>
    <row r="31" spans="1:3">
      <c r="A31" s="2599" t="s">
        <v>310</v>
      </c>
      <c r="B31" s="2599" t="s">
        <v>310</v>
      </c>
      <c r="C31" s="2600"/>
    </row>
    <row r="32" spans="1:3">
      <c r="A32" s="2599" t="s">
        <v>310</v>
      </c>
      <c r="B32" s="2599" t="s">
        <v>310</v>
      </c>
      <c r="C32" s="2600"/>
    </row>
    <row r="33" spans="1:3">
      <c r="A33" s="2599" t="s">
        <v>310</v>
      </c>
      <c r="B33" s="2599" t="s">
        <v>310</v>
      </c>
      <c r="C33" s="2600"/>
    </row>
    <row r="34" spans="1:3">
      <c r="A34" s="2599" t="s">
        <v>310</v>
      </c>
      <c r="B34" s="2599" t="s">
        <v>310</v>
      </c>
      <c r="C34" s="2600"/>
    </row>
    <row r="35" spans="1:3">
      <c r="A35" s="2599" t="s">
        <v>310</v>
      </c>
      <c r="B35" s="2599" t="s">
        <v>310</v>
      </c>
      <c r="C35" s="2600"/>
    </row>
    <row r="36" spans="1:3">
      <c r="A36" s="2599" t="s">
        <v>310</v>
      </c>
      <c r="B36" s="2599" t="s">
        <v>310</v>
      </c>
      <c r="C36" s="2600"/>
    </row>
    <row r="37" spans="1:3">
      <c r="A37" s="2599" t="s">
        <v>310</v>
      </c>
      <c r="B37" s="2599" t="s">
        <v>310</v>
      </c>
      <c r="C37" s="2600"/>
    </row>
    <row r="38" spans="1:3">
      <c r="A38" s="2599" t="s">
        <v>310</v>
      </c>
      <c r="B38" s="2599" t="s">
        <v>310</v>
      </c>
      <c r="C38" s="2600"/>
    </row>
    <row r="39" spans="1:3">
      <c r="A39" s="2599" t="s">
        <v>310</v>
      </c>
      <c r="B39" s="2599" t="s">
        <v>310</v>
      </c>
      <c r="C39" s="2600"/>
    </row>
    <row r="40" spans="1:3">
      <c r="A40" s="2599" t="s">
        <v>310</v>
      </c>
      <c r="B40" s="2599" t="s">
        <v>310</v>
      </c>
      <c r="C40" s="2600"/>
    </row>
    <row r="41" spans="1:3">
      <c r="A41" s="2599" t="s">
        <v>310</v>
      </c>
      <c r="B41" s="2599" t="s">
        <v>310</v>
      </c>
      <c r="C41" s="2600"/>
    </row>
    <row r="42" spans="1:3">
      <c r="A42" s="2599" t="s">
        <v>310</v>
      </c>
      <c r="B42" s="2599" t="s">
        <v>310</v>
      </c>
      <c r="C42" s="2600"/>
    </row>
    <row r="43" spans="1:3">
      <c r="A43" s="2599" t="s">
        <v>310</v>
      </c>
      <c r="B43" s="2599" t="s">
        <v>310</v>
      </c>
      <c r="C43" s="2600"/>
    </row>
    <row r="44" spans="1:3">
      <c r="A44" s="2599" t="s">
        <v>310</v>
      </c>
      <c r="B44" s="2599" t="s">
        <v>310</v>
      </c>
      <c r="C44" s="2600"/>
    </row>
    <row r="45" spans="1:3">
      <c r="A45" s="2599" t="s">
        <v>310</v>
      </c>
      <c r="B45" s="2599" t="s">
        <v>310</v>
      </c>
      <c r="C45" s="2600"/>
    </row>
    <row r="46" spans="1:3">
      <c r="A46" s="2599" t="s">
        <v>310</v>
      </c>
      <c r="B46" s="2599" t="s">
        <v>310</v>
      </c>
      <c r="C46" s="2600"/>
    </row>
    <row r="47" spans="1:3">
      <c r="A47" s="2599" t="s">
        <v>310</v>
      </c>
      <c r="B47" s="2599" t="s">
        <v>310</v>
      </c>
      <c r="C47" s="2600"/>
    </row>
    <row r="48" spans="1:3">
      <c r="A48" s="2599" t="s">
        <v>310</v>
      </c>
      <c r="B48" s="2599" t="s">
        <v>310</v>
      </c>
      <c r="C48" s="2600"/>
    </row>
    <row r="49" spans="1:4">
      <c r="A49" s="2599" t="s">
        <v>310</v>
      </c>
      <c r="B49" s="2599" t="s">
        <v>310</v>
      </c>
      <c r="C49" s="2600"/>
    </row>
    <row r="50" spans="1:4">
      <c r="A50" s="2599" t="s">
        <v>310</v>
      </c>
      <c r="B50" s="2599" t="s">
        <v>310</v>
      </c>
      <c r="C50" s="2600"/>
    </row>
    <row r="51" spans="1:4">
      <c r="A51" s="2602" t="s">
        <v>316</v>
      </c>
      <c r="B51" s="54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4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164" t="s">
        <v>317</v>
      </c>
    </row>
    <row r="52" spans="1:4">
      <c r="A52" s="2602" t="s">
        <v>318</v>
      </c>
      <c r="B52" s="2602" t="s">
        <v>319</v>
      </c>
      <c r="C52" s="545" t="s">
        <v>320</v>
      </c>
      <c r="D52" s="545" t="s">
        <v>321</v>
      </c>
    </row>
    <row r="53" spans="1:4" ht="14.25" customHeight="1">
      <c r="A53" s="2800" t="s">
        <v>322</v>
      </c>
      <c r="B53" s="545" t="s">
        <v>323</v>
      </c>
      <c r="C53" s="54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本次估价的“房地产价值”是指在正常市场情况下，在价值时点2019年6月30日，估价对象规划用途为，假定未设立法定优先受偿款下的房地产市场价值。</v>
      </c>
    </row>
    <row r="54" spans="1:4">
      <c r="A54" s="2800"/>
      <c r="B54" s="545" t="s">
        <v>324</v>
      </c>
      <c r="C54" s="545" t="s">
        <v>325</v>
      </c>
    </row>
    <row r="55" spans="1:4">
      <c r="A55" s="2800"/>
      <c r="B55" s="545" t="s">
        <v>326</v>
      </c>
      <c r="C55" s="545" t="s">
        <v>327</v>
      </c>
    </row>
    <row r="56" spans="1:4">
      <c r="A56" s="2800"/>
      <c r="B56" s="545" t="s">
        <v>328</v>
      </c>
      <c r="C56" s="545" t="s">
        <v>329</v>
      </c>
    </row>
    <row r="57" spans="1:4">
      <c r="A57" s="2800"/>
      <c r="B57" s="545" t="s">
        <v>330</v>
      </c>
      <c r="C57" s="545" t="s">
        <v>331</v>
      </c>
    </row>
    <row r="58" spans="1:4">
      <c r="A58" s="2603"/>
      <c r="B58" s="2604"/>
    </row>
    <row r="59" spans="1:4">
      <c r="A59" s="2603"/>
      <c r="B59" s="2604"/>
    </row>
    <row r="60" spans="1:4">
      <c r="A60" s="2605"/>
      <c r="B60" s="545"/>
    </row>
    <row r="61" spans="1:4">
      <c r="A61" s="2605"/>
      <c r="B61" s="545"/>
    </row>
    <row r="62" spans="1:4">
      <c r="A62" s="2605"/>
      <c r="B62" s="545"/>
    </row>
    <row r="63" spans="1:4">
      <c r="A63" s="2605"/>
      <c r="B63" s="545"/>
    </row>
    <row r="64" spans="1:4">
      <c r="A64" s="2605"/>
      <c r="B64" s="545"/>
    </row>
    <row r="65" spans="1:2">
      <c r="A65" s="2605"/>
      <c r="B65" s="545"/>
    </row>
    <row r="66" spans="1:2">
      <c r="A66" s="2605"/>
      <c r="B66" s="545"/>
    </row>
    <row r="67" spans="1:2">
      <c r="A67" s="2605"/>
      <c r="B67" s="545"/>
    </row>
    <row r="68" spans="1:2">
      <c r="A68" s="2605"/>
      <c r="B68" s="545"/>
    </row>
    <row r="69" spans="1:2">
      <c r="A69" s="2605"/>
      <c r="B69" s="545"/>
    </row>
    <row r="70" spans="1:2">
      <c r="A70" s="2605"/>
      <c r="B70" s="545"/>
    </row>
    <row r="71" spans="1:2">
      <c r="A71" s="2605"/>
      <c r="B71" s="545"/>
    </row>
    <row r="72" spans="1:2">
      <c r="A72" s="2605"/>
      <c r="B72" s="545"/>
    </row>
    <row r="73" spans="1:2">
      <c r="A73" s="2605"/>
      <c r="B73" s="545"/>
    </row>
    <row r="74" spans="1:2">
      <c r="A74" s="2605"/>
      <c r="B74" s="545"/>
    </row>
    <row r="75" spans="1:2">
      <c r="A75" s="2605"/>
      <c r="B75" s="545"/>
    </row>
    <row r="76" spans="1:2">
      <c r="A76" s="2605"/>
      <c r="B76" s="545"/>
    </row>
    <row r="77" spans="1:2">
      <c r="A77" s="2605"/>
      <c r="B77" s="545"/>
    </row>
    <row r="78" spans="1:2">
      <c r="A78" s="2605"/>
      <c r="B78" s="545"/>
    </row>
    <row r="79" spans="1:2">
      <c r="A79" s="2605"/>
      <c r="B79" s="545"/>
    </row>
    <row r="80" spans="1:2">
      <c r="A80" s="2605"/>
      <c r="B80" s="545"/>
    </row>
    <row r="81" spans="1:2">
      <c r="A81" s="2605"/>
      <c r="B81" s="545"/>
    </row>
    <row r="82" spans="1:2">
      <c r="A82" s="2605"/>
      <c r="B82" s="545"/>
    </row>
    <row r="83" spans="1:2">
      <c r="A83" s="2605"/>
      <c r="B83" s="545"/>
    </row>
    <row r="84" spans="1:2">
      <c r="A84" s="2605"/>
      <c r="B84" s="545"/>
    </row>
    <row r="85" spans="1:2">
      <c r="A85" s="2605"/>
      <c r="B85" s="545"/>
    </row>
    <row r="86" spans="1:2">
      <c r="A86" s="2605"/>
      <c r="B86" s="545"/>
    </row>
    <row r="87" spans="1:2">
      <c r="A87" s="2605"/>
      <c r="B87" s="545"/>
    </row>
    <row r="88" spans="1:2">
      <c r="A88" s="2605"/>
      <c r="B88" s="545"/>
    </row>
    <row r="89" spans="1:2">
      <c r="A89" s="2605"/>
      <c r="B89" s="545"/>
    </row>
    <row r="90" spans="1:2">
      <c r="A90" s="2605"/>
      <c r="B90" s="545"/>
    </row>
    <row r="91" spans="1:2">
      <c r="A91" s="2605"/>
      <c r="B91" s="545"/>
    </row>
    <row r="92" spans="1:2">
      <c r="A92" s="2605"/>
      <c r="B92" s="545"/>
    </row>
    <row r="93" spans="1:2">
      <c r="A93" s="2605"/>
      <c r="B93" s="545"/>
    </row>
    <row r="94" spans="1:2">
      <c r="A94" s="2605"/>
      <c r="B94" s="545"/>
    </row>
    <row r="95" spans="1:2">
      <c r="A95" s="2605"/>
      <c r="B95" s="545"/>
    </row>
    <row r="96" spans="1:2">
      <c r="A96" s="2605"/>
      <c r="B96" s="545"/>
    </row>
    <row r="97" spans="1:2">
      <c r="A97" s="2605"/>
      <c r="B97" s="545"/>
    </row>
    <row r="98" spans="1:2">
      <c r="A98" s="2605"/>
      <c r="B98" s="545"/>
    </row>
    <row r="99" spans="1:2">
      <c r="A99" s="2605"/>
      <c r="B99" s="545"/>
    </row>
    <row r="100" spans="1:2">
      <c r="A100" s="2605"/>
      <c r="B100" s="545"/>
    </row>
    <row r="101" spans="1:2">
      <c r="A101" s="2605"/>
      <c r="B101" s="545"/>
    </row>
    <row r="102" spans="1:2">
      <c r="A102" s="2605"/>
      <c r="B102" s="545"/>
    </row>
    <row r="103" spans="1:2">
      <c r="A103" s="2605"/>
      <c r="B103" s="545"/>
    </row>
    <row r="104" spans="1:2">
      <c r="A104" s="2605"/>
      <c r="B104" s="545"/>
    </row>
    <row r="105" spans="1:2">
      <c r="A105" s="2605"/>
      <c r="B105" s="545"/>
    </row>
    <row r="106" spans="1:2">
      <c r="A106" s="2605"/>
      <c r="B106" s="545"/>
    </row>
    <row r="107" spans="1:2">
      <c r="A107" s="2605"/>
      <c r="B107" s="545"/>
    </row>
    <row r="108" spans="1:2">
      <c r="A108" s="2605"/>
      <c r="B108" s="545"/>
    </row>
    <row r="109" spans="1:2">
      <c r="A109" s="2605"/>
      <c r="B109" s="545"/>
    </row>
    <row r="110" spans="1:2">
      <c r="A110" s="2605"/>
      <c r="B110" s="545"/>
    </row>
    <row r="111" spans="1:2">
      <c r="A111" s="2605"/>
      <c r="B111" s="545"/>
    </row>
    <row r="112" spans="1:2">
      <c r="A112" s="2605"/>
      <c r="B112" s="545"/>
    </row>
    <row r="113" spans="1:2">
      <c r="A113" s="2605"/>
      <c r="B113" s="545"/>
    </row>
    <row r="114" spans="1:2">
      <c r="A114" s="2605"/>
      <c r="B114" s="545"/>
    </row>
    <row r="115" spans="1:2">
      <c r="A115" s="2605"/>
      <c r="B115" s="545"/>
    </row>
    <row r="116" spans="1:2">
      <c r="A116" s="2605"/>
      <c r="B116" s="545"/>
    </row>
    <row r="117" spans="1:2">
      <c r="A117" s="2605"/>
      <c r="B117" s="545"/>
    </row>
    <row r="118" spans="1:2">
      <c r="A118" s="2605"/>
      <c r="B118" s="545"/>
    </row>
    <row r="119" spans="1:2">
      <c r="A119" s="2605"/>
      <c r="B119" s="545"/>
    </row>
    <row r="120" spans="1:2">
      <c r="A120" s="2605"/>
      <c r="B120" s="545"/>
    </row>
    <row r="121" spans="1:2">
      <c r="A121" s="2605"/>
      <c r="B121" s="545"/>
    </row>
    <row r="122" spans="1:2">
      <c r="A122" s="2605"/>
      <c r="B122" s="545"/>
    </row>
    <row r="123" spans="1:2">
      <c r="A123" s="2605"/>
      <c r="B123" s="545"/>
    </row>
    <row r="124" spans="1:2">
      <c r="A124" s="2605"/>
      <c r="B124" s="545"/>
    </row>
    <row r="125" spans="1:2">
      <c r="A125" s="2605"/>
      <c r="B125" s="545"/>
    </row>
    <row r="126" spans="1:2">
      <c r="A126" s="2605"/>
      <c r="B126" s="545"/>
    </row>
    <row r="127" spans="1:2">
      <c r="A127" s="2605"/>
      <c r="B127" s="545"/>
    </row>
    <row r="128" spans="1:2">
      <c r="A128" s="2605"/>
      <c r="B128" s="545"/>
    </row>
  </sheetData>
  <sheetProtection password="C66D" sheet="1" objects="1" scenarios="1" formatCells="0" formatColumns="0" formatRows="0"/>
  <mergeCells count="1">
    <mergeCell ref="A53:A57"/>
  </mergeCells>
  <phoneticPr fontId="20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比较法-办公</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2017-03-01T09:24:00Z</cp:lastPrinted>
  <dcterms:created xsi:type="dcterms:W3CDTF">2015-07-13T07:17:00Z</dcterms:created>
  <dcterms:modified xsi:type="dcterms:W3CDTF">2019-07-08T02:29:42Z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2052-11.1.0.8812</vt:lpwstr>
  </property>
</Properties>
</file>