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activeTab="15"/>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5" i="31" l="1"/>
  <c r="C12" i="4"/>
  <c r="G7" i="34"/>
  <c r="I37" i="34"/>
  <c r="G37" i="34"/>
  <c r="E60" i="34"/>
  <c r="F60" i="34"/>
  <c r="G60" i="34"/>
  <c r="D60" i="34"/>
  <c r="E37" i="34"/>
  <c r="E20" i="1"/>
  <c r="C37" i="34"/>
  <c r="H20" i="1"/>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B2" i="1"/>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B3" i="34"/>
  <c r="C20" i="9"/>
  <c r="C6" i="15"/>
  <c r="F4" i="61"/>
  <c r="I1" i="61"/>
  <c r="B30" i="1"/>
  <c r="F11" i="15"/>
  <c r="C10" i="15"/>
  <c r="C5" i="15"/>
  <c r="C32" i="15"/>
  <c r="C33" i="15"/>
  <c r="F35" i="15"/>
  <c r="C34" i="15"/>
  <c r="C31" i="15"/>
  <c r="C14" i="15"/>
  <c r="C15" i="15"/>
  <c r="C16" i="15"/>
  <c r="C17" i="15"/>
  <c r="C18" i="15"/>
  <c r="C19" i="15"/>
  <c r="C20" i="15"/>
  <c r="D5" i="61"/>
  <c r="G1" i="61"/>
  <c r="E27" i="1"/>
  <c r="F24" i="15"/>
  <c r="C23" i="15"/>
  <c r="C26" i="15"/>
  <c r="C24" i="15"/>
  <c r="C27" i="15"/>
  <c r="C29" i="15"/>
  <c r="C36" i="15"/>
  <c r="C13" i="15"/>
  <c r="C37" i="15"/>
  <c r="C38" i="15"/>
  <c r="C30" i="15"/>
  <c r="C39" i="15"/>
  <c r="F42" i="15"/>
  <c r="C40" i="15"/>
  <c r="F43" i="15"/>
  <c r="B3" i="15"/>
  <c r="D20" i="9"/>
  <c r="G20" i="9"/>
  <c r="R27" i="31"/>
  <c r="C36" i="31"/>
  <c r="R36" i="31"/>
  <c r="C37"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R250" i="31"/>
  <c r="T250" i="31"/>
  <c r="R251" i="31"/>
  <c r="R252" i="31"/>
  <c r="T252" i="31"/>
  <c r="R253" i="31"/>
  <c r="R254" i="31"/>
  <c r="T254" i="31"/>
  <c r="R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E81" i="43"/>
  <c r="B79" i="43"/>
  <c r="C24" i="43"/>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T255" i="31"/>
  <c r="S255" i="31"/>
  <c r="T253" i="31"/>
  <c r="S253" i="31"/>
  <c r="T251" i="31"/>
  <c r="S251" i="31"/>
  <c r="T249" i="31"/>
  <c r="S249" i="31"/>
  <c r="S429" i="31"/>
  <c r="T261" i="31"/>
  <c r="T321"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D125" i="57"/>
  <c r="E124" i="57"/>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J34" i="15"/>
  <c r="Q68" i="15"/>
  <c r="C60" i="15"/>
  <c r="C65" i="15"/>
  <c r="J22" i="15"/>
  <c r="J13" i="15"/>
  <c r="J23" i="15"/>
  <c r="B2" i="11"/>
  <c r="C56" i="11"/>
  <c r="C57" i="11"/>
  <c r="K68" i="39"/>
  <c r="J70" i="39"/>
  <c r="K63" i="40"/>
  <c r="J65" i="40"/>
  <c r="J16" i="15"/>
  <c r="J25" i="15"/>
  <c r="C59" i="15"/>
  <c r="C68" i="15"/>
  <c r="C69" i="15"/>
  <c r="C72" i="15"/>
  <c r="J38" i="15"/>
  <c r="J39" i="15"/>
  <c r="Q67" i="15"/>
  <c r="Q66" i="15"/>
  <c r="K65" i="40"/>
  <c r="L63" i="40"/>
  <c r="K70" i="39"/>
  <c r="L68" i="39"/>
  <c r="C47" i="15"/>
  <c r="L52" i="15"/>
  <c r="C43" i="15"/>
  <c r="Q45" i="15"/>
  <c r="Q51" i="15"/>
  <c r="Q54" i="15"/>
  <c r="Q63" i="15"/>
  <c r="J41" i="15"/>
  <c r="L70" i="39"/>
  <c r="M68" i="39"/>
  <c r="L65" i="40"/>
  <c r="M63" i="40"/>
  <c r="J42" i="15"/>
  <c r="D35" i="9"/>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R29" i="31"/>
  <c r="R32" i="31"/>
  <c r="S27" i="31"/>
  <c r="R34" i="31"/>
  <c r="R31" i="31"/>
  <c r="T27" i="31"/>
  <c r="R30" i="31"/>
  <c r="R33" i="31"/>
  <c r="R28" i="31"/>
  <c r="R35" i="31"/>
  <c r="J7" i="39"/>
  <c r="F7" i="39"/>
  <c r="H7" i="39"/>
  <c r="F7" i="40"/>
  <c r="J7" i="40"/>
  <c r="H7" i="40"/>
  <c r="S28" i="31"/>
  <c r="T28" i="31"/>
  <c r="S30" i="31"/>
  <c r="T30" i="31"/>
  <c r="S31" i="31"/>
  <c r="T31" i="31"/>
  <c r="T29" i="31"/>
  <c r="S29" i="31"/>
  <c r="S35" i="31"/>
  <c r="T35" i="31"/>
  <c r="S33" i="31"/>
  <c r="T33" i="31"/>
  <c r="S34" i="31"/>
  <c r="T34" i="31"/>
  <c r="S32" i="31"/>
  <c r="T32" i="31"/>
  <c r="U7" i="40"/>
  <c r="AB7" i="40"/>
  <c r="T42" i="40"/>
  <c r="G42" i="40"/>
  <c r="AA7" i="40"/>
  <c r="R42" i="40"/>
  <c r="S7" i="40"/>
  <c r="S7" i="39"/>
  <c r="AA7" i="39"/>
  <c r="R47" i="39"/>
  <c r="W7" i="40"/>
  <c r="AC7" i="40"/>
  <c r="V42" i="40"/>
  <c r="I42" i="40"/>
  <c r="AB7" i="39"/>
  <c r="T47" i="39"/>
  <c r="G47" i="39"/>
  <c r="G51" i="39"/>
  <c r="H51" i="39"/>
  <c r="U7" i="39"/>
  <c r="W7" i="39"/>
  <c r="AC7" i="39"/>
  <c r="V47" i="39"/>
  <c r="I47" i="39"/>
  <c r="T25" i="31"/>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D4" i="52"/>
  <c r="B37" i="60"/>
  <c r="F121" i="9"/>
  <c r="F4" i="52"/>
  <c r="B40" i="60"/>
  <c r="H121" i="9"/>
  <c r="N62" i="57"/>
  <c r="N61" i="57"/>
  <c r="H4" i="52"/>
  <c r="D14" i="62"/>
  <c r="D122" i="9"/>
  <c r="D5" i="52"/>
  <c r="B39" i="60"/>
  <c r="E121" i="9"/>
  <c r="E4" i="52"/>
  <c r="B38" i="60"/>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<sst xmlns="http://schemas.openxmlformats.org/spreadsheetml/2006/main" count="6875" uniqueCount="2898">
  <si>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</si>
  <si>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</si>
  <si>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</si>
  <si>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</si>
  <si>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</si>
  <si>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</si>
  <si>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</si>
  <si>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</si>
  <si>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</si>
  <si>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</si>
  <si>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</si>
  <si>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</si>
  <si>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</si>
  <si>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</si>
  <si>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</si>
  <si>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</si>
  <si>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</si>
  <si>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</si>
  <si>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</si>
  <si>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</si>
  <si>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</si>
  <si>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</si>
  <si>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</si>
  <si>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</si>
  <si>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</si>
  <si>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</si>
  <si>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</si>
  <si>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</si>
  <si>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</si>
  <si>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</si>
  <si>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</si>
  <si>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</si>
  <si>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</si>
  <si>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</si>
  <si>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</si>
  <si>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</si>
  <si>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</si>
  <si>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</si>
  <si>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</si>
  <si>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</si>
  <si>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</si>
  <si>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</si>
  <si>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</si>
  <si>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</si>
  <si>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</si>
  <si>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</si>
  <si>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</si>
  <si>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</si>
  <si>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</si>
  <si>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</si>
  <si>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</si>
  <si>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</si>
  <si>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</si>
  <si>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</si>
  <si>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</si>
  <si>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</si>
  <si>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</si>
  <si>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</si>
  <si>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</si>
  <si>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</si>
  <si>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</si>
  <si>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</si>
  <si>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</si>
  <si>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</si>
  <si>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</si>
  <si>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</si>
  <si>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</si>
  <si>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</si>
  <si>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</si>
  <si>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</si>
  <si>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</si>
  <si>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</si>
  <si>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</si>
  <si>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</si>
  <si>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</si>
  <si>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</si>
  <si>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</si>
  <si>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</si>
  <si>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</si>
  <si>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</si>
  <si>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</si>
  <si>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</si>
  <si>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</si>
  <si>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</si>
  <si>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</si>
  <si>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</si>
  <si>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</si>
  <si>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</si>
  <si>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</si>
  <si>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</si>
  <si>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</si>
  <si>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</si>
  <si>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</si>
  <si>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</si>
  <si>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</si>
  <si>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</si>
  <si>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</si>
  <si>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</si>
  <si>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</si>
  <si>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</si>
  <si>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</si>
  <si>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</si>
  <si>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</si>
  <si>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</si>
  <si>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</si>
  <si>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</si>
  <si>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</si>
  <si>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</si>
  <si>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</si>
  <si>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</si>
  <si>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</si>
  <si>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</si>
  <si>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</si>
  <si>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</si>
  <si>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</si>
  <si>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</si>
  <si>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</si>
  <si>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</si>
  <si>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</si>
  <si>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</si>
  <si>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</si>
  <si>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</si>
  <si>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</si>
  <si>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</si>
  <si>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</si>
  <si>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</si>
  <si>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</si>
  <si>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</si>
  <si>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</si>
  <si>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</si>
  <si>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</si>
  <si>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</si>
  <si>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</si>
  <si>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</si>
  <si>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</si>
  <si>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</si>
  <si>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</si>
  <si>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</si>
  <si>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</si>
  <si>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</si>
  <si>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</si>
  <si>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</si>
  <si>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</si>
  <si>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</si>
  <si>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</si>
  <si>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</si>
  <si>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</si>
  <si>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</si>
  <si>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</si>
  <si>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</si>
  <si>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</si>
  <si>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</si>
  <si>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</si>
  <si>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</si>
  <si>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</si>
  <si>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</si>
  <si>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</si>
  <si>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</si>
  <si>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</si>
  <si>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</si>
  <si>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</si>
  <si>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</si>
  <si>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</si>
  <si>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</si>
  <si>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</si>
  <si>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</si>
  <si>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</si>
  <si>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</si>
  <si>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</si>
  <si>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</si>
  <si>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</si>
  <si>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</si>
  <si>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</si>
  <si>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</si>
  <si>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</si>
  <si>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</si>
  <si>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</si>
  <si>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</si>
  <si>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</si>
  <si>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</si>
  <si>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</si>
  <si>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</si>
  <si>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</si>
  <si>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</si>
  <si>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</si>
  <si>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</si>
  <si>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</si>
  <si>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</si>
  <si>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</si>
  <si>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</si>
  <si>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</si>
  <si>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</si>
  <si>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</si>
  <si>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</si>
  <si>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</si>
  <si>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</si>
  <si>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</si>
  <si>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</si>
  <si>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</si>
  <si>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</si>
  <si>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</si>
  <si>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</si>
  <si>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</si>
  <si>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</si>
  <si>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</si>
  <si>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</si>
  <si>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</si>
  <si>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</si>
  <si>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</si>
  <si>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</si>
  <si>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</si>
  <si>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</si>
  <si>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</si>
  <si>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</si>
  <si>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</si>
  <si>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</si>
  <si>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</si>
  <si>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</si>
  <si>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</si>
  <si>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</si>
  <si>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</si>
  <si>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</si>
  <si>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</si>
  <si>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</si>
  <si>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</si>
  <si>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</si>
  <si>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</si>
  <si>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</si>
  <si>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</si>
  <si>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</si>
  <si>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</si>
  <si>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</si>
  <si>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</si>
  <si>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</si>
  <si>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</si>
  <si>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</si>
  <si>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</si>
  <si>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</si>
  <si>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</si>
  <si>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</si>
  <si>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</si>
  <si>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</si>
  <si>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</si>
  <si>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</si>
  <si>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</si>
  <si>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</si>
  <si>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</si>
  <si>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</si>
  <si>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</si>
  <si>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</si>
  <si>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</si>
  <si>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</si>
  <si>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</si>
  <si>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</si>
  <si>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</si>
  <si>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</si>
  <si>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</si>
  <si>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</si>
  <si>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</si>
  <si>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</si>
  <si>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</si>
  <si>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</si>
  <si>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</si>
  <si>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</si>
  <si>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</si>
  <si>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</si>
  <si>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</si>
  <si>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</si>
  <si>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</si>
  <si>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</si>
  <si>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</si>
  <si>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</si>
  <si>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</si>
  <si>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</si>
  <si>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</si>
  <si>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</si>
  <si>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</si>
  <si>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</si>
  <si>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</si>
  <si>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</si>
  <si>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</si>
  <si>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</si>
  <si>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</si>
  <si>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</si>
  <si>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</si>
  <si>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</si>
  <si>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</si>
  <si>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</si>
  <si>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</si>
  <si>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</si>
  <si>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</si>
  <si>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</si>
  <si>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</si>
  <si>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</si>
  <si>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</si>
  <si>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</si>
  <si>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</si>
  <si>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</si>
  <si>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</si>
  <si>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</si>
  <si>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</si>
  <si>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</si>
  <si>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</si>
  <si>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</si>
  <si>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</si>
  <si>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</si>
  <si>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</si>
  <si>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</si>
  <si>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</si>
  <si>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</si>
  <si>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</si>
  <si>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</si>
  <si>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</si>
  <si>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</si>
  <si>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</si>
  <si>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</si>
  <si>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</si>
  <si>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</si>
  <si>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</si>
  <si>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</si>
  <si>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</si>
  <si>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</si>
  <si>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</si>
  <si>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</si>
  <si>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</si>
  <si>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</si>
  <si>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</si>
  <si>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</si>
  <si>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</si>
  <si>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</si>
  <si>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</si>
  <si>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</si>
  <si>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</si>
  <si>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</si>
  <si>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</si>
  <si>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</si>
  <si>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</si>
  <si>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</si>
  <si>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</si>
  <si>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</si>
  <si>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</si>
  <si>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</si>
  <si>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</si>
  <si>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</si>
  <si>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</si>
  <si>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</si>
  <si>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</si>
  <si>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</si>
  <si>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</si>
  <si>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</si>
  <si>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</si>
  <si>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</si>
  <si>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</si>
  <si>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</si>
  <si>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</si>
  <si>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</si>
  <si>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</si>
  <si>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</si>
  <si>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</si>
  <si>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</si>
  <si>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</si>
  <si>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</si>
  <si>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</si>
  <si>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</si>
  <si>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</si>
  <si>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</si>
  <si>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</si>
  <si>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</si>
  <si>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</si>
  <si>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</si>
  <si>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</si>
  <si>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</si>
  <si>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</si>
  <si>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</si>
  <si>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</si>
  <si>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</si>
  <si>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</si>
  <si>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</si>
  <si>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</si>
  <si>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</si>
  <si>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</si>
  <si>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</si>
  <si>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</si>
  <si>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</si>
  <si>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</si>
  <si>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</si>
  <si>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</si>
  <si>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</si>
  <si>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</si>
  <si>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</si>
  <si>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</si>
  <si>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</si>
  <si>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</si>
  <si>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</si>
  <si>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</si>
  <si>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</si>
  <si>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</si>
  <si>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</si>
  <si>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</si>
  <si>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</si>
  <si>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</si>
  <si>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</si>
  <si>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</si>
  <si>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</si>
  <si>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</si>
  <si>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</si>
  <si>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</si>
  <si>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</si>
  <si>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</si>
  <si>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</si>
  <si>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</si>
  <si>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</si>
  <si>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</si>
  <si>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</si>
  <si>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</si>
  <si>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</si>
  <si>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</si>
  <si>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</si>
  <si>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</si>
  <si>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</si>
  <si>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</si>
  <si>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</si>
  <si>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</si>
  <si>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</si>
  <si>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</si>
  <si>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</si>
  <si>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</si>
  <si>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</si>
  <si>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</si>
  <si>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</si>
  <si>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</si>
  <si>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</si>
  <si>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</si>
  <si>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</si>
  <si>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</si>
  <si>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</si>
  <si>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</si>
  <si>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</si>
  <si>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</si>
  <si>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</si>
  <si>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</si>
  <si>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</si>
  <si>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</si>
  <si>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</si>
  <si>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</si>
  <si>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</si>
  <si>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</si>
  <si>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</si>
  <si>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</si>
  <si>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</si>
  <si>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</si>
  <si>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</si>
  <si>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</si>
  <si>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</si>
  <si>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</si>
  <si>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</si>
  <si>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</si>
  <si>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</si>
  <si>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</si>
  <si>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</si>
  <si>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</si>
  <si>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</si>
  <si>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</si>
  <si>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</si>
  <si>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</si>
  <si>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</si>
  <si>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</si>
  <si>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</si>
  <si>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</si>
  <si>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</si>
  <si>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</si>
  <si>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</si>
  <si>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</si>
  <si>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</si>
  <si>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</si>
  <si>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</si>
  <si>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</si>
  <si>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</si>
  <si>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</si>
  <si>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</si>
  <si>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</si>
  <si>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</si>
  <si>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</si>
  <si>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</si>
  <si>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</si>
  <si>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</si>
  <si>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</si>
  <si>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</si>
  <si>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</si>
  <si>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</si>
  <si>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</si>
  <si>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</si>
  <si>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</si>
  <si>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</si>
  <si>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</si>
  <si>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</si>
  <si>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</si>
  <si>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</si>
  <si>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</si>
  <si>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</si>
  <si>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</si>
  <si>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</si>
  <si>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</si>
  <si>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</si>
  <si>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</si>
  <si>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</si>
  <si>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</si>
  <si>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</si>
  <si>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</si>
  <si>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</si>
  <si>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</si>
  <si>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</si>
  <si>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</si>
  <si>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</si>
  <si>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</si>
  <si>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</si>
  <si>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</si>
  <si>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</si>
  <si>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</si>
  <si>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</si>
  <si>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</si>
  <si>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</si>
  <si>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</si>
  <si>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</si>
  <si>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</si>
  <si>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</si>
  <si>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</si>
  <si>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</si>
  <si>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</si>
  <si>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</si>
  <si>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</si>
  <si>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</si>
  <si>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</si>
  <si>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</si>
  <si>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</si>
  <si>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</si>
  <si>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</si>
  <si>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</si>
  <si>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</si>
  <si>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</si>
  <si>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</si>
  <si>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</si>
  <si>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</si>
  <si>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</si>
  <si>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</si>
  <si>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</si>
  <si>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</si>
  <si>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</si>
  <si>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</si>
  <si>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</si>
  <si>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</si>
  <si>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</si>
  <si>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</si>
  <si>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</si>
  <si>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</si>
  <si>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</si>
  <si>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</si>
  <si>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</si>
  <si>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</si>
  <si>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</si>
  <si>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</si>
  <si>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</si>
  <si>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</si>
  <si>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</si>
  <si>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</si>
  <si>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</si>
  <si>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</si>
  <si>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</si>
  <si>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</si>
  <si>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</si>
  <si>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</si>
  <si>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</si>
  <si>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</si>
  <si>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</si>
  <si>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</si>
  <si>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</si>
  <si>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</si>
  <si>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</si>
  <si>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</si>
  <si>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</si>
  <si>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</si>
  <si>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</si>
  <si>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</si>
  <si>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</si>
  <si>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</si>
  <si>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</si>
  <si>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</si>
  <si>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</si>
  <si>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</si>
  <si>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</si>
  <si>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</si>
  <si>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</si>
  <si>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</si>
  <si>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</si>
  <si>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</si>
  <si>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</si>
  <si>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</si>
  <si>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</si>
  <si>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</si>
  <si>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</si>
  <si>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</si>
  <si>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</si>
  <si>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</si>
  <si>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</si>
  <si>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</si>
  <si>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</si>
  <si>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</si>
  <si>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</si>
  <si>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</si>
  <si>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</si>
  <si>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</si>
  <si>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</si>
  <si>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</si>
  <si>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</si>
  <si>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</si>
  <si>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</si>
  <si>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</si>
  <si>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</si>
  <si>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</si>
  <si>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</si>
  <si>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</si>
  <si>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</si>
  <si>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</si>
  <si>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</si>
  <si>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</si>
  <si>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</si>
  <si>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</si>
  <si>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</si>
  <si>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</si>
  <si>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</si>
  <si>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</si>
  <si>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</si>
  <si>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</si>
  <si>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</si>
  <si>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</si>
  <si>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</si>
  <si>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</si>
  <si>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</si>
  <si>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</si>
  <si>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</si>
  <si>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</si>
  <si>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</si>
  <si>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</si>
  <si>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</si>
  <si>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</si>
  <si>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</si>
  <si>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</si>
  <si>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</si>
  <si>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</si>
  <si>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</si>
  <si>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</si>
  <si>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</si>
  <si>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</si>
  <si>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</si>
  <si>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</si>
  <si>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</si>
  <si>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</si>
  <si>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</si>
  <si>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</si>
  <si>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</si>
  <si>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</si>
  <si>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</si>
  <si>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</si>
  <si>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</si>
  <si>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</si>
  <si>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</si>
  <si>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</si>
  <si>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</si>
  <si>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</si>
  <si>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</si>
  <si>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</si>
  <si>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</si>
  <si>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</si>
  <si>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</si>
  <si>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</si>
  <si>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</si>
  <si>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</si>
  <si>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</si>
  <si>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</si>
  <si>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</si>
  <si>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</si>
  <si>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</si>
  <si>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</si>
  <si>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</si>
  <si>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</si>
  <si>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</si>
  <si>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</si>
  <si>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</si>
  <si>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</si>
  <si>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</si>
  <si>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</si>
  <si>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</si>
  <si>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</si>
  <si>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</si>
  <si>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</si>
  <si>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</si>
  <si>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</si>
  <si>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</si>
  <si>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</si>
  <si>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</si>
  <si>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</si>
  <si>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</si>
  <si>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</si>
  <si>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</si>
  <si>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</si>
  <si>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</si>
  <si>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</si>
  <si>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</si>
  <si>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</si>
  <si>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</si>
  <si>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</si>
  <si>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</si>
  <si>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</si>
  <si>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</si>
  <si>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</si>
  <si>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</si>
  <si>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</si>
  <si>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</si>
  <si>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</si>
  <si>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</si>
  <si>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</si>
  <si>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</si>
  <si>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</si>
  <si>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</si>
  <si>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</si>
  <si>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</si>
  <si>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</si>
  <si>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</si>
  <si>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</si>
  <si>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</si>
  <si>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</si>
  <si>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</si>
  <si>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</si>
  <si>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</si>
  <si>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</si>
  <si>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</si>
  <si>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</si>
  <si>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</si>
  <si>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</si>
  <si>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</si>
  <si>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</si>
  <si>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</si>
  <si>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</si>
  <si>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</si>
  <si>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</si>
  <si>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</si>
  <si>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</si>
  <si>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</si>
  <si>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</si>
  <si>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</si>
  <si>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</si>
  <si>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</si>
  <si>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</si>
  <si>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</si>
  <si>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</si>
  <si>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</si>
  <si>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</si>
  <si>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</si>
  <si>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</si>
  <si>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</si>
  <si>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</si>
  <si>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</si>
  <si>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</si>
  <si>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</si>
  <si>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</si>
  <si>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</si>
  <si>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</si>
  <si>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</si>
  <si>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</si>
  <si>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</si>
  <si>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</si>
  <si>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</si>
  <si>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</si>
  <si>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</si>
  <si>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</si>
  <si>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</si>
  <si>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</si>
  <si>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</si>
  <si>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</si>
  <si>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</si>
  <si>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</si>
  <si>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</si>
  <si>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</si>
  <si>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</si>
  <si>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</si>
  <si>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</si>
  <si>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</si>
  <si>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</si>
  <si>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</si>
  <si>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</si>
  <si>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</si>
  <si>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</si>
  <si>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</si>
  <si>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</si>
  <si>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</si>
  <si>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</si>
  <si>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</si>
  <si>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</si>
  <si>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</si>
  <si>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</si>
  <si>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</si>
  <si>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</si>
  <si>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</si>
  <si>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</si>
  <si>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</si>
  <si>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</si>
  <si>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</si>
  <si>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</si>
  <si>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</si>
  <si>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</si>
  <si>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</si>
  <si>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</si>
  <si>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</si>
  <si>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</si>
  <si>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</si>
  <si>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</si>
  <si>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</si>
  <si>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</si>
  <si>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</si>
  <si>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</si>
  <si>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</si>
  <si>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</si>
  <si>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</si>
  <si>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</si>
  <si>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</si>
  <si>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</si>
  <si>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</si>
  <si>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</si>
  <si>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</si>
  <si>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</si>
  <si>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</si>
  <si>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</si>
  <si>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</si>
  <si>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</si>
  <si>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</si>
  <si>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</si>
  <si>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</si>
  <si>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</si>
  <si>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</si>
  <si>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</si>
  <si>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</si>
  <si>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</si>
  <si>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</si>
  <si>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</si>
  <si>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</si>
  <si>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</si>
  <si>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</si>
  <si>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</si>
  <si>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</si>
  <si>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</si>
  <si>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</si>
  <si>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</si>
  <si>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</si>
  <si>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</si>
  <si>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</si>
  <si>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</si>
  <si>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</si>
  <si>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</si>
  <si>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</si>
  <si>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</si>
  <si>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</si>
  <si>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</si>
  <si>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</si>
  <si>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</si>
  <si>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</si>
  <si>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</si>
  <si>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</si>
  <si>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</si>
  <si>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</si>
  <si>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</si>
  <si>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</si>
  <si>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</si>
  <si>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</si>
  <si>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</si>
  <si>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</si>
  <si>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</si>
  <si>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</si>
  <si>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</si>
  <si>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</si>
  <si>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</si>
  <si>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</si>
  <si>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</si>
  <si>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</si>
  <si>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</si>
  <si>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</si>
  <si>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</si>
  <si>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</si>
  <si>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</si>
  <si>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</si>
  <si>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</si>
  <si>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</si>
  <si>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</si>
  <si>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</si>
  <si>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</si>
  <si>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</si>
  <si>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</si>
  <si>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</si>
  <si>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</si>
  <si>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</si>
  <si>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</si>
  <si>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</si>
  <si>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</si>
  <si>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</si>
  <si>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</si>
  <si>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</si>
  <si>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</si>
  <si>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</si>
  <si>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</si>
  <si>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</si>
  <si>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</si>
  <si>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</si>
  <si>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</si>
  <si>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</si>
  <si>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</si>
  <si>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</si>
  <si>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</si>
  <si>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</si>
  <si>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</si>
  <si>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</si>
  <si>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</si>
  <si>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</si>
  <si>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</si>
  <si>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</si>
  <si>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</si>
  <si>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</si>
  <si>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</si>
  <si>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</si>
  <si>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</si>
  <si>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</si>
  <si>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</si>
  <si>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</si>
  <si>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</si>
  <si>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</si>
  <si>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</si>
  <si>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</si>
  <si>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</si>
  <si>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</si>
  <si>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</si>
  <si>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</si>
  <si>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</si>
  <si>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</si>
  <si>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</si>
  <si>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</si>
  <si>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</si>
  <si>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</si>
  <si>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</si>
  <si>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</si>
  <si>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</si>
  <si>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</si>
  <si>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</si>
  <si>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</si>
  <si>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</si>
  <si>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</si>
  <si>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</si>
  <si>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</si>
  <si>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</si>
  <si>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</si>
  <si>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</si>
  <si>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</si>
  <si>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</si>
  <si>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</si>
  <si>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</si>
  <si>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</si>
  <si>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</si>
  <si>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</si>
  <si>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</si>
  <si>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</si>
  <si>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</si>
  <si>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</si>
  <si>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</si>
  <si>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</si>
  <si>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</si>
  <si>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</si>
  <si>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</si>
  <si>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</si>
  <si>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</si>
  <si>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</si>
  <si>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</si>
  <si>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</si>
  <si>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</si>
  <si>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</si>
  <si>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</si>
  <si>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</si>
  <si>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</si>
  <si>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</si>
  <si>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</si>
  <si>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</si>
  <si>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</si>
  <si>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</si>
  <si>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</si>
  <si>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</si>
  <si>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</si>
  <si>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</si>
  <si>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</si>
  <si>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</si>
  <si>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</si>
  <si>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</si>
  <si>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</si>
  <si>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</si>
  <si>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</si>
  <si>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</si>
  <si>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</si>
  <si>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</si>
  <si>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</si>
  <si>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</si>
  <si>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</si>
  <si>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</si>
  <si>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</si>
  <si>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</si>
  <si>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</si>
  <si>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</si>
  <si>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</si>
  <si>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</si>
  <si>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</si>
  <si>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</si>
  <si>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</si>
  <si>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</si>
  <si>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</si>
  <si>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</si>
  <si>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</si>
  <si>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</si>
  <si>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</si>
  <si>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</si>
  <si>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</si>
  <si>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</si>
  <si>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</si>
  <si>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</si>
  <si>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</si>
  <si>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</si>
  <si>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</si>
  <si>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</si>
  <si>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</si>
  <si>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</si>
  <si>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</si>
  <si>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</si>
  <si>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</si>
  <si>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</si>
  <si>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</si>
  <si>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</si>
  <si>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</si>
  <si>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</si>
  <si>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</si>
  <si>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</si>
  <si>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</si>
  <si>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</si>
  <si>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</si>
  <si>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</si>
  <si>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</si>
  <si>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</si>
  <si>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</si>
  <si>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</si>
  <si>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</si>
  <si>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</si>
  <si>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</si>
  <si>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</si>
  <si>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</si>
  <si>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</si>
  <si>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</si>
  <si>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</si>
  <si>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</si>
  <si>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</si>
  <si>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</si>
  <si>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</si>
  <si>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</si>
  <si>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</si>
  <si>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</si>
  <si>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</si>
  <si>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</si>
  <si>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</si>
  <si>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</si>
  <si>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</si>
  <si>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</si>
  <si>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</si>
  <si>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</si>
  <si>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</si>
  <si>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</si>
  <si>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</si>
  <si>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</si>
  <si>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</si>
  <si>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</si>
  <si>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</si>
  <si>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</si>
  <si>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</si>
  <si>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</si>
  <si>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</si>
  <si>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</si>
  <si>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</si>
  <si>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</si>
  <si>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</si>
  <si>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</si>
  <si>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</si>
  <si>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</si>
  <si>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</si>
  <si>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</si>
  <si>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</si>
  <si>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</si>
  <si>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</si>
  <si>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</si>
  <si>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</si>
  <si>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</si>
  <si>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</si>
  <si>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</si>
  <si>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</si>
  <si>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</si>
  <si>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</si>
  <si>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</si>
  <si>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</si>
  <si>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</si>
  <si>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</si>
  <si>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</si>
  <si>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</si>
  <si>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</si>
  <si>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</si>
  <si>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</si>
  <si>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</si>
  <si>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</si>
  <si>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</si>
  <si>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</si>
  <si>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</si>
  <si>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</si>
  <si>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</si>
  <si>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</si>
  <si>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</si>
  <si>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</si>
  <si>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</si>
  <si>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</si>
  <si>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</si>
  <si>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</si>
  <si>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</si>
  <si>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</si>
  <si>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</si>
  <si>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</si>
  <si>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</si>
  <si>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</si>
  <si>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</si>
  <si>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</si>
  <si>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</si>
  <si>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</si>
  <si>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</si>
  <si>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</si>
  <si>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</si>
  <si>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</si>
  <si>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</si>
  <si>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</si>
  <si>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</si>
  <si>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</si>
  <si>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</si>
  <si>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</si>
  <si>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</si>
  <si>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</si>
  <si>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</si>
  <si>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</si>
  <si>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</si>
  <si>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</si>
  <si>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</si>
  <si>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</si>
  <si>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</si>
  <si>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</si>
  <si>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</si>
  <si>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</si>
  <si>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</si>
  <si>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</si>
  <si>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</si>
  <si>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</si>
  <si>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</si>
  <si>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</si>
  <si>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</si>
  <si>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</si>
  <si>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</si>
  <si>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</si>
  <si>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</si>
  <si>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</si>
  <si>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</si>
  <si>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</si>
  <si>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</si>
  <si>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</si>
  <si>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</si>
  <si>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</si>
  <si>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</si>
  <si>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</si>
  <si>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</si>
  <si>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</si>
  <si>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</si>
  <si>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</si>
  <si>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</si>
  <si>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</si>
  <si>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</si>
  <si>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</si>
  <si>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</si>
  <si>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</si>
  <si>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</si>
  <si>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</si>
  <si>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</si>
  <si>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</si>
  <si>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</si>
  <si>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</si>
  <si>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</si>
  <si>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</si>
  <si>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</si>
  <si>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</si>
  <si>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</si>
  <si>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</si>
  <si>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</si>
  <si>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</si>
  <si>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</si>
  <si>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</si>
  <si>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</si>
  <si>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</si>
  <si>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</si>
  <si>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</si>
  <si>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</si>
  <si>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</si>
  <si>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</si>
  <si>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</si>
  <si>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</si>
  <si>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</si>
  <si>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</si>
  <si>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</si>
  <si>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</si>
  <si>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</si>
  <si>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</si>
  <si>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</si>
  <si>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</si>
  <si>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</si>
  <si>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</si>
  <si>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</si>
  <si>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</si>
  <si>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</si>
  <si>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</si>
  <si>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</si>
  <si>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</si>
  <si>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</si>
  <si>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</si>
  <si>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</si>
  <si>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</si>
  <si>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</si>
  <si>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</si>
  <si>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</si>
  <si>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</si>
  <si>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</si>
  <si>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</si>
  <si>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</si>
  <si>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</si>
  <si>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</si>
  <si>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</si>
  <si>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</si>
  <si>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</si>
  <si>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</si>
  <si>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</si>
  <si>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</si>
  <si>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</si>
  <si>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</si>
  <si>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</si>
  <si>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</si>
  <si>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</si>
  <si>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</si>
  <si>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</si>
  <si>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</si>
  <si>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</si>
  <si>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</si>
  <si>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</si>
  <si>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</si>
  <si>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</si>
  <si>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</si>
  <si>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</si>
  <si>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</si>
  <si>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</si>
  <si>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</si>
  <si>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</si>
  <si>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</si>
  <si>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</si>
  <si>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</si>
  <si>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</si>
  <si>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</si>
  <si>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</si>
  <si>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</si>
  <si>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</si>
  <si>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</si>
  <si>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</si>
  <si>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</si>
  <si>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</si>
  <si>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</si>
  <si>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</si>
  <si>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</si>
  <si>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</si>
  <si>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</si>
  <si>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</si>
  <si>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</si>
  <si>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</si>
  <si>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</si>
  <si>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</si>
  <si>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</si>
  <si>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</si>
  <si>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</si>
  <si>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</si>
  <si>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</si>
  <si>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</si>
  <si>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</si>
  <si>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</si>
  <si>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</si>
  <si>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</si>
  <si>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</si>
  <si>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</si>
  <si>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</si>
  <si>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</si>
  <si>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</si>
  <si>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</si>
  <si>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</si>
  <si>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</si>
  <si>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</si>
  <si>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</si>
  <si>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</si>
  <si>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</si>
  <si>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</si>
  <si>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</si>
  <si>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</si>
  <si>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</si>
  <si>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</si>
  <si>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</si>
  <si>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</si>
  <si>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</si>
  <si>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</si>
  <si>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</si>
  <si>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</si>
  <si>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</si>
  <si>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</si>
  <si>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</si>
  <si>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</si>
  <si>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</si>
  <si>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</si>
  <si>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</si>
  <si>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</si>
  <si>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</si>
  <si>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</si>
  <si>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</si>
  <si>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</si>
  <si>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</si>
  <si>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</si>
  <si>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</si>
  <si>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</si>
  <si>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</si>
  <si>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</si>
  <si>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</si>
  <si>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</si>
  <si>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</si>
  <si>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</si>
  <si>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</si>
  <si>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</si>
  <si>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</si>
  <si>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</si>
  <si>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</si>
  <si>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</si>
  <si>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</si>
  <si>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</si>
  <si>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</si>
  <si>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</si>
  <si>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</si>
  <si>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</si>
  <si>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</si>
  <si>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</si>
  <si>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</si>
  <si>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</si>
  <si>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</si>
  <si>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</si>
  <si>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</si>
  <si>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</si>
  <si>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</si>
  <si>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</si>
  <si>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</si>
  <si>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</si>
  <si>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</si>
  <si>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</si>
  <si>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</si>
  <si>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</si>
  <si>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</si>
  <si>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</si>
  <si>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</si>
  <si>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</si>
  <si>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</si>
  <si>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</si>
  <si>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</si>
  <si>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</si>
  <si>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</si>
  <si>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</si>
  <si>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</si>
  <si>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</si>
  <si>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</si>
  <si>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</si>
  <si>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</si>
  <si>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</si>
  <si>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</si>
  <si>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</si>
  <si>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</si>
  <si>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</si>
  <si>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</si>
  <si>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</si>
  <si>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</si>
  <si>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</si>
  <si>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</si>
  <si>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</si>
  <si>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</si>
  <si>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</si>
  <si>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</si>
  <si>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</si>
  <si>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</si>
  <si>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</si>
  <si>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</si>
  <si>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</si>
  <si>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</si>
  <si>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</si>
  <si>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</si>
  <si>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</si>
  <si>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</si>
  <si>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</si>
  <si>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</si>
  <si>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</si>
  <si>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</si>
  <si>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</si>
  <si>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</si>
  <si>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</si>
  <si>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</si>
  <si>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</si>
  <si>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</si>
  <si>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</si>
  <si>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</si>
  <si>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</si>
  <si>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</si>
  <si>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</si>
  <si>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</si>
  <si>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</si>
  <si>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</si>
  <si>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</si>
  <si>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</si>
  <si>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</si>
  <si>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</si>
  <si>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</si>
  <si>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</si>
  <si>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</si>
  <si>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</si>
  <si>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</si>
  <si>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</si>
  <si>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</si>
  <si>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</si>
  <si>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</si>
  <si>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</si>
  <si>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</si>
  <si>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</si>
  <si>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</si>
  <si>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</si>
  <si>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</si>
  <si>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</si>
  <si>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</si>
  <si>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</si>
  <si>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</si>
  <si>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</si>
  <si>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</si>
  <si>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</si>
  <si>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</si>
  <si>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</si>
  <si>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</si>
  <si>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</si>
  <si>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</si>
  <si>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</si>
  <si>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</si>
  <si>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</si>
  <si>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</si>
  <si>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</si>
  <si>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</si>
  <si>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</si>
  <si>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</si>
  <si>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</si>
  <si>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</si>
  <si>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</si>
  <si>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</si>
  <si>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</si>
  <si>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</si>
  <si>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</si>
  <si>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</si>
  <si>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</si>
  <si>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</si>
  <si>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</si>
  <si>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</si>
  <si>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</si>
  <si>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</si>
  <si>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</si>
  <si>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</si>
  <si>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</si>
  <si>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</si>
  <si>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</si>
  <si>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</si>
  <si>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</si>
  <si>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</si>
  <si>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</si>
  <si>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</si>
  <si>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</si>
  <si>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</si>
  <si>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</si>
  <si>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</si>
  <si>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</si>
  <si>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</si>
  <si>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</si>
  <si>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</si>
  <si>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</si>
  <si>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</si>
  <si>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</si>
  <si>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</si>
  <si>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</si>
  <si>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</si>
  <si>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</si>
  <si>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</si>
  <si>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</si>
  <si>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</si>
  <si>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</si>
  <si>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</si>
  <si>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</si>
  <si>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</si>
  <si>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</si>
  <si>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</si>
  <si>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</si>
  <si>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</si>
  <si>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</si>
  <si>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</si>
  <si>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</si>
  <si>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</si>
  <si>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</si>
  <si>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</si>
  <si>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</si>
  <si>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</si>
  <si>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</si>
  <si>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</si>
  <si>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</si>
  <si>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</si>
  <si>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</si>
  <si>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</si>
  <si>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</si>
  <si>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</si>
  <si>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</si>
  <si>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</si>
  <si>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</si>
  <si>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</si>
  <si>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</si>
  <si>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</si>
  <si>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</si>
  <si>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</si>
  <si>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</si>
  <si>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</si>
  <si>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</si>
  <si>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</si>
  <si>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</si>
  <si>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</si>
  <si>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</si>
  <si>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</si>
  <si>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</si>
  <si>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</si>
  <si>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</si>
  <si>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</si>
  <si>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</si>
  <si>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</si>
  <si>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</si>
  <si>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</si>
  <si>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</si>
  <si>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</si>
  <si>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</si>
  <si>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</si>
  <si>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</si>
  <si>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</si>
  <si>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</si>
  <si>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</si>
  <si>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</si>
  <si>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</si>
  <si>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</si>
  <si>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</si>
  <si>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</si>
  <si>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</si>
  <si>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</si>
  <si>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</si>
  <si>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</si>
  <si>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</si>
  <si>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</si>
  <si>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</si>
  <si>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</si>
  <si>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</si>
  <si>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</si>
  <si>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</si>
  <si>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</si>
  <si>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</si>
  <si>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</si>
  <si>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</si>
  <si>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</si>
  <si>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</si>
  <si>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</si>
  <si>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</si>
  <si>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</si>
  <si>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</si>
  <si>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</si>
  <si>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</si>
  <si>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</si>
  <si>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</si>
  <si>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</si>
  <si>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</si>
  <si>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</si>
  <si>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</si>
  <si>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</si>
  <si>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</si>
  <si>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</si>
  <si>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</si>
  <si>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</si>
  <si>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</si>
  <si>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</si>
  <si>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</si>
  <si>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</si>
  <si>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</si>
  <si>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</si>
  <si>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</si>
  <si>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</si>
  <si>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</si>
  <si>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</si>
  <si>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</si>
  <si>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</si>
  <si>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</si>
  <si>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</si>
  <si>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</si>
  <si>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</si>
  <si>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</si>
  <si>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</si>
  <si>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</si>
  <si>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</si>
  <si>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</si>
  <si>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</si>
  <si>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</si>
  <si>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</si>
  <si>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</si>
  <si>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</si>
  <si>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</si>
  <si>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</si>
  <si>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</si>
  <si>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</si>
  <si>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</si>
  <si>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</si>
  <si>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</si>
  <si>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</si>
  <si>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</si>
  <si>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</si>
  <si>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</si>
  <si>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</si>
  <si>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</si>
  <si>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</si>
  <si>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</si>
  <si>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</si>
  <si>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</si>
  <si>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</si>
  <si>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</si>
  <si>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</si>
  <si>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</si>
  <si>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</si>
  <si>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</si>
  <si>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</si>
  <si>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</si>
  <si>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</si>
  <si>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</si>
  <si>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</si>
  <si>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</si>
  <si>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</si>
  <si>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</si>
  <si>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</si>
  <si>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</si>
  <si>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</si>
  <si>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</si>
  <si>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</si>
  <si>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</si>
  <si>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</si>
  <si>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</si>
  <si>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</si>
  <si>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</si>
  <si>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</si>
  <si>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</si>
  <si>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</si>
  <si>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</si>
  <si>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</si>
  <si>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</si>
  <si>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</si>
  <si>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</si>
  <si>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</si>
  <si>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</si>
  <si>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</si>
  <si>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</si>
  <si>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</si>
  <si>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</si>
  <si>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</si>
  <si>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</si>
  <si>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</si>
  <si>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</si>
  <si>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</si>
  <si>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</si>
  <si>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</si>
  <si>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</si>
  <si>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</si>
  <si>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</si>
  <si>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</si>
  <si>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</si>
  <si>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</si>
  <si>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</si>
  <si>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</si>
  <si>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</si>
  <si>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</si>
  <si>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</si>
  <si>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</si>
  <si>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</si>
  <si>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</si>
  <si>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</si>
  <si>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</si>
  <si>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</si>
  <si>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</si>
  <si>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</si>
  <si>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</si>
  <si>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</si>
  <si>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</si>
  <si>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</si>
  <si>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</si>
  <si>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</si>
  <si>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</si>
  <si>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</si>
  <si>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</si>
  <si>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</si>
  <si>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</si>
  <si>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</si>
  <si>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</si>
  <si>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</si>
  <si>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</si>
  <si>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</si>
  <si>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</si>
  <si>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</si>
  <si>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</si>
  <si>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</si>
  <si>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</si>
  <si>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</si>
  <si>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</si>
  <si>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</si>
  <si>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</si>
  <si>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</si>
  <si>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</si>
  <si>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</si>
  <si>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</si>
  <si>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</si>
  <si>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</si>
  <si>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</si>
  <si>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</si>
  <si>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</si>
  <si>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</si>
  <si>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</si>
  <si>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</si>
  <si>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</si>
  <si>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</si>
  <si>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</si>
  <si>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</si>
  <si>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</si>
  <si>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</si>
  <si>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</si>
  <si>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</si>
  <si>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</si>
  <si>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</si>
  <si>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</si>
  <si>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</si>
  <si>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</si>
  <si>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</si>
  <si>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</si>
  <si>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</si>
  <si>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</si>
  <si>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</si>
  <si>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</si>
  <si>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</si>
  <si>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</si>
  <si>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</si>
  <si>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</si>
  <si>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</si>
  <si>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</si>
  <si>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</si>
  <si>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</si>
  <si>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</si>
  <si>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</si>
  <si>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</si>
  <si>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</si>
  <si>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</si>
  <si>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</si>
  <si>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</si>
  <si>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</si>
  <si>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</si>
  <si>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</si>
  <si>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</si>
  <si>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</si>
  <si>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</si>
  <si>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</si>
  <si>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</si>
  <si>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</si>
  <si>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</si>
  <si>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</si>
  <si>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</si>
  <si>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</si>
  <si>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</si>
  <si>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</si>
  <si>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</si>
  <si>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</si>
  <si>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</si>
  <si>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</si>
  <si>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</si>
  <si>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</si>
  <si>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</si>
  <si>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</si>
  <si>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</si>
  <si>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</si>
  <si>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</si>
  <si>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</si>
  <si>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</si>
  <si>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</si>
  <si>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</si>
  <si>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</si>
  <si>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</si>
  <si>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</si>
  <si>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</si>
  <si>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</si>
  <si>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</si>
  <si>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</si>
  <si>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</si>
  <si>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</si>
  <si>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</si>
  <si>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</si>
  <si>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</si>
  <si>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</si>
  <si>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</si>
  <si>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</si>
  <si>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</si>
  <si>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</si>
  <si>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</si>
  <si>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</si>
  <si>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</si>
  <si>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</si>
  <si>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</si>
  <si>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</si>
  <si>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</si>
  <si>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</si>
  <si>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</si>
  <si>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</si>
  <si>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</si>
  <si>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</si>
  <si>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</si>
  <si>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</si>
  <si>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</si>
  <si>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</si>
  <si>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</si>
  <si>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</si>
  <si>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</si>
  <si>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</si>
  <si>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</si>
  <si>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</si>
  <si>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</si>
  <si>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</si>
  <si>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</si>
  <si>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</si>
  <si>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</si>
  <si>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</si>
  <si>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</si>
  <si>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</si>
  <si>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</si>
  <si>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</si>
  <si>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</si>
  <si>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</si>
  <si>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</si>
  <si>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</si>
  <si>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</si>
  <si>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</si>
  <si>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</si>
  <si>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</si>
  <si>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</si>
  <si>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</si>
  <si>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</si>
  <si>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</si>
  <si>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</si>
  <si>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</si>
  <si>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</si>
  <si>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</si>
  <si>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</si>
  <si>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</si>
  <si>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</si>
  <si>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</si>
  <si>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</si>
  <si>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</si>
  <si>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</si>
  <si>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</si>
  <si>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</si>
  <si>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</si>
  <si>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</si>
  <si>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</si>
  <si>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</si>
  <si>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</si>
  <si>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</si>
  <si>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</si>
  <si>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</si>
  <si>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</si>
  <si>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</si>
  <si>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</si>
  <si>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</si>
  <si>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</si>
  <si>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</si>
  <si>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</si>
  <si>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</si>
  <si>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</si>
  <si>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</si>
  <si>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</si>
  <si>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</si>
  <si>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</si>
  <si>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</si>
  <si>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</si>
  <si>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</si>
  <si>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</si>
  <si>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</si>
  <si>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</si>
  <si>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</si>
  <si>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</si>
  <si>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</si>
  <si>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</si>
  <si>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</si>
  <si>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</si>
  <si>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</si>
  <si>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</si>
  <si>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</si>
  <si>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</si>
  <si>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</si>
  <si>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</si>
  <si>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</si>
  <si>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</si>
  <si>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</si>
  <si>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</si>
  <si>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</si>
  <si>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</si>
  <si>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</si>
  <si>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</si>
  <si>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</si>
  <si>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</si>
  <si>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</si>
  <si>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</si>
  <si>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</si>
  <si>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</si>
  <si>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</si>
  <si>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</si>
  <si>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</si>
  <si>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</si>
  <si>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</si>
  <si>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</si>
  <si>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</si>
  <si>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</si>
  <si>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</si>
  <si>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</si>
  <si>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</si>
  <si>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</si>
  <si>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</si>
  <si>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</si>
  <si>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</si>
  <si>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</si>
  <si>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</si>
  <si>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</si>
  <si>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</si>
  <si>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</si>
  <si>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</si>
  <si>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</si>
  <si>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</si>
  <si>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</si>
  <si>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</si>
  <si>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</si>
  <si>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</si>
  <si>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</si>
  <si>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</si>
  <si>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</si>
  <si>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</si>
  <si>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</si>
  <si>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</si>
  <si>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</si>
  <si>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</si>
  <si>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</si>
  <si>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</si>
  <si>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</si>
  <si>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</si>
  <si>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</si>
  <si>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</si>
  <si>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</si>
  <si>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</si>
  <si>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</si>
  <si>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</si>
  <si>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</si>
  <si>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</si>
  <si>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</si>
  <si>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</si>
  <si>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</si>
  <si>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</si>
  <si>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</si>
  <si>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</si>
  <si>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</si>
  <si>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</si>
  <si>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</si>
  <si>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</si>
  <si>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</si>
  <si>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</si>
  <si>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</si>
  <si>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</si>
  <si>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</si>
  <si>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</si>
  <si>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</si>
  <si>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</si>
  <si>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</si>
  <si>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</si>
  <si>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</si>
  <si>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</si>
  <si>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</si>
  <si>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</si>
  <si>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</si>
  <si>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</si>
  <si>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</si>
  <si>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</si>
  <si>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</si>
  <si>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</si>
  <si>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</si>
  <si>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</si>
  <si>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</si>
  <si>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</si>
  <si>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</si>
  <si>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</si>
  <si>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</si>
  <si>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</si>
  <si>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</si>
  <si>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</si>
  <si>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</si>
  <si>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</si>
  <si>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</si>
  <si>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</si>
  <si>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</si>
  <si>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</si>
  <si>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</si>
  <si>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</si>
  <si>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</si>
  <si>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</si>
  <si>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</si>
  <si>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</si>
  <si>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</si>
  <si>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</si>
  <si>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</si>
  <si>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</si>
  <si>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</si>
  <si>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</si>
  <si>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</si>
  <si>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</si>
  <si>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</si>
  <si>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</si>
  <si>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</si>
  <si>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</si>
  <si>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</si>
  <si>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</si>
  <si>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</si>
  <si>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</si>
  <si>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</si>
  <si>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</si>
  <si>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</si>
  <si>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</si>
  <si>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</si>
  <si>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</si>
  <si>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</si>
  <si>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</si>
  <si>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</si>
  <si>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</si>
  <si>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</si>
  <si>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</si>
  <si>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</si>
  <si>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</si>
  <si>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</si>
  <si>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</si>
  <si>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</si>
  <si>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</si>
  <si>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</si>
  <si>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</si>
  <si>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</si>
  <si>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</si>
  <si>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</si>
  <si>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</si>
  <si>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</si>
  <si>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</si>
  <si>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</si>
  <si>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</si>
  <si>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</si>
  <si>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</si>
  <si>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</si>
  <si>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</si>
  <si>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</si>
  <si>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</si>
  <si>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</si>
  <si>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</si>
  <si>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</si>
  <si>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</si>
  <si>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</si>
  <si>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</si>
  <si>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</si>
  <si>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</si>
  <si>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</si>
  <si>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</si>
  <si>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</si>
  <si>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</si>
  <si>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</si>
  <si>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</si>
  <si>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</si>
  <si>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</si>
  <si>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</si>
  <si>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</si>
  <si>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</si>
  <si>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</si>
  <si>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</si>
  <si>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</si>
  <si>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</si>
  <si>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</si>
  <si>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</si>
  <si>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</si>
  <si>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</si>
  <si>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</si>
  <si>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</si>
  <si>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</si>
  <si>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</si>
  <si>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</si>
  <si>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</si>
  <si>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</si>
  <si>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</si>
  <si>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</si>
  <si>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</si>
  <si>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</si>
  <si>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</si>
  <si>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</si>
  <si>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</si>
  <si>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</si>
  <si>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</si>
  <si>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</si>
  <si>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</si>
  <si>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</si>
  <si>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</si>
  <si>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</si>
  <si>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</si>
  <si>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</si>
  <si>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</si>
  <si>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</si>
  <si>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</si>
  <si>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</si>
  <si>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</si>
  <si>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</si>
  <si>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</si>
  <si>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</si>
  <si>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</si>
  <si>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</si>
  <si>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</si>
  <si>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</si>
  <si>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</si>
  <si>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</si>
  <si>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</si>
  <si>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</si>
  <si>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</si>
  <si>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</si>
  <si>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</si>
  <si>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</si>
  <si>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</si>
  <si>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</si>
  <si>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</si>
  <si>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</si>
  <si>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</si>
  <si>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</si>
  <si>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</si>
  <si>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</si>
  <si>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</si>
  <si>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</si>
  <si>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</si>
  <si>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</si>
  <si>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</si>
  <si>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</si>
  <si>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</si>
  <si>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</si>
  <si>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</si>
  <si>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</si>
  <si>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</si>
  <si>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</si>
  <si>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</si>
  <si>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</si>
  <si>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</si>
  <si>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</si>
  <si>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</si>
  <si>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</si>
  <si>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</si>
  <si>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</si>
  <si>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</si>
  <si>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</si>
  <si>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</si>
  <si>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</si>
  <si>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</si>
  <si>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</si>
  <si>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</si>
  <si>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</si>
  <si>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</si>
  <si>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</si>
  <si>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</si>
  <si>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</si>
  <si>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</si>
  <si>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</si>
  <si>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</si>
  <si>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</si>
  <si>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</si>
  <si>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</si>
  <si>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</si>
  <si>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</si>
  <si>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</si>
  <si>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</si>
  <si>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</si>
  <si>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</si>
  <si>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</si>
  <si>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</si>
  <si>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</si>
  <si>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</si>
  <si>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</si>
  <si>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</si>
  <si>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</si>
  <si>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</si>
  <si>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</si>
  <si>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</si>
  <si>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</si>
  <si>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</si>
  <si>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</si>
  <si>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</si>
  <si>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</si>
  <si>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</si>
  <si>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</si>
  <si>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</si>
  <si>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</si>
  <si>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</si>
  <si>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</si>
  <si>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</si>
  <si>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</si>
  <si>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</si>
  <si>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</si>
  <si>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</si>
  <si>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</si>
  <si>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</si>
  <si>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</si>
  <si>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</si>
  <si>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</si>
  <si>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</si>
  <si>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</si>
  <si>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</si>
  <si>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</si>
  <si>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</si>
  <si>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</si>
  <si>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</si>
  <si>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</si>
  <si>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</si>
  <si>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</si>
  <si>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</si>
  <si>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</si>
  <si>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</si>
  <si>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</si>
  <si>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</si>
  <si>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</si>
  <si>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</si>
  <si>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</si>
  <si>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</si>
  <si>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</si>
  <si>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</si>
  <si>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</si>
  <si>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</si>
  <si>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</si>
  <si>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</si>
  <si>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</si>
  <si>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</si>
  <si>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</si>
  <si>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</si>
  <si>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</si>
  <si>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</si>
  <si>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</si>
  <si>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</si>
  <si>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</si>
  <si>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</si>
  <si>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</si>
  <si>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</si>
  <si>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</si>
  <si>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</si>
  <si>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</si>
  <si>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</si>
  <si>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</si>
  <si>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</si>
  <si>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</si>
  <si>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</si>
  <si>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</si>
  <si>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</si>
  <si>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</si>
  <si>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</si>
  <si>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</si>
  <si>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</si>
  <si>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</si>
  <si>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</si>
  <si>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</si>
  <si>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</si>
  <si>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</si>
  <si>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</si>
  <si>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</si>
  <si>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</si>
  <si>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</si>
  <si>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</si>
  <si>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</si>
  <si>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</si>
  <si>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</si>
  <si>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</si>
  <si>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</si>
  <si>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</si>
  <si>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</si>
  <si>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</si>
  <si>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</si>
  <si>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</si>
  <si>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</si>
  <si>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</si>
  <si>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</si>
  <si>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</si>
  <si>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</si>
  <si>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</si>
  <si>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</si>
  <si>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</si>
  <si>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</si>
  <si>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</si>
  <si>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</si>
  <si>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</si>
  <si>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</si>
  <si>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</si>
  <si>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</si>
  <si>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</si>
  <si>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</si>
  <si>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</si>
  <si>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</si>
  <si>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</si>
  <si>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</si>
  <si>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</si>
  <si>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</si>
  <si>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</si>
  <si>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</si>
  <si>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</si>
  <si>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</si>
  <si>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</si>
  <si>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</si>
  <si>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</si>
  <si>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</si>
  <si>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</si>
  <si>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</si>
  <si>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</si>
  <si>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</si>
  <si>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</si>
  <si>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</si>
  <si>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</si>
  <si>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</si>
  <si>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</si>
  <si>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</si>
  <si>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</si>
  <si>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</si>
  <si>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</si>
  <si>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</si>
  <si>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</si>
  <si>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</si>
  <si>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</si>
  <si>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</si>
  <si>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</si>
  <si>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</si>
  <si>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</si>
  <si>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</si>
  <si>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</si>
  <si>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</si>
  <si>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</si>
  <si>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</si>
  <si>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</si>
  <si>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</si>
  <si>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</si>
  <si>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</si>
  <si>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</si>
  <si>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</si>
  <si>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</si>
  <si>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</si>
  <si>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</si>
  <si>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</si>
  <si>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</si>
  <si>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</si>
  <si>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</si>
  <si>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</si>
  <si>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</si>
  <si>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</si>
  <si>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</si>
  <si>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</si>
  <si>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</si>
  <si>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</si>
  <si>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</si>
  <si>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</si>
  <si>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</si>
  <si>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</si>
  <si>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</si>
  <si>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</si>
  <si>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</si>
  <si>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</si>
  <si>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</si>
  <si>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</si>
  <si>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</si>
  <si>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</si>
  <si>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</si>
  <si>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</si>
  <si>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</si>
  <si>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</si>
  <si>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</si>
  <si>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</si>
  <si>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</si>
  <si>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</si>
  <si>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</si>
  <si>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</si>
  <si>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</si>
  <si>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</si>
  <si>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</si>
  <si>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</si>
  <si>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</si>
  <si>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</si>
  <si>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</si>
  <si>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</si>
  <si>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</si>
  <si>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</si>
  <si>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</si>
  <si>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</si>
  <si>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</si>
  <si>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</si>
  <si>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</si>
  <si>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</si>
  <si>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</si>
  <si>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</si>
  <si>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</si>
  <si>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</si>
  <si>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</si>
  <si>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</si>
  <si>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</si>
  <si>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</si>
  <si>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</si>
  <si>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</si>
  <si>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</si>
  <si>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</si>
  <si>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</si>
  <si>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</si>
  <si>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</si>
  <si>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</si>
  <si>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</si>
  <si>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</si>
  <si>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</si>
  <si>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</si>
  <si>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</si>
  <si>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</si>
  <si>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</si>
  <si>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</si>
  <si>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</si>
  <si>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</si>
  <si>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</si>
  <si>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</si>
  <si>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</si>
  <si>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</si>
  <si>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</si>
  <si>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</si>
  <si>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</si>
  <si>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</si>
  <si>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</si>
  <si>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</si>
  <si>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</si>
  <si>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</si>
  <si>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</si>
  <si>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</si>
  <si>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</si>
  <si>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</si>
  <si>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</si>
  <si>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</si>
  <si>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</si>
  <si>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</si>
  <si>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</si>
  <si>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</si>
  <si>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</si>
  <si>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</si>
  <si>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</si>
  <si>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</si>
  <si>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</si>
  <si>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</si>
  <si>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</si>
  <si>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</si>
  <si>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</si>
  <si>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</si>
  <si>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</si>
  <si>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</si>
  <si>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</si>
  <si>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</si>
  <si>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</si>
  <si>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</si>
  <si>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</si>
  <si>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</si>
  <si>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</si>
  <si>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</si>
  <si>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</si>
  <si>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</si>
  <si>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</si>
  <si>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</si>
  <si>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</si>
  <si>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</si>
  <si>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</si>
  <si>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</si>
  <si>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</si>
  <si>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</si>
  <si>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</si>
  <si>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</si>
  <si>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</si>
  <si>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</si>
  <si>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</si>
  <si>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</si>
  <si>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</si>
  <si>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</si>
  <si>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</si>
  <si>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</si>
  <si>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</si>
  <si>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</si>
  <si>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</si>
  <si>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</si>
  <si>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</si>
  <si>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</si>
  <si>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</si>
  <si>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</si>
  <si>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</si>
  <si>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</si>
  <si>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</si>
  <si>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</si>
  <si>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</si>
  <si>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</si>
  <si>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</si>
  <si>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</si>
  <si>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</si>
  <si>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</si>
  <si>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</si>
  <si>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</si>
  <si>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</si>
  <si>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</si>
  <si>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</si>
  <si>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</si>
  <si>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</si>
  <si>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</si>
  <si>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</si>
  <si>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</si>
  <si>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</si>
  <si>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</si>
  <si>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</si>
  <si>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</si>
  <si>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</si>
  <si>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</si>
  <si>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</si>
  <si>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</si>
  <si>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</si>
  <si>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</si>
  <si>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</si>
  <si>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</si>
  <si>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</si>
  <si>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</si>
  <si>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</si>
  <si>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</si>
  <si>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</si>
  <si>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</si>
  <si>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</si>
  <si>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</si>
  <si>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</si>
  <si>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</si>
  <si>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</si>
  <si>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</si>
  <si>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</si>
  <si>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</si>
  <si>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</si>
  <si>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</si>
  <si>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</si>
  <si>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</si>
  <si>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</si>
  <si>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</si>
  <si>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</si>
  <si>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</si>
  <si>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</si>
  <si>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</si>
  <si>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</si>
  <si>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</si>
  <si>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</si>
  <si>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</si>
  <si>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</si>
  <si>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</si>
  <si>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</si>
  <si>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</si>
  <si>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</si>
  <si>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</si>
  <si>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</si>
  <si>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</si>
  <si>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</si>
  <si>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</si>
  <si>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</si>
  <si>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</si>
  <si>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</si>
  <si>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</si>
  <si>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</si>
  <si>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</si>
  <si>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</si>
  <si>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</si>
  <si>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</si>
  <si>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</si>
  <si>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</si>
  <si>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</si>
  <si>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</si>
  <si>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</si>
  <si>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</si>
  <si>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</si>
  <si>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</si>
  <si>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</si>
  <si>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</si>
  <si>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</si>
  <si>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</si>
  <si>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</si>
  <si>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</si>
  <si>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</si>
  <si>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</si>
  <si>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</si>
  <si>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</si>
  <si>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</si>
  <si>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</si>
  <si>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</si>
  <si>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</si>
  <si>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</si>
  <si>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</si>
  <si>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</si>
  <si>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</si>
  <si>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</si>
  <si>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</si>
  <si>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</si>
  <si>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</si>
  <si>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</si>
  <si>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</si>
  <si>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</si>
  <si>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</si>
  <si>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</si>
  <si>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</si>
  <si>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</si>
  <si>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</si>
  <si>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</si>
  <si>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</si>
  <si>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</si>
  <si>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</si>
  <si>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</si>
  <si>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</si>
  <si>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</si>
  <si>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</si>
  <si>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</si>
  <si>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</si>
  <si>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</si>
  <si>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</si>
  <si>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</si>
  <si>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</si>
  <si>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</si>
  <si>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</si>
  <si>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</si>
  <si>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</si>
  <si>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</si>
  <si>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</si>
  <si>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</si>
  <si>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</si>
  <si>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</si>
  <si>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</si>
  <si>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</si>
  <si>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</si>
  <si>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</si>
  <si>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</si>
  <si>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</si>
  <si>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</si>
  <si>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</si>
  <si>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</si>
  <si>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</si>
  <si>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</si>
  <si>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</si>
  <si>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</si>
  <si>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</si>
  <si>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</si>
  <si>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</si>
  <si>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</si>
  <si>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</si>
  <si>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</si>
  <si>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</si>
  <si>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</si>
  <si>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</si>
  <si>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</si>
  <si>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</si>
  <si>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</si>
  <si>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</si>
  <si>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</si>
  <si>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</si>
  <si>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</si>
  <si>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</si>
  <si>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</si>
  <si>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</si>
  <si>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</si>
  <si>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</si>
  <si>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</si>
  <si>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</si>
  <si>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</si>
  <si>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</si>
  <si>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</si>
  <si>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</si>
  <si>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</si>
  <si>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</si>
  <si>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</si>
  <si>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</si>
  <si>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</si>
  <si>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</si>
  <si>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</si>
  <si>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</si>
  <si>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</si>
  <si>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</si>
  <si>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</si>
  <si>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</si>
  <si>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</si>
  <si>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</si>
  <si>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</si>
  <si>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</si>
  <si>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</si>
  <si>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</si>
  <si>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</si>
  <si>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</si>
  <si>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</si>
  <si>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</si>
  <si>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</si>
  <si>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</si>
  <si>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</si>
  <si>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</si>
  <si>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</si>
  <si>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</si>
  <si>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</si>
  <si>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</si>
  <si>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</si>
  <si>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</si>
  <si>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</si>
  <si>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</si>
  <si>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</si>
  <si>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</si>
  <si>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</si>
  <si>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</si>
  <si>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</si>
  <si>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</si>
  <si>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</si>
  <si>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</si>
  <si>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</si>
  <si>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</si>
  <si>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</si>
  <si>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</si>
  <si>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</si>
  <si>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</si>
  <si>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</si>
  <si>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</si>
  <si>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</si>
  <si>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</si>
  <si>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</si>
  <si>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</si>
  <si>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</si>
  <si>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</si>
  <si>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</si>
  <si>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</si>
  <si>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</si>
  <si>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</si>
  <si>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</si>
  <si>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</si>
  <si>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</si>
  <si>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</si>
  <si>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</si>
  <si>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</si>
  <si>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</si>
  <si>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</si>
  <si>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</si>
  <si>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</si>
  <si>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</si>
  <si>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</si>
  <si>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</si>
  <si>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</si>
  <si>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</si>
  <si>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</si>
  <si>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</si>
  <si>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</si>
  <si>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</si>
  <si>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</si>
  <si>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</si>
  <si>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</si>
  <si>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</si>
  <si>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</si>
  <si>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</si>
  <si>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</si>
  <si>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</si>
  <si>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</si>
  <si>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</si>
  <si>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</si>
  <si>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</si>
  <si>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</si>
  <si>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</si>
  <si>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</si>
  <si>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</si>
  <si>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</si>
  <si>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</si>
  <si>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</si>
  <si>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</si>
  <si>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</si>
  <si>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</si>
  <si>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</si>
  <si>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</si>
  <si>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</si>
  <si>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</si>
  <si>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</si>
  <si>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</si>
  <si>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</si>
  <si>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</si>
  <si>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</si>
  <si>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</si>
  <si>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</si>
  <si>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</si>
  <si>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</si>
  <si>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</si>
  <si>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</si>
  <si>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</si>
  <si>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</si>
  <si>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</si>
  <si>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</si>
  <si>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</si>
  <si>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</si>
  <si>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</si>
  <si>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</si>
  <si>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</si>
  <si>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</si>
  <si>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</si>
  <si>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</si>
  <si>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</si>
  <si>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</si>
  <si>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</si>
  <si>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</si>
  <si>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</si>
  <si>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</si>
  <si>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</si>
  <si>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</si>
  <si>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</si>
  <si>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</si>
  <si>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</si>
  <si>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</si>
  <si>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</si>
  <si>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</si>
  <si>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</si>
  <si>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</si>
  <si>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</si>
  <si>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</si>
  <si>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</si>
  <si>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</si>
  <si>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</si>
  <si>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</si>
  <si>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</si>
  <si>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</si>
  <si>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</si>
  <si>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</si>
  <si>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</si>
  <si>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</si>
  <si>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</si>
  <si>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</si>
  <si>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</si>
  <si>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</si>
  <si>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</si>
  <si>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</si>
  <si>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</si>
  <si>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</si>
  <si>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</si>
  <si>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</si>
  <si>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</si>
  <si>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</si>
  <si>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</si>
  <si>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</si>
  <si>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</si>
  <si>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</si>
  <si>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</si>
  <si>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</si>
  <si>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</si>
  <si>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</si>
  <si>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</si>
  <si>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</si>
  <si>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</si>
  <si>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</si>
  <si>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</si>
  <si>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14层1408</t>
  </si>
  <si>
    <t>12层1214</t>
  </si>
  <si>
    <t>12层1222</t>
  </si>
  <si>
    <t>12层1223</t>
  </si>
  <si>
    <t>12层1224</t>
  </si>
  <si>
    <t>12层1225</t>
  </si>
  <si>
    <t>12层1226</t>
  </si>
  <si>
    <t>12层1213</t>
  </si>
  <si>
    <t>14层1410</t>
  </si>
  <si>
    <t>15层1503</t>
  </si>
  <si>
    <t>15层1504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</si>
</sst>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估价对象为北京市房地产，为XX所有。根据《不动产权证书》[]，估价对象建筑面积为1024.48平方米，（分摊）出让国有建设用地使用权面积为105.21平方米。估价对象用途为。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2019年7月1日</v>
      </c>
    </row>
    <row r="10" spans="1:2">
      <c r="A10" s="1697" t="s">
        <v>1113</v>
      </c>
      <c r="B10" s="1684" t="str">
        <f>'预评函-1'!A13</f>
        <v>本次估价的“房地产价值”是指在正常市场情况下，在价值时点2019年7月1日，估价对象规划用途为，假定未设立法定优先受偿款下的房地产市场价值。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1024.48</v>
      </c>
    </row>
    <row r="19" spans="1:2">
      <c r="A19" s="1697" t="s">
        <v>1122</v>
      </c>
      <c r="B19" s="1684">
        <f ca="1">'预评函-2（1）'!D7</f>
        <v>4219</v>
      </c>
    </row>
    <row r="20" spans="1:2">
      <c r="A20" s="1697" t="s">
        <v>1160</v>
      </c>
      <c r="B20" s="1684" t="str">
        <f>'预评函-2（1）'!C7</f>
        <v>总价（万元）</v>
      </c>
    </row>
    <row r="21" spans="1:2">
      <c r="A21" s="1697" t="s">
        <v>1123</v>
      </c>
      <c r="B21" s="1684">
        <f ca="1">'预评函-2（1）'!D9</f>
        <v>41182</v>
      </c>
    </row>
    <row r="22" spans="1:2">
      <c r="A22" s="1697" t="s">
        <v>1124</v>
      </c>
      <c r="B22" s="1684" t="str">
        <f ca="1">'预评函-2（1）'!D8</f>
        <v>肆仟贰佰壹拾玖万元整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4219</v>
      </c>
    </row>
    <row r="30" spans="1:2">
      <c r="A30" s="1697" t="s">
        <v>1130</v>
      </c>
      <c r="B30" s="1684" t="str">
        <f ca="1">'预评函-2（1）'!D16</f>
        <v>肆仟贰佰壹拾玖万元整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105.21</v>
      </c>
    </row>
    <row r="37" spans="1:2">
      <c r="A37" s="1697" t="s">
        <v>1137</v>
      </c>
      <c r="B37" s="1684">
        <f>'预评函-2（2）'!D4</f>
        <v>0</v>
      </c>
    </row>
    <row r="38" spans="1:2">
      <c r="A38" s="1697" t="s">
        <v>1138</v>
      </c>
      <c r="B38" s="1684">
        <f>'预评函-2（2）'!E4</f>
        <v>0</v>
      </c>
    </row>
    <row r="39" spans="1:2">
      <c r="A39" s="1697" t="s">
        <v>1139</v>
      </c>
      <c r="B39" s="1684" t="str">
        <f>'预评函-2（2）'!D5</f>
        <v>零元整</v>
      </c>
    </row>
    <row r="40" spans="1:2">
      <c r="A40" s="1697" t="s">
        <v>1140</v>
      </c>
      <c r="B40" s="1684">
        <f>'预评函-2（2）'!F4</f>
        <v>0</v>
      </c>
    </row>
    <row r="41" spans="1:2">
      <c r="A41" s="1697" t="s">
        <v>1141</v>
      </c>
      <c r="B41" s="1684">
        <f>'预评函-2（2）'!G4</f>
        <v>0</v>
      </c>
    </row>
    <row r="42" spans="1:2" s="1694" customFormat="1" ht="15.75" thickBot="1">
      <c r="A42" s="1698" t="s">
        <v>1142</v>
      </c>
      <c r="B42" s="1686" t="str">
        <f>'预评函-2（2）'!F5</f>
        <v>零元整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41182</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6" sqref="B36"/>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43647</v>
      </c>
      <c r="E2" s="1059"/>
      <c r="F2" s="1059"/>
      <c r="G2" s="1678"/>
      <c r="H2" s="1015"/>
    </row>
    <row r="3" spans="1:10" ht="13.5" thickBot="1">
      <c r="A3" s="1994" t="s">
        <v>1544</v>
      </c>
      <c r="B3" s="1995" t="s">
        <v>2881</v>
      </c>
      <c r="C3" s="1060">
        <f ca="1">SUMIF(注册房地产估价师,B3,估价师及机构信息!B3:B24)</f>
        <v>1419970001</v>
      </c>
      <c r="D3" s="1995" t="s">
        <v>2882</v>
      </c>
      <c r="E3" s="1061">
        <f ca="1">SUMIF(注册房地产估价师,D3,估价师及机构信息!B3:B24)</f>
        <v>1120100036</v>
      </c>
      <c r="F3" s="1062"/>
      <c r="G3" s="1679"/>
      <c r="H3" s="1015"/>
    </row>
    <row r="4" spans="1:10" ht="13.5" customHeight="1" thickTop="1">
      <c r="A4" s="1996" t="s">
        <v>1545</v>
      </c>
      <c r="B4" s="1997" t="s">
        <v>2822</v>
      </c>
      <c r="C4" s="1998" t="s">
        <v>1546</v>
      </c>
      <c r="D4" s="1999" t="s">
        <v>2883</v>
      </c>
      <c r="E4" s="1059"/>
      <c r="F4" s="1059"/>
      <c r="G4" s="1678"/>
    </row>
    <row r="5" spans="1:10">
      <c r="A5" s="2000" t="s">
        <v>1547</v>
      </c>
      <c r="B5" s="2001" t="s">
        <v>2823</v>
      </c>
      <c r="C5" s="2002" t="s">
        <v>1548</v>
      </c>
      <c r="D5" s="2003" t="s">
        <v>2884</v>
      </c>
      <c r="E5" s="2004" t="s">
        <v>1549</v>
      </c>
      <c r="F5" s="2005" t="s">
        <v>2884</v>
      </c>
      <c r="G5" s="2006"/>
      <c r="I5" s="1015" t="str">
        <f>IF(C16="否","截至估价时点，估价对象抵押权未见登记。","截至价值时点，估价对象已设定抵押。")</f>
        <v>截至价值时点，估价对象已设定抵押。</v>
      </c>
    </row>
    <row r="6" spans="1:10">
      <c r="A6" s="2007" t="s">
        <v>1550</v>
      </c>
      <c r="B6" s="2008" t="s">
        <v>2885</v>
      </c>
      <c r="C6" s="2009" t="s">
        <v>2824</v>
      </c>
      <c r="D6" s="2010" t="s">
        <v>1551</v>
      </c>
      <c r="E6" s="1017"/>
      <c r="F6" s="1016"/>
      <c r="G6" s="1069"/>
      <c r="I6" s="1065" t="str">
        <f>IF(COUNTIF(B5,"*上海银行*"),"上海银行","")</f>
        <v/>
      </c>
    </row>
    <row r="7" spans="1:10" ht="13.5" thickBot="1">
      <c r="A7" s="1994" t="s">
        <v>1552</v>
      </c>
      <c r="B7" s="2011" t="s">
        <v>2886</v>
      </c>
      <c r="C7" s="2012" t="str">
        <f>IF(B7="自然人","姓名","名称")</f>
        <v>名称</v>
      </c>
      <c r="D7" s="2013" t="s">
        <v>2823</v>
      </c>
      <c r="E7" s="1063"/>
      <c r="F7" s="1062"/>
      <c r="G7" s="1679"/>
    </row>
    <row r="8" spans="1:10" ht="13.5" thickTop="1">
      <c r="A8" s="2811" t="s">
        <v>1553</v>
      </c>
      <c r="B8" s="2014" t="s">
        <v>1554</v>
      </c>
      <c r="C8" s="2823"/>
      <c r="D8" s="2824"/>
      <c r="E8" s="2015" t="s">
        <v>1555</v>
      </c>
      <c r="F8" s="2016" t="s">
        <v>1556</v>
      </c>
      <c r="G8" s="690" t="str">
        <f>C6</f>
        <v>XX</v>
      </c>
    </row>
    <row r="9" spans="1:10" ht="25.5">
      <c r="A9" s="2811"/>
      <c r="B9" s="344" t="s">
        <v>1557</v>
      </c>
      <c r="C9" s="2001"/>
      <c r="D9" s="2017" t="s">
        <v>2880</v>
      </c>
      <c r="E9" s="1005" t="s">
        <v>1558</v>
      </c>
      <c r="F9" s="991" t="s">
        <v>221</v>
      </c>
      <c r="G9" s="1007"/>
    </row>
    <row r="10" spans="1:10" ht="13.5" thickBot="1">
      <c r="A10" s="2811"/>
      <c r="B10" s="344" t="s">
        <v>1559</v>
      </c>
      <c r="C10" s="2825"/>
      <c r="D10" s="2826"/>
      <c r="E10" s="2018" t="s">
        <v>1560</v>
      </c>
      <c r="F10" s="1008" t="s">
        <v>224</v>
      </c>
      <c r="G10" s="1009"/>
    </row>
    <row r="11" spans="1:10" ht="13.5" thickBot="1">
      <c r="A11" s="2811"/>
      <c r="B11" s="2019" t="s">
        <v>1561</v>
      </c>
      <c r="C11" s="2827"/>
      <c r="D11" s="2828"/>
      <c r="E11" s="1017"/>
      <c r="F11" s="1016"/>
      <c r="G11" s="1069"/>
    </row>
    <row r="12" spans="1:10" ht="24.75" thickBot="1">
      <c r="A12" s="2814" t="s">
        <v>1562</v>
      </c>
      <c r="B12" s="2020" t="s">
        <v>1563</v>
      </c>
      <c r="C12" s="1011">
        <f>典型户型修正!B25</f>
        <v>1024.48</v>
      </c>
      <c r="D12" s="2020" t="s">
        <v>1564</v>
      </c>
      <c r="E12" s="2021" t="s">
        <v>1565</v>
      </c>
      <c r="F12" s="2022" t="s">
        <v>1566</v>
      </c>
      <c r="G12" s="1069"/>
    </row>
    <row r="13" spans="1:10" ht="21" customHeight="1" thickBot="1">
      <c r="A13" s="2815"/>
      <c r="B13" s="2023" t="s">
        <v>1567</v>
      </c>
      <c r="C13" s="1012">
        <v>105.21</v>
      </c>
      <c r="D13" s="2023" t="s">
        <v>1568</v>
      </c>
      <c r="E13" s="2024" t="s">
        <v>1565</v>
      </c>
      <c r="F13" s="1016"/>
      <c r="G13" s="1069"/>
      <c r="I13" s="2801"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01"/>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01"/>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2821</v>
      </c>
      <c r="D16" s="2033" t="s">
        <v>1574</v>
      </c>
      <c r="E16" s="2034" t="s">
        <v>2821</v>
      </c>
      <c r="F16" s="2035" t="str">
        <f>IF(AND(C16="是",E16="否"),"是否提供他项权证或相关说明","")</f>
        <v/>
      </c>
      <c r="G16" s="2034" t="s">
        <v>2821</v>
      </c>
      <c r="I16" s="1066"/>
      <c r="J16" s="1015"/>
    </row>
    <row r="17" spans="1:15" ht="13.5" customHeight="1">
      <c r="A17" s="2036" t="s">
        <v>1575</v>
      </c>
      <c r="B17" s="2829" t="s">
        <v>1576</v>
      </c>
      <c r="C17" s="2830"/>
      <c r="D17" s="2831" t="s">
        <v>1577</v>
      </c>
      <c r="E17" s="2832"/>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17" t="s">
        <v>1593</v>
      </c>
      <c r="D27" s="2818"/>
      <c r="E27" s="999"/>
      <c r="F27" s="1006" t="s">
        <v>1593</v>
      </c>
      <c r="G27" s="999"/>
      <c r="I27" s="1066"/>
      <c r="K27" s="1066"/>
    </row>
    <row r="28" spans="1:15">
      <c r="A28" s="1003" t="s">
        <v>1594</v>
      </c>
      <c r="B28" s="973"/>
      <c r="C28" s="2819" t="s">
        <v>1595</v>
      </c>
      <c r="D28" s="2820"/>
      <c r="E28" s="973"/>
      <c r="F28" s="1888" t="s">
        <v>1595</v>
      </c>
      <c r="G28" s="973"/>
      <c r="I28" s="1066"/>
      <c r="K28" s="1066"/>
    </row>
    <row r="29" spans="1:15">
      <c r="A29" s="1003" t="s">
        <v>1596</v>
      </c>
      <c r="B29" s="973"/>
      <c r="C29" s="2819" t="s">
        <v>1596</v>
      </c>
      <c r="D29" s="2820"/>
      <c r="E29" s="973"/>
      <c r="F29" s="1888" t="s">
        <v>1597</v>
      </c>
      <c r="G29" s="973"/>
      <c r="I29" s="1066"/>
      <c r="K29" s="1066"/>
    </row>
    <row r="30" spans="1:15">
      <c r="A30" s="1003" t="s">
        <v>1598</v>
      </c>
      <c r="B30" s="973"/>
      <c r="C30" s="2808" t="s">
        <v>1599</v>
      </c>
      <c r="D30" s="2062"/>
      <c r="E30" s="1018" t="str">
        <f>E31&amp;" "&amp;E32&amp;" "&amp;E33&amp;" "&amp;E34</f>
        <v xml:space="preserve">   </v>
      </c>
      <c r="F30" s="1888" t="s">
        <v>1600</v>
      </c>
      <c r="G30" s="973"/>
    </row>
    <row r="31" spans="1:15">
      <c r="A31" s="1003" t="s">
        <v>1601</v>
      </c>
      <c r="B31" s="973"/>
      <c r="C31" s="2809"/>
      <c r="D31" s="1887" t="s">
        <v>1602</v>
      </c>
      <c r="E31" s="973"/>
      <c r="F31" s="1888" t="s">
        <v>1603</v>
      </c>
      <c r="G31" s="973"/>
    </row>
    <row r="32" spans="1:15" ht="24.75" thickBot="1">
      <c r="A32" s="1004" t="s">
        <v>1604</v>
      </c>
      <c r="B32" s="1000"/>
      <c r="C32" s="2809"/>
      <c r="D32" s="1887" t="s">
        <v>1605</v>
      </c>
      <c r="E32" s="973"/>
      <c r="F32" s="1888" t="s">
        <v>1606</v>
      </c>
      <c r="G32" s="973"/>
    </row>
    <row r="33" spans="1:7">
      <c r="A33" s="1002" t="s">
        <v>1607</v>
      </c>
      <c r="B33" s="999"/>
      <c r="C33" s="2809"/>
      <c r="D33" s="1887" t="s">
        <v>1608</v>
      </c>
      <c r="E33" s="973"/>
      <c r="F33" s="1888" t="s">
        <v>1609</v>
      </c>
      <c r="G33" s="973"/>
    </row>
    <row r="34" spans="1:7" ht="13.5" thickBot="1">
      <c r="A34" s="1003" t="s">
        <v>1610</v>
      </c>
      <c r="B34" s="973"/>
      <c r="C34" s="2810"/>
      <c r="D34" s="1887" t="s">
        <v>1611</v>
      </c>
      <c r="E34" s="973"/>
      <c r="F34" s="1889" t="s">
        <v>1612</v>
      </c>
      <c r="G34" s="1001"/>
    </row>
    <row r="35" spans="1:7">
      <c r="A35" s="1003" t="s">
        <v>1563</v>
      </c>
      <c r="B35" s="973"/>
      <c r="C35" s="2819" t="s">
        <v>1613</v>
      </c>
      <c r="D35" s="2820"/>
      <c r="E35" s="973"/>
      <c r="F35" s="1014" t="s">
        <v>1614</v>
      </c>
      <c r="G35" s="999"/>
    </row>
    <row r="36" spans="1:7" ht="13.5" thickBot="1">
      <c r="A36" s="1003" t="s">
        <v>1615</v>
      </c>
      <c r="B36" s="973"/>
      <c r="C36" s="2821" t="s">
        <v>1616</v>
      </c>
      <c r="D36" s="2822"/>
      <c r="E36" s="1000"/>
      <c r="F36" s="1885" t="s">
        <v>1617</v>
      </c>
      <c r="G36" s="973"/>
    </row>
    <row r="37" spans="1:7" ht="13.5" thickBot="1">
      <c r="A37" s="1003" t="s">
        <v>1618</v>
      </c>
      <c r="B37" s="973"/>
      <c r="C37" s="2806" t="s">
        <v>1619</v>
      </c>
      <c r="D37" s="2063" t="s">
        <v>1603</v>
      </c>
      <c r="E37" s="999"/>
      <c r="F37" s="1889" t="s">
        <v>1620</v>
      </c>
      <c r="G37" s="1000"/>
    </row>
    <row r="38" spans="1:7">
      <c r="A38" s="1003" t="s">
        <v>1621</v>
      </c>
      <c r="B38" s="973"/>
      <c r="C38" s="2812"/>
      <c r="D38" s="1887" t="s">
        <v>1610</v>
      </c>
      <c r="E38" s="973"/>
      <c r="F38" s="1006" t="s">
        <v>1622</v>
      </c>
      <c r="G38" s="999"/>
    </row>
    <row r="39" spans="1:7">
      <c r="A39" s="1003" t="s">
        <v>1623</v>
      </c>
      <c r="B39" s="973"/>
      <c r="C39" s="2812" t="s">
        <v>1624</v>
      </c>
      <c r="D39" s="1887" t="s">
        <v>1563</v>
      </c>
      <c r="E39" s="973"/>
      <c r="F39" s="1888" t="s">
        <v>1625</v>
      </c>
      <c r="G39" s="973"/>
    </row>
    <row r="40" spans="1:7" ht="24.75" customHeight="1" thickBot="1">
      <c r="A40" s="1004" t="s">
        <v>1626</v>
      </c>
      <c r="B40" s="1000"/>
      <c r="C40" s="2813"/>
      <c r="D40" s="1890" t="s">
        <v>1567</v>
      </c>
      <c r="E40" s="1000"/>
      <c r="F40" s="1889" t="s">
        <v>1627</v>
      </c>
      <c r="G40" s="1000"/>
    </row>
    <row r="41" spans="1:7">
      <c r="A41" s="1005" t="s">
        <v>1628</v>
      </c>
      <c r="B41" s="1055"/>
      <c r="C41" s="2802" t="s">
        <v>1628</v>
      </c>
      <c r="D41" s="2803"/>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04" t="s">
        <v>1631</v>
      </c>
      <c r="D48" s="2805"/>
      <c r="E48" s="1050"/>
      <c r="F48" s="1889" t="s">
        <v>1632</v>
      </c>
      <c r="G48" s="1000"/>
    </row>
    <row r="49" spans="1:15">
      <c r="A49" s="1003" t="s">
        <v>1633</v>
      </c>
      <c r="B49" s="1049"/>
      <c r="C49" s="2806" t="s">
        <v>1634</v>
      </c>
      <c r="D49" s="2807"/>
      <c r="E49" s="1051"/>
      <c r="F49" s="1079"/>
      <c r="G49" s="1080"/>
    </row>
    <row r="50" spans="1:15" ht="13.5" thickBot="1">
      <c r="A50" s="1003" t="s">
        <v>1635</v>
      </c>
      <c r="B50" s="1049"/>
      <c r="C50" s="2813" t="s">
        <v>1636</v>
      </c>
      <c r="D50" s="2816"/>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43647</v>
      </c>
      <c r="C2" s="1850"/>
      <c r="D2" s="2835"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2833</v>
      </c>
      <c r="C3" s="1850"/>
      <c r="D3" s="2836"/>
      <c r="E3" s="1183" t="s">
        <v>2821</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2834</v>
      </c>
      <c r="C4" s="1850"/>
      <c r="D4" s="2836"/>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1024.48</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105.21</v>
      </c>
      <c r="C6" s="1850"/>
      <c r="D6" s="2075" t="s">
        <v>1646</v>
      </c>
      <c r="E6" s="393">
        <v>14.01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2832</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24.73</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3585680</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2835</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24.73</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7" t="s">
        <v>1731</v>
      </c>
      <c r="B1" s="2838"/>
      <c r="C1" s="2838"/>
      <c r="D1" s="2838"/>
      <c r="E1" s="2838"/>
      <c r="F1" s="2838"/>
      <c r="G1" s="2838"/>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1024.48</v>
      </c>
      <c r="C1" s="1826"/>
      <c r="D1" s="1826"/>
      <c r="E1" s="1826"/>
      <c r="F1" s="1826"/>
      <c r="G1" s="1830"/>
    </row>
    <row r="2" spans="1:9" ht="16.5">
      <c r="A2" s="1825" t="s">
        <v>1223</v>
      </c>
      <c r="B2" s="1825">
        <f>SUM(C14:C23)</f>
        <v>105.21</v>
      </c>
      <c r="C2" s="1826"/>
      <c r="D2" s="1826"/>
      <c r="E2" s="1826"/>
      <c r="F2" s="1826"/>
      <c r="G2" s="1830"/>
    </row>
    <row r="3" spans="1:9" ht="16.5">
      <c r="A3" s="1825" t="s">
        <v>1224</v>
      </c>
      <c r="B3" s="1828">
        <f>项目基本情况!D2</f>
        <v>43647</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4219</v>
      </c>
      <c r="C5" s="1825">
        <f ca="1">ROUND(B5*10000/$B$1,0)</f>
        <v>41182</v>
      </c>
      <c r="D5" s="1825">
        <f ca="1">ROUND(B5*10000/$B$2,0)</f>
        <v>401008</v>
      </c>
      <c r="E5" s="1826"/>
      <c r="F5" s="1830"/>
      <c r="G5" s="1830"/>
    </row>
    <row r="6" spans="1:9" ht="16.5">
      <c r="A6" s="1825" t="s">
        <v>1230</v>
      </c>
      <c r="B6" s="1825">
        <f ca="1">SUM(G14:G23)</f>
        <v>4219</v>
      </c>
      <c r="C6" s="1825">
        <f t="shared" ref="C6:C8" ca="1" si="0">ROUND(B6*10000/$B$1,0)</f>
        <v>41182</v>
      </c>
      <c r="D6" s="1825">
        <f t="shared" ref="D6:D8" ca="1" si="1">ROUND(B6*10000/$B$2,0)</f>
        <v>401008</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1024.48</v>
      </c>
      <c r="C14" s="1829">
        <f>项目基本情况!C13</f>
        <v>105.21</v>
      </c>
      <c r="D14" s="1829">
        <f ca="1">IF('数据-取费表'!B3="万元",IF(A14="估价对象1（结果表）",结果表!H121,'结果表 (1修多)'!H124),IF(A14="估价对象1（结果表）",结果表!H121,'结果表 (1修多)'!H124)/10000)</f>
        <v>4219</v>
      </c>
      <c r="E14" s="1829">
        <f ca="1">ROUND(D14*10000/B14,0)</f>
        <v>41182</v>
      </c>
      <c r="F14" s="1829">
        <f ca="1">ROUND(D14*10000/C14,0)</f>
        <v>401008</v>
      </c>
      <c r="G14" s="1829">
        <f ca="1">IF('数据-取费表'!B3="万元",IF(A14="估价对象1（结果表）",结果表!D125,'结果表 (1修多)'!D128),IF(A14="估价对象1（结果表）",结果表!D125,'结果表 (1修多)'!D128)/10000)</f>
        <v>4219</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03" t="str">
        <f>项目基本情况!B1</f>
        <v>北京市房地产抵押价值预评估</v>
      </c>
      <c r="B2" s="2903"/>
      <c r="C2" s="2903"/>
      <c r="D2" s="2903"/>
      <c r="E2" s="2903"/>
      <c r="F2" s="2903"/>
      <c r="G2" s="2903"/>
      <c r="H2" s="2903"/>
      <c r="I2" s="2903"/>
    </row>
    <row r="3" spans="1:12" ht="12.75">
      <c r="A3" s="2906" t="s">
        <v>1769</v>
      </c>
      <c r="B3" s="2907"/>
      <c r="C3" s="2907"/>
      <c r="D3" s="2907"/>
      <c r="E3" s="2907"/>
      <c r="F3" s="2907"/>
      <c r="G3" s="2907"/>
      <c r="H3" s="2907"/>
      <c r="I3" s="2907"/>
    </row>
    <row r="4" spans="1:12" ht="14.25">
      <c r="A4" s="2193" t="s">
        <v>1770</v>
      </c>
      <c r="B4" s="2194" t="s">
        <v>1771</v>
      </c>
      <c r="C4" s="2195" t="s">
        <v>2872</v>
      </c>
      <c r="D4" s="2195" t="s">
        <v>2873</v>
      </c>
      <c r="E4" s="2887" t="s">
        <v>1772</v>
      </c>
      <c r="F4" s="2888"/>
      <c r="G4" s="2888"/>
      <c r="H4" s="2888"/>
      <c r="I4" s="2898"/>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1773</v>
      </c>
      <c r="B5" s="2842">
        <v>25</v>
      </c>
      <c r="C5" s="2891"/>
      <c r="D5" s="2905"/>
      <c r="E5" s="56" t="s">
        <v>1774</v>
      </c>
      <c r="F5" s="2196"/>
      <c r="G5" s="2196"/>
      <c r="H5" s="2196"/>
      <c r="I5" s="2197"/>
    </row>
    <row r="6" spans="1:12" ht="12.75">
      <c r="A6" s="2880"/>
      <c r="B6" s="2842"/>
      <c r="C6" s="2908"/>
      <c r="D6" s="2905"/>
      <c r="E6" s="56" t="s">
        <v>1775</v>
      </c>
      <c r="F6" s="2196"/>
      <c r="G6" s="2196"/>
      <c r="H6" s="2196"/>
      <c r="I6" s="2197"/>
    </row>
    <row r="7" spans="1:12" ht="12.75">
      <c r="A7" s="2880"/>
      <c r="B7" s="2842"/>
      <c r="C7" s="2892"/>
      <c r="D7" s="2905"/>
      <c r="E7" s="56" t="s">
        <v>1776</v>
      </c>
      <c r="F7" s="2196"/>
      <c r="G7" s="2196"/>
      <c r="H7" s="2196"/>
      <c r="I7" s="2197"/>
    </row>
    <row r="8" spans="1:12" ht="12.75">
      <c r="A8" s="2880" t="s">
        <v>1777</v>
      </c>
      <c r="B8" s="2842">
        <v>15</v>
      </c>
      <c r="C8" s="2891"/>
      <c r="D8" s="2905"/>
      <c r="E8" s="56" t="s">
        <v>1778</v>
      </c>
      <c r="F8" s="2196"/>
      <c r="G8" s="2196"/>
      <c r="H8" s="2196"/>
      <c r="I8" s="2197"/>
    </row>
    <row r="9" spans="1:12" ht="12.75">
      <c r="A9" s="2880"/>
      <c r="B9" s="2842"/>
      <c r="C9" s="2892"/>
      <c r="D9" s="2905"/>
      <c r="E9" s="56" t="s">
        <v>1779</v>
      </c>
      <c r="F9" s="2196"/>
      <c r="G9" s="2196"/>
      <c r="H9" s="2196"/>
      <c r="I9" s="2197"/>
    </row>
    <row r="10" spans="1:12" ht="12.75">
      <c r="A10" s="2880" t="s">
        <v>1780</v>
      </c>
      <c r="B10" s="2842">
        <v>15</v>
      </c>
      <c r="C10" s="2891"/>
      <c r="D10" s="2905"/>
      <c r="E10" s="56" t="s">
        <v>1781</v>
      </c>
      <c r="F10" s="2196"/>
      <c r="G10" s="2196"/>
      <c r="H10" s="2196"/>
      <c r="I10" s="2197"/>
    </row>
    <row r="11" spans="1:12" ht="12.75">
      <c r="A11" s="2880"/>
      <c r="B11" s="2842"/>
      <c r="C11" s="2892"/>
      <c r="D11" s="2905"/>
      <c r="E11" s="56" t="s">
        <v>1782</v>
      </c>
      <c r="F11" s="2196"/>
      <c r="G11" s="2196"/>
      <c r="H11" s="2196"/>
      <c r="I11" s="2197"/>
    </row>
    <row r="12" spans="1:12" ht="12.75">
      <c r="A12" s="2880" t="s">
        <v>1783</v>
      </c>
      <c r="B12" s="2842">
        <v>15</v>
      </c>
      <c r="C12" s="2891"/>
      <c r="D12" s="2905"/>
      <c r="E12" s="56" t="s">
        <v>1784</v>
      </c>
      <c r="F12" s="2196"/>
      <c r="G12" s="2196"/>
      <c r="H12" s="2196"/>
      <c r="I12" s="2197"/>
    </row>
    <row r="13" spans="1:12" ht="12.75">
      <c r="A13" s="2880"/>
      <c r="B13" s="2842"/>
      <c r="C13" s="2892"/>
      <c r="D13" s="2905"/>
      <c r="E13" s="56" t="s">
        <v>1785</v>
      </c>
      <c r="F13" s="2196"/>
      <c r="G13" s="2196"/>
      <c r="H13" s="2196"/>
      <c r="I13" s="2197"/>
    </row>
    <row r="14" spans="1:12" ht="12.75">
      <c r="A14" s="2880" t="s">
        <v>1786</v>
      </c>
      <c r="B14" s="2842">
        <v>30</v>
      </c>
      <c r="C14" s="2891">
        <v>5</v>
      </c>
      <c r="D14" s="2905">
        <v>5</v>
      </c>
      <c r="E14" s="56" t="s">
        <v>1787</v>
      </c>
      <c r="F14" s="2196"/>
      <c r="G14" s="2196"/>
      <c r="H14" s="2196"/>
      <c r="I14" s="2197"/>
    </row>
    <row r="15" spans="1:12" ht="12.75">
      <c r="A15" s="2880"/>
      <c r="B15" s="2842"/>
      <c r="C15" s="2908"/>
      <c r="D15" s="2905"/>
      <c r="E15" s="56" t="s">
        <v>1788</v>
      </c>
      <c r="F15" s="2196"/>
      <c r="G15" s="2196"/>
      <c r="H15" s="2196"/>
      <c r="I15" s="2197"/>
    </row>
    <row r="16" spans="1:12" ht="12.75">
      <c r="A16" s="2880"/>
      <c r="B16" s="2842"/>
      <c r="C16" s="2892"/>
      <c r="D16" s="2905"/>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447</v>
      </c>
      <c r="D19" s="60">
        <f ca="1">SUMIF(INDIRECT("'"&amp;D4&amp;"'"&amp;"!A:A"),结果表!B19,INDIRECT("'"&amp;D4&amp;"'"&amp;"!B:B"))</f>
        <v>443</v>
      </c>
      <c r="E19" s="2202" t="s">
        <v>1794</v>
      </c>
      <c r="F19" s="2203" t="s">
        <v>1793</v>
      </c>
      <c r="G19" s="61">
        <f ca="1">ROUND(C19*$C$18+D19*$D$18,0)</f>
        <v>445</v>
      </c>
      <c r="H19" s="2204" t="str">
        <f>'数据-取费表'!B3</f>
        <v>万元</v>
      </c>
      <c r="I19" s="2191"/>
    </row>
    <row r="20" spans="1:35" ht="15">
      <c r="A20" s="2205"/>
      <c r="B20" s="2206" t="s">
        <v>1795</v>
      </c>
      <c r="C20" s="62">
        <f ca="1">SUMIF(INDIRECT("'"&amp;C4&amp;"'"&amp;"!A:A"),结果表!B20,INDIRECT("'"&amp;C4&amp;"'"&amp;"!B:B"))</f>
        <v>41667</v>
      </c>
      <c r="D20" s="63">
        <f ca="1">SUMIF(INDIRECT("'"&amp;D4&amp;"'"&amp;"!A:A"),结果表!B20,INDIRECT("'"&amp;D4&amp;"'"&amp;"!B:B"))</f>
        <v>41330</v>
      </c>
      <c r="E20" s="2205"/>
      <c r="F20" s="2206" t="s">
        <v>1795</v>
      </c>
      <c r="G20" s="64">
        <f ca="1">ROUND(C20*$C$18+D20*$D$18,0)</f>
        <v>41499</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9.0293453724605843E-3</v>
      </c>
      <c r="E22" s="2191"/>
      <c r="F22" s="2191"/>
      <c r="G22" s="2191"/>
      <c r="H22" s="2191"/>
      <c r="I22" s="2191"/>
    </row>
    <row r="23" spans="1:35" ht="13.5" thickBot="1">
      <c r="A23" s="2191"/>
      <c r="B23" s="2191"/>
      <c r="C23" s="2191"/>
      <c r="D23" s="2191"/>
      <c r="E23" s="2191"/>
      <c r="F23" s="2191"/>
      <c r="G23" s="2191"/>
      <c r="H23" s="2191"/>
      <c r="I23" s="2191"/>
    </row>
    <row r="24" spans="1:35" ht="21.75" customHeight="1">
      <c r="A24" s="2911" t="s">
        <v>1798</v>
      </c>
      <c r="B24" s="2203" t="s">
        <v>1793</v>
      </c>
      <c r="C24" s="61">
        <f>D30</f>
        <v>0</v>
      </c>
      <c r="D24" s="989"/>
      <c r="E24" s="2191"/>
      <c r="F24" s="2191"/>
      <c r="G24" s="2191"/>
      <c r="H24" s="2191"/>
      <c r="I24" s="2191"/>
    </row>
    <row r="25" spans="1:35" ht="21.75" customHeight="1">
      <c r="A25" s="2912"/>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9" t="s">
        <v>2802</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445</v>
      </c>
      <c r="D32" s="2191" t="str">
        <f>IF(B32="楼面单价","元/平方米",H19)</f>
        <v>万元</v>
      </c>
      <c r="E32" s="2191"/>
      <c r="F32" s="2191"/>
      <c r="G32" s="2191"/>
      <c r="H32" s="2191"/>
      <c r="I32" s="2191"/>
    </row>
    <row r="33" spans="1:16" ht="15">
      <c r="A33" s="2221" t="s">
        <v>1805</v>
      </c>
      <c r="B33" s="2222"/>
      <c r="C33" s="2223"/>
      <c r="D33" s="2224"/>
      <c r="E33" s="2225" t="s">
        <v>1806</v>
      </c>
      <c r="F33" s="2226" t="str">
        <f>IF(B32="楼面单价","取值（单价）","取值（总价）")</f>
        <v>取值（总价）</v>
      </c>
      <c r="G33" s="2191"/>
      <c r="H33" s="2191"/>
      <c r="I33" s="2191"/>
    </row>
    <row r="34" spans="1:16" ht="15">
      <c r="A34" s="2227"/>
      <c r="B34" s="2228" t="s">
        <v>1807</v>
      </c>
      <c r="C34" s="72">
        <f ca="1">IF(D33="自定义",F34,C32-C35)</f>
        <v>400</v>
      </c>
      <c r="D34" s="1086">
        <f ca="1">IF(D33="自定义",ROUND(C34/C32,3),1-D35)</f>
        <v>0.89900000000000002</v>
      </c>
      <c r="E34" s="2229" t="s">
        <v>1808</v>
      </c>
      <c r="F34" s="1823">
        <v>2000</v>
      </c>
      <c r="G34" s="2191"/>
      <c r="H34" s="2191"/>
      <c r="I34" s="2191"/>
    </row>
    <row r="35" spans="1:16" ht="15.75" thickBot="1">
      <c r="A35" s="2230"/>
      <c r="B35" s="2231" t="s">
        <v>1809</v>
      </c>
      <c r="C35" s="73">
        <f ca="1">IF(D33="自定义",F35,ROUND(C32*D35,0))</f>
        <v>45</v>
      </c>
      <c r="D35" s="1085">
        <f ca="1">IF(D33="自定义",ROUND(C35/C32,3),IF(D33="成本法成本比率",成本法!C56,IF(D33="收益法收益比率",收益法!J38,收益法!J41)))</f>
        <v>0.10100000000000001</v>
      </c>
      <c r="E35" s="2232" t="s">
        <v>1810</v>
      </c>
      <c r="F35" s="79">
        <v>4460</v>
      </c>
      <c r="G35" s="2191"/>
      <c r="H35" s="2191"/>
      <c r="I35" s="2191"/>
    </row>
    <row r="36" spans="1:16" ht="15.75" thickBot="1">
      <c r="A36" s="2893" t="s">
        <v>1811</v>
      </c>
      <c r="B36" s="2233" t="s">
        <v>1812</v>
      </c>
      <c r="C36" s="69">
        <v>0</v>
      </c>
      <c r="D36" s="2234"/>
      <c r="E36" s="2235"/>
      <c r="F36" s="2235"/>
      <c r="G36" s="2191"/>
      <c r="H36" s="2191"/>
      <c r="I36" s="2191"/>
    </row>
    <row r="37" spans="1:16" ht="15.75" thickBot="1">
      <c r="A37" s="2894"/>
      <c r="B37" s="2236" t="s">
        <v>1813</v>
      </c>
      <c r="C37" s="71">
        <v>0</v>
      </c>
      <c r="D37" s="2201"/>
      <c r="E37" s="2201"/>
      <c r="F37" s="2235"/>
      <c r="G37" s="2201"/>
      <c r="H37" s="2201"/>
      <c r="I37" s="2201"/>
    </row>
    <row r="38" spans="1:16" ht="15.75" thickBot="1">
      <c r="A38" s="2895"/>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899" t="s">
        <v>1822</v>
      </c>
      <c r="B45" s="2900"/>
      <c r="C45" s="2901"/>
      <c r="D45" s="80">
        <f ca="1">ROUND(I102*F45,0)</f>
        <v>445</v>
      </c>
      <c r="E45" s="81" t="s">
        <v>1823</v>
      </c>
      <c r="F45" s="82">
        <v>1</v>
      </c>
      <c r="G45" s="83" t="s">
        <v>1824</v>
      </c>
      <c r="H45" s="2191"/>
      <c r="I45" s="2191"/>
      <c r="J45" s="2961" t="s">
        <v>1825</v>
      </c>
      <c r="K45" s="2961"/>
      <c r="L45" s="2961"/>
      <c r="M45" s="2961"/>
      <c r="N45" s="2961"/>
      <c r="O45" s="2961"/>
      <c r="P45" s="1840"/>
    </row>
    <row r="46" spans="1:16" ht="14.25" customHeight="1">
      <c r="A46" s="2884" t="s">
        <v>1826</v>
      </c>
      <c r="B46" s="2885"/>
      <c r="C46" s="2885"/>
      <c r="D46" s="2885"/>
      <c r="E46" s="2885"/>
      <c r="F46" s="2885"/>
      <c r="G46" s="2886"/>
      <c r="H46" s="2253"/>
      <c r="I46" s="1139"/>
      <c r="J46" s="1877">
        <v>1</v>
      </c>
      <c r="K46" s="2961" t="s">
        <v>1827</v>
      </c>
      <c r="L46" s="2961"/>
      <c r="M46" s="2962" t="str">
        <f>项目基本情况!B1</f>
        <v>北京市房地产抵押价值预评估</v>
      </c>
      <c r="N46" s="2962"/>
      <c r="O46" s="2962"/>
      <c r="P46" s="1840"/>
    </row>
    <row r="47" spans="1:16" ht="12" customHeight="1">
      <c r="A47" s="85" t="s">
        <v>1828</v>
      </c>
      <c r="B47" s="86"/>
      <c r="C47" s="87"/>
      <c r="D47" s="88" t="s">
        <v>1829</v>
      </c>
      <c r="E47" s="14" t="s">
        <v>1830</v>
      </c>
      <c r="F47" s="89" t="s">
        <v>1831</v>
      </c>
      <c r="G47" s="90" t="s">
        <v>1832</v>
      </c>
      <c r="H47" s="2253"/>
      <c r="I47" s="1139"/>
      <c r="J47" s="1877">
        <v>2</v>
      </c>
      <c r="K47" s="2961" t="s">
        <v>1833</v>
      </c>
      <c r="L47" s="2961"/>
      <c r="M47" s="2963">
        <f>'数据-取费表'!B2</f>
        <v>43647</v>
      </c>
      <c r="N47" s="2963"/>
      <c r="O47" s="2963"/>
      <c r="P47" s="1840"/>
    </row>
    <row r="48" spans="1:16" ht="25.5">
      <c r="A48" s="2896" t="s">
        <v>1834</v>
      </c>
      <c r="B48" s="2897"/>
      <c r="C48" s="2897"/>
      <c r="D48" s="56">
        <f ca="1">IF(H48="情况1",0,IF(H48="情况2",D52,IF(H48="情况3",D53,IF(H48="情况4",D54))))</f>
        <v>24</v>
      </c>
      <c r="E48" s="1887" t="str">
        <f>IF(H48="情况4","(销售额-原购置价)×税（费）率","销售额×税（费）率")</f>
        <v>销售额×税（费）率</v>
      </c>
      <c r="F48" s="91">
        <f>IF(H48="情况1","免征",'数据-取费表'!E29)</f>
        <v>5.6000000000000001E-2</v>
      </c>
      <c r="G48" s="2254" t="s">
        <v>1835</v>
      </c>
      <c r="H48" s="2255" t="s">
        <v>1836</v>
      </c>
      <c r="I48" s="2253"/>
      <c r="J48" s="1877">
        <v>3</v>
      </c>
      <c r="K48" s="2961" t="s">
        <v>1837</v>
      </c>
      <c r="L48" s="2961"/>
      <c r="M48" s="2962">
        <f ca="1">I102</f>
        <v>445</v>
      </c>
      <c r="N48" s="2962"/>
      <c r="O48" s="2962"/>
      <c r="P48" s="1840"/>
    </row>
    <row r="49" spans="1:16" ht="25.5" customHeight="1">
      <c r="A49" s="92" t="s">
        <v>1838</v>
      </c>
      <c r="B49" s="2889" t="s">
        <v>1839</v>
      </c>
      <c r="C49" s="2889"/>
      <c r="D49" s="93">
        <v>0</v>
      </c>
      <c r="E49" s="13" t="s">
        <v>1840</v>
      </c>
      <c r="F49" s="18" t="s">
        <v>48</v>
      </c>
      <c r="G49" s="2954"/>
      <c r="H49" s="2191"/>
      <c r="I49" s="2256"/>
      <c r="J49" s="1877">
        <v>4</v>
      </c>
      <c r="K49" s="2961" t="str">
        <f>IF(项目基本情况!F5="房地产抵押价值","房地产抵押价值","抵押担保权已注销时的房地产抵押价值")</f>
        <v>房地产抵押价值</v>
      </c>
      <c r="L49" s="2961"/>
      <c r="M49" s="2962">
        <f ca="1">IF(项目基本情况!F5="房地产抵押价值",I110,I112)</f>
        <v>445</v>
      </c>
      <c r="N49" s="2962"/>
      <c r="O49" s="2962"/>
      <c r="P49" s="1840"/>
    </row>
    <row r="50" spans="1:16" ht="25.5" customHeight="1">
      <c r="A50" s="94"/>
      <c r="B50" s="2889" t="s">
        <v>1841</v>
      </c>
      <c r="C50" s="2889"/>
      <c r="D50" s="95"/>
      <c r="E50" s="21"/>
      <c r="F50" s="96"/>
      <c r="G50" s="2955"/>
      <c r="H50" s="2191"/>
      <c r="I50" s="2256"/>
      <c r="J50" s="2961" t="s">
        <v>1842</v>
      </c>
      <c r="K50" s="2961"/>
      <c r="L50" s="2961"/>
      <c r="M50" s="2961"/>
      <c r="N50" s="2961"/>
      <c r="O50" s="2961"/>
      <c r="P50" s="1840"/>
    </row>
    <row r="51" spans="1:16" ht="12" customHeight="1">
      <c r="A51" s="97"/>
      <c r="B51" s="2889" t="s">
        <v>1843</v>
      </c>
      <c r="C51" s="2889"/>
      <c r="D51" s="98"/>
      <c r="E51" s="20"/>
      <c r="F51" s="96"/>
      <c r="G51" s="2956"/>
      <c r="H51" s="2191"/>
      <c r="I51" s="2256"/>
      <c r="J51" s="2257" t="s">
        <v>1844</v>
      </c>
      <c r="K51" s="2961" t="s">
        <v>1845</v>
      </c>
      <c r="L51" s="2961"/>
      <c r="M51" s="2257" t="s">
        <v>1846</v>
      </c>
      <c r="N51" s="2257" t="s">
        <v>1847</v>
      </c>
      <c r="O51" s="2257" t="s">
        <v>1848</v>
      </c>
      <c r="P51" s="1840"/>
    </row>
    <row r="52" spans="1:16" ht="24" customHeight="1">
      <c r="A52" s="99" t="s">
        <v>1849</v>
      </c>
      <c r="B52" s="2889" t="s">
        <v>1850</v>
      </c>
      <c r="C52" s="2889"/>
      <c r="D52" s="98">
        <f ca="1">ROUND(D45*'数据-取费表'!E29/(1+'数据-取费表'!F30),0)</f>
        <v>24</v>
      </c>
      <c r="E52" s="10" t="s">
        <v>1851</v>
      </c>
      <c r="F52" s="100">
        <f>'数据-取费表'!E29</f>
        <v>5.6000000000000001E-2</v>
      </c>
      <c r="G52" s="2258"/>
      <c r="H52" s="2191"/>
      <c r="I52" s="2256"/>
      <c r="J52" s="1877">
        <v>1</v>
      </c>
      <c r="K52" s="2921" t="s">
        <v>1852</v>
      </c>
      <c r="L52" s="2921"/>
      <c r="M52" s="777">
        <f ca="1">D48</f>
        <v>24</v>
      </c>
      <c r="N52" s="1877" t="str">
        <f>E48</f>
        <v>销售额×税（费）率</v>
      </c>
      <c r="O52" s="778">
        <f>F48</f>
        <v>5.6000000000000001E-2</v>
      </c>
      <c r="P52" s="1840"/>
    </row>
    <row r="53" spans="1:16" ht="12" customHeight="1">
      <c r="A53" s="99" t="s">
        <v>1853</v>
      </c>
      <c r="B53" s="2890" t="s">
        <v>1854</v>
      </c>
      <c r="C53" s="2820"/>
      <c r="D53" s="98">
        <f ca="1">ROUND(D45*'数据-取费表'!E29/(1+'数据-取费表'!F30),0)</f>
        <v>24</v>
      </c>
      <c r="E53" s="10" t="s">
        <v>1851</v>
      </c>
      <c r="F53" s="100">
        <f>'数据-取费表'!E29</f>
        <v>5.6000000000000001E-2</v>
      </c>
      <c r="G53" s="2258"/>
      <c r="H53" s="2191"/>
      <c r="I53" s="2256"/>
      <c r="J53" s="1877">
        <v>2</v>
      </c>
      <c r="K53" s="2921" t="s">
        <v>1855</v>
      </c>
      <c r="L53" s="2921"/>
      <c r="M53" s="777">
        <f t="shared" ref="M53:O54" ca="1" si="1">D55</f>
        <v>0</v>
      </c>
      <c r="N53" s="1877" t="str">
        <f t="shared" si="1"/>
        <v>销售额×税（费）率</v>
      </c>
      <c r="O53" s="778">
        <f t="shared" si="1"/>
        <v>5.0000000000000001E-4</v>
      </c>
      <c r="P53" s="1840"/>
    </row>
    <row r="54" spans="1:16" ht="12" customHeight="1">
      <c r="A54" s="99" t="s">
        <v>1856</v>
      </c>
      <c r="B54" s="2890" t="s">
        <v>1857</v>
      </c>
      <c r="C54" s="2820"/>
      <c r="D54" s="98">
        <f ca="1">C68</f>
        <v>24</v>
      </c>
      <c r="E54" s="20" t="s">
        <v>1858</v>
      </c>
      <c r="F54" s="100">
        <f>'数据-取费表'!E29</f>
        <v>5.6000000000000001E-2</v>
      </c>
      <c r="G54" s="2258"/>
      <c r="H54" s="2259"/>
      <c r="I54" s="2256"/>
      <c r="J54" s="1877">
        <v>3</v>
      </c>
      <c r="K54" s="2921" t="s">
        <v>1859</v>
      </c>
      <c r="L54" s="2921"/>
      <c r="M54" s="777">
        <f t="shared" ca="1" si="1"/>
        <v>252</v>
      </c>
      <c r="N54" s="1877" t="str">
        <f t="shared" si="1"/>
        <v>增值额×税（费）率</v>
      </c>
      <c r="O54" s="779" t="str">
        <f t="shared" si="1"/>
        <v>——</v>
      </c>
      <c r="P54" s="1840"/>
    </row>
    <row r="55" spans="1:16" ht="24" customHeight="1">
      <c r="A55" s="2812" t="s">
        <v>1860</v>
      </c>
      <c r="B55" s="2897"/>
      <c r="C55" s="2897"/>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921" t="str">
        <f>IF(H59="非个人房产","——","个人所得税")</f>
        <v>个人所得税</v>
      </c>
      <c r="L55" s="2921"/>
      <c r="M55" s="780">
        <f ca="1">D59</f>
        <v>4</v>
      </c>
      <c r="N55" s="1880" t="str">
        <f>E59</f>
        <v>销售额×税（费）率</v>
      </c>
      <c r="O55" s="781">
        <f>F59</f>
        <v>0.01</v>
      </c>
      <c r="P55" s="1840"/>
    </row>
    <row r="56" spans="1:16" ht="24.75">
      <c r="A56" s="2812" t="s">
        <v>1863</v>
      </c>
      <c r="B56" s="2897"/>
      <c r="C56" s="2897"/>
      <c r="D56" s="101">
        <f ca="1">IF(H56="个人住宅",D57,D58)</f>
        <v>252</v>
      </c>
      <c r="E56" s="10" t="s">
        <v>1864</v>
      </c>
      <c r="F56" s="100" t="str">
        <f>IF(H56="正常",F58,"免征")</f>
        <v>——</v>
      </c>
      <c r="G56" s="2260" t="s">
        <v>1865</v>
      </c>
      <c r="H56" s="2261" t="s">
        <v>1862</v>
      </c>
      <c r="I56" s="1017"/>
      <c r="J56" s="1877" t="str">
        <f>IF(项目基本情况!I6="上海银行",IF(J55="",4,J55+1),"")</f>
        <v/>
      </c>
      <c r="K56" s="2939" t="str">
        <f>IF(项目基本情况!I6="上海银行","其他处置费用","")</f>
        <v/>
      </c>
      <c r="L56" s="2940"/>
      <c r="M56" s="777" t="str">
        <f>IF(项目基本情况!I6="上海银行",M69,"")</f>
        <v/>
      </c>
      <c r="N56" s="2952" t="str">
        <f>IF(项目基本情况!I6="上海银行","包含处置中涉及的律师、诉讼、拍卖、评估等费用","")</f>
        <v/>
      </c>
      <c r="O56" s="2953"/>
      <c r="P56" s="1840"/>
    </row>
    <row r="57" spans="1:16" ht="12.75">
      <c r="A57" s="99" t="s">
        <v>1838</v>
      </c>
      <c r="B57" s="2887" t="s">
        <v>1866</v>
      </c>
      <c r="C57" s="2898"/>
      <c r="D57" s="103">
        <v>0</v>
      </c>
      <c r="E57" s="13" t="s">
        <v>1840</v>
      </c>
      <c r="F57" s="70"/>
      <c r="G57" s="2258"/>
      <c r="H57" s="1017"/>
      <c r="I57" s="1017"/>
      <c r="J57" s="2921">
        <f>IF(AND(J55="",J56=""),4,IF(项目基本情况!I6="上海银行",J56+1,J55+1))</f>
        <v>5</v>
      </c>
      <c r="K57" s="2921" t="s">
        <v>1867</v>
      </c>
      <c r="L57" s="2262" t="s">
        <v>1868</v>
      </c>
      <c r="M57" s="782"/>
      <c r="N57" s="783">
        <f ca="1">SUMIF(M52:M56,"&lt;9e307")</f>
        <v>280</v>
      </c>
      <c r="O57" s="2263"/>
      <c r="P57" s="1836">
        <f ca="1">N57/M49</f>
        <v>0.6292134831460674</v>
      </c>
    </row>
    <row r="58" spans="1:16" ht="24.75">
      <c r="A58" s="99" t="s">
        <v>1849</v>
      </c>
      <c r="B58" s="2887" t="s">
        <v>1869</v>
      </c>
      <c r="C58" s="2888"/>
      <c r="D58" s="101">
        <f ca="1">IF(H58="转让取得",C81,C97)</f>
        <v>252</v>
      </c>
      <c r="E58" s="10" t="s">
        <v>1864</v>
      </c>
      <c r="F58" s="14" t="s">
        <v>48</v>
      </c>
      <c r="G58" s="2258"/>
      <c r="H58" s="2261" t="s">
        <v>1870</v>
      </c>
      <c r="I58" s="1017"/>
      <c r="J58" s="2921"/>
      <c r="K58" s="2921"/>
      <c r="L58" s="2262" t="s">
        <v>1871</v>
      </c>
      <c r="M58" s="784"/>
      <c r="N58" s="2264" t="str">
        <f ca="1">IF(H19="元",NUMBERSTRING(INT(N57),2)&amp;"元整",NUMBERSTRING(INT(N57*10000),2)&amp;"元整")</f>
        <v>贰佰捌拾万元整</v>
      </c>
      <c r="O58" s="2265"/>
      <c r="P58" s="1840"/>
    </row>
    <row r="59" spans="1:16" ht="26.25" thickBot="1">
      <c r="A59" s="2813" t="s">
        <v>1872</v>
      </c>
      <c r="B59" s="2816"/>
      <c r="C59" s="2816"/>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19">
        <f>J57+1</f>
        <v>6</v>
      </c>
      <c r="K59" s="2921" t="s">
        <v>1874</v>
      </c>
      <c r="L59" s="1877" t="s">
        <v>1868</v>
      </c>
      <c r="M59" s="785"/>
      <c r="N59" s="786">
        <f ca="1">M49-N57</f>
        <v>165</v>
      </c>
      <c r="O59" s="2267"/>
      <c r="P59" s="1840"/>
    </row>
    <row r="60" spans="1:16" ht="12" customHeight="1">
      <c r="A60" s="2062"/>
      <c r="B60" s="2191"/>
      <c r="C60" s="2191"/>
      <c r="D60" s="2191"/>
      <c r="E60" s="1017"/>
      <c r="F60" s="1017"/>
      <c r="G60" s="1017"/>
      <c r="H60" s="2244"/>
      <c r="I60" s="2191"/>
      <c r="J60" s="2920"/>
      <c r="K60" s="2921"/>
      <c r="L60" s="2262" t="s">
        <v>1871</v>
      </c>
      <c r="M60" s="784"/>
      <c r="N60" s="2264" t="str">
        <f ca="1">IF(H19="元",NUMBERSTRING(INT(N59),2)&amp;"元整",NUMBERSTRING(INT(N59*10000),2)&amp;"元整")</f>
        <v>壹佰陆拾伍万元整</v>
      </c>
      <c r="O60" s="2265"/>
      <c r="P60" s="1840"/>
    </row>
    <row r="61" spans="1:16" ht="13.5" thickBot="1">
      <c r="A61" s="2902" t="s">
        <v>1875</v>
      </c>
      <c r="B61" s="2902"/>
      <c r="C61" s="2902"/>
      <c r="D61" s="2902"/>
      <c r="E61" s="2902"/>
      <c r="F61" s="1017"/>
      <c r="G61" s="1017"/>
      <c r="H61" s="2244"/>
      <c r="I61" s="2191"/>
      <c r="J61" s="1877">
        <f>J59+1</f>
        <v>7</v>
      </c>
      <c r="K61" s="2921" t="s">
        <v>1876</v>
      </c>
      <c r="L61" s="2921"/>
      <c r="M61" s="787"/>
      <c r="N61" s="788">
        <f ca="1">IF(H19="元",ROUND(N59/项目基本情况!C12,0),ROUND(N59*10000/项目基本情况!C12,0))</f>
        <v>1611</v>
      </c>
      <c r="O61" s="2268"/>
      <c r="P61" s="1840"/>
    </row>
    <row r="62" spans="1:16" ht="12.75">
      <c r="A62" s="2909" t="s">
        <v>1877</v>
      </c>
      <c r="B62" s="2910"/>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424</v>
      </c>
      <c r="D63" s="112"/>
      <c r="E63" s="113"/>
      <c r="F63" s="1017"/>
      <c r="G63" s="1017"/>
      <c r="H63" s="2244"/>
      <c r="I63" s="2191"/>
      <c r="J63" s="2941" t="s">
        <v>1881</v>
      </c>
      <c r="K63" s="2269" t="s">
        <v>1882</v>
      </c>
      <c r="L63" s="1839">
        <f ca="1">IF(M49&gt;10000,M49*0.5%,IF(AND(M49&gt;1000,M49&lt;=10000),M49*1%,IF(AND(M49&gt;100,M49&lt;=1000),M49*3%,IF(AND(M49&gt;10,M49&lt;=100),M49*5%,M49*8%))))</f>
        <v>13.35</v>
      </c>
      <c r="M63" s="14">
        <f ca="1">ROUND(L63,1)</f>
        <v>13.4</v>
      </c>
      <c r="N63" s="1840"/>
      <c r="O63" s="1840"/>
      <c r="P63" s="1840"/>
    </row>
    <row r="64" spans="1:16" ht="12.75">
      <c r="A64" s="114" t="s">
        <v>71</v>
      </c>
      <c r="B64" s="115" t="s">
        <v>1883</v>
      </c>
      <c r="C64" s="116">
        <f ca="1">D45</f>
        <v>445</v>
      </c>
      <c r="D64" s="117" t="s">
        <v>41</v>
      </c>
      <c r="E64" s="118"/>
      <c r="F64" s="1017"/>
      <c r="G64" s="1017"/>
      <c r="H64" s="2244"/>
      <c r="I64" s="2191"/>
      <c r="J64" s="2941"/>
      <c r="K64" s="2269" t="s">
        <v>1884</v>
      </c>
      <c r="L64" s="1839">
        <f ca="1">IF(M49&gt;2000,M49*0.5%,IF(AND(M49&gt;1000,M49&lt;=2000),M49*0.6%,IF(AND(M49&gt;500,M49&lt;=1000),M49*0.7%,IF(AND(M49&gt;200,M49&lt;=500),M49*0.8%,IF(AND(M49&gt;100,M49&lt;=200),M49*0.9%,IF(AND(M49&gt;50,M49&lt;=100),M49*1%,IF(AND(M49&gt;20,M49&lt;=50),M49*1.5%,IF(AND(M49&gt;10,M49&lt;=20),M49*2%,IF(AND(M49&gt;1,M49&lt;=10),M49*2.5%)))))))))</f>
        <v>3.56</v>
      </c>
      <c r="M64" s="14">
        <f t="shared" ref="M64:M65" ca="1" si="2">ROUND(L64,1)</f>
        <v>3.6</v>
      </c>
      <c r="N64" s="1840" t="s">
        <v>1885</v>
      </c>
      <c r="O64" s="1840"/>
      <c r="P64" s="1840"/>
    </row>
    <row r="65" spans="1:35" ht="12.75">
      <c r="A65" s="114" t="s">
        <v>72</v>
      </c>
      <c r="B65" s="115" t="s">
        <v>1886</v>
      </c>
      <c r="C65" s="119"/>
      <c r="D65" s="117"/>
      <c r="E65" s="118"/>
      <c r="F65" s="1017"/>
      <c r="G65" s="1017"/>
      <c r="H65" s="2244"/>
      <c r="I65" s="2191"/>
      <c r="J65" s="2941"/>
      <c r="K65" s="2269" t="s">
        <v>1887</v>
      </c>
      <c r="L65" s="1839">
        <f ca="1">IF(M49&gt;1000,M49*0.1%,IF(AND(M49&gt;500,M49&lt;=1000),M49*0.5%,IF(AND(M49&gt;50,M49&lt;=500),M49*1%,IF(AND(M49&gt;1,M49&lt;=50),M49*1.5%))))</f>
        <v>4.45</v>
      </c>
      <c r="M65" s="14">
        <f t="shared" ca="1" si="2"/>
        <v>4.5</v>
      </c>
      <c r="N65" s="1840" t="s">
        <v>1885</v>
      </c>
      <c r="O65" s="1840"/>
      <c r="P65" s="1840"/>
    </row>
    <row r="66" spans="1:35" ht="12.75">
      <c r="A66" s="120" t="s">
        <v>47</v>
      </c>
      <c r="B66" s="121" t="s">
        <v>1888</v>
      </c>
      <c r="C66" s="122"/>
      <c r="D66" s="123" t="s">
        <v>41</v>
      </c>
      <c r="E66" s="1856" t="s">
        <v>1889</v>
      </c>
      <c r="F66" s="1017"/>
      <c r="G66" s="1017"/>
      <c r="H66" s="2244"/>
      <c r="I66" s="2191"/>
      <c r="J66" s="2941"/>
      <c r="K66" s="2269" t="s">
        <v>1890</v>
      </c>
      <c r="L66" s="1839">
        <f ca="1">M49*0.5%</f>
        <v>2.2250000000000001</v>
      </c>
      <c r="M66" s="14">
        <f ca="1">IF(L66&gt;0.5,0.5,ROUND(L66,0))</f>
        <v>0.5</v>
      </c>
      <c r="N66" s="1840" t="s">
        <v>1891</v>
      </c>
      <c r="O66" s="1840"/>
      <c r="P66" s="1840"/>
    </row>
    <row r="67" spans="1:35" ht="12.75">
      <c r="A67" s="120" t="s">
        <v>42</v>
      </c>
      <c r="B67" s="121" t="s">
        <v>1892</v>
      </c>
      <c r="C67" s="124">
        <f ca="1">C63-C66</f>
        <v>424</v>
      </c>
      <c r="D67" s="117" t="s">
        <v>41</v>
      </c>
      <c r="E67" s="118"/>
      <c r="F67" s="1017"/>
      <c r="G67" s="1017"/>
      <c r="H67" s="2244"/>
      <c r="I67" s="2191"/>
      <c r="J67" s="2941"/>
      <c r="K67" s="2269" t="s">
        <v>1893</v>
      </c>
      <c r="L67" s="1839">
        <f ca="1">IF(M49&gt;=10000,(8.25+(M49-10000)*0.01%),IF(AND(M49&gt;=8000,M49&lt;10000),(7.85+(M49-8000)*0.02%),IF(AND(M49&gt;=5000,M49&lt;8000),(6.65+(M49-5000)*0.04%),IF(AND(M49&gt;=2000,M49&lt;5000),(4.25+(PM49-2000)*0.08%),IF(AND(M49&gt;=1000,M49&lt;2000),(2.75+(M49-1000)*0.15%),IF(AND(M49&gt;=100,M49&lt;1000),(0.5+(M49-100)*0.25%),IF(AND(M49&gt;0,M49&lt;100),M49*0.5%)))))))</f>
        <v>1.3625</v>
      </c>
      <c r="M67" s="14">
        <f ca="1">ROUND(L67*0.9,1)</f>
        <v>1.2</v>
      </c>
      <c r="N67" s="1840"/>
      <c r="O67" s="1840"/>
      <c r="P67" s="1840"/>
    </row>
    <row r="68" spans="1:35" ht="13.5" thickBot="1">
      <c r="A68" s="125" t="s">
        <v>46</v>
      </c>
      <c r="B68" s="126" t="s">
        <v>1894</v>
      </c>
      <c r="C68" s="127">
        <f ca="1">IF(C67&lt;=0,0,ROUND(C67*D68,0))</f>
        <v>24</v>
      </c>
      <c r="D68" s="128">
        <f>'数据-取费表'!E29</f>
        <v>5.6000000000000001E-2</v>
      </c>
      <c r="E68" s="129"/>
      <c r="F68" s="1017"/>
      <c r="G68" s="1017"/>
      <c r="H68" s="2244"/>
      <c r="I68" s="2191"/>
      <c r="J68" s="2941"/>
      <c r="K68" s="2269" t="s">
        <v>1895</v>
      </c>
      <c r="L68" s="1839">
        <f ca="1">IF(M49&gt;10000,M49*0.5%,IF(AND(M49&gt;5000,M49&lt;=10000),M49*1%,IF(AND(M49&gt;1000,M49&lt;=5000),M49*2%,IF(AND(M49&gt;200,M49&lt;=1000),M49*3%,M49*5%))))</f>
        <v>13.35</v>
      </c>
      <c r="M68" s="14">
        <f ca="1">ROUND(L68,1)</f>
        <v>13.4</v>
      </c>
      <c r="N68" s="1840"/>
      <c r="O68" s="1840"/>
      <c r="P68" s="1840"/>
    </row>
    <row r="69" spans="1:35" s="2218" customFormat="1" ht="7.5" customHeight="1">
      <c r="A69" s="2270"/>
      <c r="B69" s="2271"/>
      <c r="C69" s="2272"/>
      <c r="D69" s="2273"/>
      <c r="E69" s="2274"/>
      <c r="F69" s="1017"/>
      <c r="G69" s="1017"/>
      <c r="H69" s="2244"/>
      <c r="I69" s="2191"/>
      <c r="J69" s="2941"/>
      <c r="K69" s="2269" t="s">
        <v>1896</v>
      </c>
      <c r="L69" s="2275"/>
      <c r="M69" s="14">
        <f ca="1">ROUND(SUM(M63:M68),0)</f>
        <v>37</v>
      </c>
      <c r="N69" s="1836">
        <f ca="1">M69/M49</f>
        <v>8.3146067415730343E-2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13" t="s">
        <v>1897</v>
      </c>
      <c r="B70" s="2914"/>
      <c r="C70" s="2914"/>
      <c r="D70" s="2914"/>
      <c r="E70" s="2914"/>
      <c r="F70" s="2914"/>
      <c r="G70" s="2914"/>
      <c r="H70" s="2914"/>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09" t="s">
        <v>1877</v>
      </c>
      <c r="B71" s="2910"/>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424</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3</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890" t="s">
        <v>1907</v>
      </c>
      <c r="F76" s="2889"/>
      <c r="G76" s="2889"/>
      <c r="H76" s="2904"/>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v>
      </c>
      <c r="D78" s="145">
        <f>'数据-取费表'!E31</f>
        <v>6.000000000000001E-3</v>
      </c>
      <c r="E78" s="2881" t="s">
        <v>1912</v>
      </c>
      <c r="F78" s="2882"/>
      <c r="G78" s="2882"/>
      <c r="H78" s="2883"/>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421</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140.33333333333334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13" t="s">
        <v>1916</v>
      </c>
      <c r="B83" s="2914"/>
      <c r="C83" s="2914"/>
      <c r="D83" s="2914"/>
      <c r="E83" s="2914"/>
      <c r="F83" s="2914"/>
      <c r="G83" s="2914"/>
      <c r="H83" s="2914"/>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09" t="s">
        <v>1877</v>
      </c>
      <c r="B84" s="2910"/>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424</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81" t="s">
        <v>1924</v>
      </c>
      <c r="F91" s="2882"/>
      <c r="G91" s="2882"/>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81" t="s">
        <v>1927</v>
      </c>
      <c r="F92" s="2882"/>
      <c r="G92" s="2882"/>
      <c r="H92" s="2883"/>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v>
      </c>
      <c r="D93" s="145">
        <f>'数据-取费表'!E31</f>
        <v>6.000000000000001E-3</v>
      </c>
      <c r="E93" s="2881" t="s">
        <v>1912</v>
      </c>
      <c r="F93" s="2882"/>
      <c r="G93" s="2882"/>
      <c r="H93" s="288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81" t="s">
        <v>1929</v>
      </c>
      <c r="F94" s="2882"/>
      <c r="G94" s="2882"/>
      <c r="H94" s="288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421</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140.33333333333334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936" t="s">
        <v>1931</v>
      </c>
      <c r="B99" s="2937"/>
      <c r="C99" s="2937"/>
      <c r="D99" s="2938"/>
      <c r="E99" s="2191"/>
      <c r="F99" s="2947" t="s">
        <v>1932</v>
      </c>
      <c r="G99" s="2948"/>
      <c r="H99" s="2948"/>
      <c r="I99" s="2949"/>
    </row>
    <row r="100" spans="1:35" ht="15.75">
      <c r="A100" s="2950" t="s">
        <v>1933</v>
      </c>
      <c r="B100" s="2951"/>
      <c r="C100" s="719" t="str">
        <f>C4</f>
        <v>比较法-办公</v>
      </c>
      <c r="D100" s="720" t="str">
        <f>D4</f>
        <v>收益法</v>
      </c>
      <c r="E100" s="2191"/>
      <c r="F100" s="2846" t="s">
        <v>1934</v>
      </c>
      <c r="G100" s="2847"/>
      <c r="H100" s="2846" t="s">
        <v>1935</v>
      </c>
      <c r="I100" s="2845"/>
    </row>
    <row r="101" spans="1:35" ht="15.75">
      <c r="A101" s="2928" t="s">
        <v>1936</v>
      </c>
      <c r="B101" s="2286" t="str">
        <f>IF(H19="元","总价（元）","总价（万元）")</f>
        <v>总价（万元）</v>
      </c>
      <c r="C101" s="719">
        <f ca="1">C19</f>
        <v>447</v>
      </c>
      <c r="D101" s="720">
        <f ca="1">D19</f>
        <v>443</v>
      </c>
      <c r="E101" s="2191"/>
      <c r="F101" s="2846" t="str">
        <f>项目基本情况!I1</f>
        <v>北京市房地产</v>
      </c>
      <c r="G101" s="2847"/>
      <c r="H101" s="2844">
        <f>项目基本情况!C12</f>
        <v>1024.48</v>
      </c>
      <c r="I101" s="2845"/>
    </row>
    <row r="102" spans="1:35" ht="15.75">
      <c r="A102" s="2928"/>
      <c r="B102" s="2286" t="s">
        <v>1937</v>
      </c>
      <c r="C102" s="721">
        <f ca="1">C20</f>
        <v>41667</v>
      </c>
      <c r="D102" s="722">
        <f ca="1">D20</f>
        <v>41330</v>
      </c>
      <c r="E102" s="2191"/>
      <c r="F102" s="2873" t="s">
        <v>1938</v>
      </c>
      <c r="G102" s="2874"/>
      <c r="H102" s="2287" t="str">
        <f>C106</f>
        <v>总价（万元）</v>
      </c>
      <c r="I102" s="1857">
        <f ca="1">H121</f>
        <v>445</v>
      </c>
    </row>
    <row r="103" spans="1:35" ht="15">
      <c r="A103" s="2928" t="s">
        <v>1939</v>
      </c>
      <c r="B103" s="2288" t="str">
        <f>B101</f>
        <v>总价（万元）</v>
      </c>
      <c r="C103" s="723">
        <f ca="1">H121</f>
        <v>445</v>
      </c>
      <c r="D103" s="724"/>
      <c r="E103" s="2191"/>
      <c r="F103" s="2873"/>
      <c r="G103" s="2874"/>
      <c r="H103" s="2287" t="s">
        <v>1937</v>
      </c>
      <c r="I103" s="1045">
        <f ca="1">I121</f>
        <v>4344</v>
      </c>
    </row>
    <row r="104" spans="1:35" ht="16.5" thickBot="1">
      <c r="A104" s="2929"/>
      <c r="B104" s="2289" t="s">
        <v>1937</v>
      </c>
      <c r="C104" s="725">
        <f ca="1">I121</f>
        <v>4344</v>
      </c>
      <c r="D104" s="726"/>
      <c r="E104" s="2191"/>
      <c r="F104" s="2945"/>
      <c r="G104" s="2946"/>
      <c r="H104" s="2930"/>
      <c r="I104" s="2931"/>
    </row>
    <row r="105" spans="1:35" ht="15.75">
      <c r="A105" s="2936" t="s">
        <v>1940</v>
      </c>
      <c r="B105" s="2937"/>
      <c r="C105" s="2937"/>
      <c r="D105" s="2938"/>
      <c r="E105" s="2191"/>
      <c r="F105" s="2934" t="s">
        <v>1941</v>
      </c>
      <c r="G105" s="2935"/>
      <c r="H105" s="2290" t="str">
        <f>C108</f>
        <v>总额（万元）</v>
      </c>
      <c r="I105" s="1857">
        <f>SUMIF(I106:I108,"&lt;9E307")</f>
        <v>0</v>
      </c>
    </row>
    <row r="106" spans="1:35" ht="15">
      <c r="A106" s="2860" t="s">
        <v>1942</v>
      </c>
      <c r="B106" s="2861"/>
      <c r="C106" s="2287" t="str">
        <f>B101</f>
        <v>总价（万元）</v>
      </c>
      <c r="D106" s="1046">
        <f ca="1">H121</f>
        <v>445</v>
      </c>
      <c r="E106" s="2191"/>
      <c r="F106" s="2862" t="s">
        <v>1943</v>
      </c>
      <c r="G106" s="2863"/>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0"/>
      <c r="B107" s="2861"/>
      <c r="C107" s="2287" t="s">
        <v>1937</v>
      </c>
      <c r="D107" s="1047">
        <f ca="1">I121</f>
        <v>4344</v>
      </c>
      <c r="E107" s="2191"/>
      <c r="F107" s="2862" t="s">
        <v>1944</v>
      </c>
      <c r="G107" s="2863"/>
      <c r="H107" s="2290" t="str">
        <f>C110</f>
        <v>总额（万元）</v>
      </c>
      <c r="I107" s="1045">
        <f>C37</f>
        <v>0</v>
      </c>
      <c r="K107" s="2291"/>
    </row>
    <row r="108" spans="1:35" ht="15">
      <c r="A108" s="2867" t="s">
        <v>1945</v>
      </c>
      <c r="B108" s="2868"/>
      <c r="C108" s="2290" t="str">
        <f>IF(H19="元","总额（元）","总额（万元）")</f>
        <v>总额（万元）</v>
      </c>
      <c r="D108" s="1046">
        <f>IF(D36="正常操作",I106+I107+I108,I107+I108)</f>
        <v>0</v>
      </c>
      <c r="E108" s="2191"/>
      <c r="F108" s="2862" t="s">
        <v>1946</v>
      </c>
      <c r="G108" s="2863"/>
      <c r="H108" s="2290" t="str">
        <f>C111</f>
        <v>总额（万元）</v>
      </c>
      <c r="I108" s="1045">
        <f>C38</f>
        <v>0</v>
      </c>
    </row>
    <row r="109" spans="1:35" ht="15.75">
      <c r="A109" s="2862" t="s">
        <v>1943</v>
      </c>
      <c r="B109" s="2863"/>
      <c r="C109" s="2290" t="str">
        <f>C108</f>
        <v>总额（万元）</v>
      </c>
      <c r="D109" s="637">
        <f>IF(D36="同一抵押权人同一抵押物续贷",C36&amp;"（未扣减，详见特别提示）",C36)</f>
        <v>0</v>
      </c>
      <c r="E109" s="2191"/>
      <c r="F109" s="2945"/>
      <c r="G109" s="2946"/>
      <c r="H109" s="2932"/>
      <c r="I109" s="2933"/>
    </row>
    <row r="110" spans="1:35" ht="28.5" customHeight="1">
      <c r="A110" s="2862" t="s">
        <v>1944</v>
      </c>
      <c r="B110" s="2863"/>
      <c r="C110" s="2290" t="str">
        <f>C108</f>
        <v>总额（万元）</v>
      </c>
      <c r="D110" s="637">
        <f>C37</f>
        <v>0</v>
      </c>
      <c r="E110" s="2191"/>
      <c r="F110" s="2848" t="str">
        <f>IF(项目基本情况!F5="已注销","——","3.房地产抵押价值")</f>
        <v>3.房地产抵押价值</v>
      </c>
      <c r="G110" s="2849"/>
      <c r="H110" s="2292" t="str">
        <f>C112</f>
        <v>总价（万元）</v>
      </c>
      <c r="I110" s="1858">
        <f ca="1">IF(F110="——","——",I102-I105)</f>
        <v>445</v>
      </c>
    </row>
    <row r="111" spans="1:35" ht="15">
      <c r="A111" s="2862" t="s">
        <v>1946</v>
      </c>
      <c r="B111" s="2863"/>
      <c r="C111" s="2290" t="str">
        <f>C108</f>
        <v>总额（万元）</v>
      </c>
      <c r="D111" s="637">
        <f>C38</f>
        <v>0</v>
      </c>
      <c r="E111" s="2191"/>
      <c r="F111" s="2964"/>
      <c r="G111" s="2965"/>
      <c r="H111" s="2287" t="s">
        <v>1937</v>
      </c>
      <c r="I111" s="2293">
        <f ca="1">D113</f>
        <v>4344</v>
      </c>
    </row>
    <row r="112" spans="1:35" ht="26.25" customHeight="1">
      <c r="A112" s="2860" t="str">
        <f>IF(项目基本情况!F5="已注销","——","3.房地产抵押价值")</f>
        <v>3.房地产抵押价值</v>
      </c>
      <c r="B112" s="2861"/>
      <c r="C112" s="2287" t="str">
        <f>B101</f>
        <v>总价（万元）</v>
      </c>
      <c r="D112" s="1046">
        <f ca="1">IF(A112="——","——",D106-D108)</f>
        <v>445</v>
      </c>
      <c r="E112" s="2191"/>
      <c r="F112" s="2848" t="str">
        <f>IF(项目基本情况!F5="已注销及未注销","4.抵押担保权已注销时的房地产抵押价值",IF(项目基本情况!F5="已注销","3.抵押担保权已注销时的房地产抵押价值","——"))</f>
        <v>——</v>
      </c>
      <c r="G112" s="2849"/>
      <c r="H112" s="2292" t="str">
        <f>C114</f>
        <v>总价（万元）</v>
      </c>
      <c r="I112" s="1858" t="str">
        <f>IF(F112="——","——",I102-I107-I108)</f>
        <v>——</v>
      </c>
    </row>
    <row r="113" spans="1:15" ht="15">
      <c r="A113" s="2860"/>
      <c r="B113" s="2861"/>
      <c r="C113" s="2287" t="s">
        <v>1937</v>
      </c>
      <c r="D113" s="1047">
        <f ca="1">ROUND(IF(D112=D106,D107,IF(H19="元",D112/项目基本情况!C12,D112*10000/项目基本情况!C12)),0)</f>
        <v>4344</v>
      </c>
      <c r="E113" s="2191"/>
      <c r="F113" s="2964"/>
      <c r="G113" s="2965"/>
      <c r="H113" s="2287" t="s">
        <v>1937</v>
      </c>
      <c r="I113" s="2294" t="str">
        <f>D115</f>
        <v>——</v>
      </c>
    </row>
    <row r="114" spans="1:15" ht="15.75">
      <c r="A114" s="2860" t="str">
        <f>IF(项目基本情况!F5="已注销及未注销","4.抵押担保权已注销时的房地产抵押价值",IF(项目基本情况!F5="已注销","3.抵押担保权已注销时的房地产抵押价值","——"))</f>
        <v>——</v>
      </c>
      <c r="B114" s="2861"/>
      <c r="C114" s="2287" t="str">
        <f>B101</f>
        <v>总价（万元）</v>
      </c>
      <c r="D114" s="1046" t="str">
        <f>IF(A114="——","——",D106-D110-D111)</f>
        <v>——</v>
      </c>
      <c r="E114" s="2191"/>
      <c r="F114" s="2848" t="str">
        <f>IF(项目基本情况!G5="抵押净值",IF(OR(项目基本情况!F5="已注销",项目基本情况!F5="房地产抵押价值"),"4.抵押净值","5.抵押净值"),"——")</f>
        <v>——</v>
      </c>
      <c r="G114" s="2849"/>
      <c r="H114" s="2287" t="str">
        <f>C116</f>
        <v>总价（万元）</v>
      </c>
      <c r="I114" s="1857" t="str">
        <f>IF(F114="——","——",N59)</f>
        <v>——</v>
      </c>
    </row>
    <row r="115" spans="1:15" ht="15.75" thickBot="1">
      <c r="A115" s="2860"/>
      <c r="B115" s="2861"/>
      <c r="C115" s="2287" t="s">
        <v>1937</v>
      </c>
      <c r="D115" s="1047" t="str">
        <f>IF(A114="——","——",ROUND(IF(D114=D106,D107,IF(H19="元",D114/项目基本情况!C12,D114*10000/项目基本情况!C12)),0))</f>
        <v>——</v>
      </c>
      <c r="E115" s="2191"/>
      <c r="F115" s="2850"/>
      <c r="G115" s="2851"/>
      <c r="H115" s="2295" t="s">
        <v>1937</v>
      </c>
      <c r="I115" s="1859" t="str">
        <f ca="1">D117</f>
        <v>——</v>
      </c>
    </row>
    <row r="116" spans="1:15" ht="15.75">
      <c r="A116" s="2860" t="str">
        <f>IF(项目基本情况!G5="抵押净值",IF(OR(项目基本情况!F5="已注销",项目基本情况!F5="房地产抵押价值"),"4.抵押净值","5.抵押净值"),"——")</f>
        <v>——</v>
      </c>
      <c r="B116" s="2861"/>
      <c r="C116" s="2287" t="str">
        <f>B101</f>
        <v>总价（万元）</v>
      </c>
      <c r="D116" s="1046" t="str">
        <f>IF(A116="——","——",N59)</f>
        <v>——</v>
      </c>
      <c r="E116" s="2191"/>
      <c r="F116" s="2960"/>
      <c r="G116" s="2960"/>
      <c r="H116" s="2916"/>
      <c r="I116" s="2916"/>
      <c r="N116" s="55"/>
      <c r="O116" s="55"/>
    </row>
    <row r="117" spans="1:15" ht="15.75" thickBot="1">
      <c r="A117" s="2865"/>
      <c r="B117" s="2866"/>
      <c r="C117" s="2295" t="s">
        <v>1937</v>
      </c>
      <c r="D117" s="1048" t="str">
        <f ca="1">IF(D116=D112,D113,IF(A116="——","——",N61))</f>
        <v>——</v>
      </c>
      <c r="E117" s="2191"/>
      <c r="F117" s="2840" t="str">
        <f>IF(B32="总价","（以上估价结果中单价为总价除以建筑面积得出）","（以上估价结果中总价为楼面单价乘以建筑面积得出）")</f>
        <v>（以上估价结果中单价为总价除以建筑面积得出）</v>
      </c>
      <c r="G117" s="2840"/>
      <c r="H117" s="2840"/>
      <c r="I117" s="2840"/>
      <c r="N117" s="55"/>
      <c r="O117" s="55"/>
    </row>
    <row r="118" spans="1:15" ht="15">
      <c r="A118" s="2917" t="s">
        <v>1947</v>
      </c>
      <c r="B118" s="2918"/>
      <c r="C118" s="2918"/>
      <c r="D118" s="2918"/>
      <c r="E118" s="2918"/>
      <c r="F118" s="2918"/>
      <c r="G118" s="2918"/>
      <c r="H118" s="2918"/>
      <c r="I118" s="2918"/>
    </row>
    <row r="119" spans="1:15" ht="14.25">
      <c r="A119" s="2841" t="s">
        <v>1948</v>
      </c>
      <c r="B119" s="2871" t="s">
        <v>1949</v>
      </c>
      <c r="C119" s="2871" t="s">
        <v>1950</v>
      </c>
      <c r="D119" s="2943" t="s">
        <v>1951</v>
      </c>
      <c r="E119" s="2944"/>
      <c r="F119" s="2842" t="s">
        <v>1809</v>
      </c>
      <c r="G119" s="2842"/>
      <c r="H119" s="2842" t="s">
        <v>1952</v>
      </c>
      <c r="I119" s="2942"/>
    </row>
    <row r="120" spans="1:15" ht="14.25">
      <c r="A120" s="2841"/>
      <c r="B120" s="2872"/>
      <c r="C120" s="2872"/>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1024.48</v>
      </c>
      <c r="C121" s="1881">
        <f>项目基本情况!C13</f>
        <v>105.21</v>
      </c>
      <c r="D121" s="1881">
        <f ca="1">ROUND(IF(B32="总价",C34,IF('数据-取费表'!B3="万元",E121*B121/10000,E121*B121)),0)</f>
        <v>400</v>
      </c>
      <c r="E121" s="1881">
        <f ca="1">ROUND(IF(B32="楼面单价",C34,IF(H19="元",D121/B121,D121*10000/B121)),0)</f>
        <v>3904</v>
      </c>
      <c r="F121" s="1881">
        <f ca="1">ROUND(IF(B32="总价",C35,IF('数据-取费表'!B3="万元",G121*B121/10000,G121*B121)),0)</f>
        <v>45</v>
      </c>
      <c r="G121" s="1881">
        <f ca="1">ROUND(IF(B32="楼面单价",C35,IF(H19="元",F121/B121,F121*10000/B121)),0)</f>
        <v>439</v>
      </c>
      <c r="H121" s="1881">
        <f ca="1">ROUND(IF(B32="总价",C32,IF('数据-取费表'!B3="万元",I121*B121/10000,I121*B121)),0)</f>
        <v>445</v>
      </c>
      <c r="I121" s="637">
        <f ca="1">ROUND(IF(B32="楼面单价",C32,IF(H19="元",H121/B121,H121*10000/B121)),0)</f>
        <v>4344</v>
      </c>
    </row>
    <row r="122" spans="1:15" ht="14.25">
      <c r="A122" s="2841" t="s">
        <v>1956</v>
      </c>
      <c r="B122" s="2842"/>
      <c r="C122" s="2842"/>
      <c r="D122" s="2875" t="str">
        <f ca="1">IF(H19="元",NUMBERSTRING(INT(D121),2)&amp;"元整",NUMBERSTRING(INT(D121*10000),2)&amp;"元整")</f>
        <v>肆佰万元整</v>
      </c>
      <c r="E122" s="2922"/>
      <c r="F122" s="2875" t="str">
        <f ca="1">IF(H19="元",NUMBERSTRING(INT(F121),2)&amp;"元整",NUMBERSTRING(INT(F121*10000),2)&amp;"元整")</f>
        <v>肆拾伍万元整</v>
      </c>
      <c r="G122" s="2922"/>
      <c r="H122" s="2875" t="str">
        <f ca="1">IF(H19="元",NUMBERSTRING(INT(H121),2)&amp;"元整",NUMBERSTRING(INT(H121*10000),2)&amp;"元整")</f>
        <v>肆佰肆拾伍万元整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1956</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445</v>
      </c>
      <c r="E125" s="2853"/>
      <c r="F125" s="2853"/>
      <c r="G125" s="2853"/>
      <c r="H125" s="2853"/>
      <c r="I125" s="2854"/>
    </row>
    <row r="126" spans="1:15" ht="14.25">
      <c r="A126" s="2841" t="s">
        <v>1956</v>
      </c>
      <c r="B126" s="2842"/>
      <c r="C126" s="2842"/>
      <c r="D126" s="2855">
        <f ca="1">I111</f>
        <v>4344</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1956</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1956</v>
      </c>
      <c r="B130" s="2870"/>
      <c r="C130" s="2870"/>
      <c r="D130" s="2877">
        <f>H116</f>
        <v>0</v>
      </c>
      <c r="E130" s="2878"/>
      <c r="F130" s="2878"/>
      <c r="G130" s="2878"/>
      <c r="H130" s="2878"/>
      <c r="I130" s="2879"/>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39" t="str">
        <f>IF(B32="总价","（以上估价结果中楼面单价为总价除以建筑面积得出）","（以上估价结果中总价为楼面单价乘以建筑面积得出）")</f>
        <v>（以上估价结果中楼面单价为总价除以建筑面积得出）</v>
      </c>
      <c r="B132" s="2839"/>
      <c r="C132" s="2839"/>
      <c r="D132" s="2839"/>
      <c r="E132" s="2839"/>
      <c r="F132" s="2839"/>
      <c r="G132" s="2839"/>
      <c r="H132" s="2839"/>
      <c r="I132" s="2839"/>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2976" t="s">
        <v>1965</v>
      </c>
      <c r="B2" s="2976"/>
      <c r="C2" s="2976"/>
      <c r="D2" s="2976"/>
      <c r="E2" s="2976"/>
      <c r="F2" s="2976"/>
      <c r="G2" s="2976"/>
      <c r="H2" s="2976"/>
      <c r="I2" s="2976"/>
    </row>
    <row r="3" spans="1:12" ht="12.75">
      <c r="A3" s="2906" t="s">
        <v>1769</v>
      </c>
      <c r="B3" s="2907"/>
      <c r="C3" s="2907"/>
      <c r="D3" s="2907"/>
      <c r="E3" s="2907"/>
      <c r="F3" s="2907"/>
      <c r="G3" s="2907"/>
      <c r="H3" s="2907"/>
      <c r="I3" s="2907"/>
    </row>
    <row r="4" spans="1:12" ht="14.25">
      <c r="A4" s="2193" t="s">
        <v>1770</v>
      </c>
      <c r="B4" s="2194" t="s">
        <v>1771</v>
      </c>
      <c r="C4" s="2195" t="s">
        <v>2879</v>
      </c>
      <c r="D4" s="2195" t="s">
        <v>2879</v>
      </c>
      <c r="E4" s="2887" t="s">
        <v>1966</v>
      </c>
      <c r="F4" s="2888"/>
      <c r="G4" s="2888"/>
      <c r="H4" s="2888"/>
      <c r="I4" s="2898"/>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1773</v>
      </c>
      <c r="B5" s="2842">
        <v>25</v>
      </c>
      <c r="C5" s="2891"/>
      <c r="D5" s="2905"/>
      <c r="E5" s="56" t="s">
        <v>1774</v>
      </c>
      <c r="F5" s="2196"/>
      <c r="G5" s="2196"/>
      <c r="H5" s="2196"/>
      <c r="I5" s="2197"/>
    </row>
    <row r="6" spans="1:12" ht="12.75">
      <c r="A6" s="2880"/>
      <c r="B6" s="2842"/>
      <c r="C6" s="2908"/>
      <c r="D6" s="2905"/>
      <c r="E6" s="56" t="s">
        <v>1775</v>
      </c>
      <c r="F6" s="2196"/>
      <c r="G6" s="2196"/>
      <c r="H6" s="2196"/>
      <c r="I6" s="2197"/>
    </row>
    <row r="7" spans="1:12" ht="12.75">
      <c r="A7" s="2880"/>
      <c r="B7" s="2842"/>
      <c r="C7" s="2892"/>
      <c r="D7" s="2905"/>
      <c r="E7" s="56" t="s">
        <v>1776</v>
      </c>
      <c r="F7" s="2196"/>
      <c r="G7" s="2196"/>
      <c r="H7" s="2196"/>
      <c r="I7" s="2197"/>
    </row>
    <row r="8" spans="1:12" ht="12.75">
      <c r="A8" s="2880" t="s">
        <v>1777</v>
      </c>
      <c r="B8" s="2842">
        <v>15</v>
      </c>
      <c r="C8" s="2891"/>
      <c r="D8" s="2905"/>
      <c r="E8" s="56" t="s">
        <v>1778</v>
      </c>
      <c r="F8" s="2196"/>
      <c r="G8" s="2196"/>
      <c r="H8" s="2196"/>
      <c r="I8" s="2197"/>
    </row>
    <row r="9" spans="1:12" ht="12.75">
      <c r="A9" s="2880"/>
      <c r="B9" s="2842"/>
      <c r="C9" s="2892"/>
      <c r="D9" s="2905"/>
      <c r="E9" s="56" t="s">
        <v>1779</v>
      </c>
      <c r="F9" s="2196"/>
      <c r="G9" s="2196"/>
      <c r="H9" s="2196"/>
      <c r="I9" s="2197"/>
    </row>
    <row r="10" spans="1:12" ht="12.75">
      <c r="A10" s="2880" t="s">
        <v>1780</v>
      </c>
      <c r="B10" s="2842">
        <v>15</v>
      </c>
      <c r="C10" s="2891"/>
      <c r="D10" s="2905"/>
      <c r="E10" s="56" t="s">
        <v>1781</v>
      </c>
      <c r="F10" s="2196"/>
      <c r="G10" s="2196"/>
      <c r="H10" s="2196"/>
      <c r="I10" s="2197"/>
    </row>
    <row r="11" spans="1:12" ht="12.75">
      <c r="A11" s="2880"/>
      <c r="B11" s="2842"/>
      <c r="C11" s="2892"/>
      <c r="D11" s="2905"/>
      <c r="E11" s="56" t="s">
        <v>1782</v>
      </c>
      <c r="F11" s="2196"/>
      <c r="G11" s="2196"/>
      <c r="H11" s="2196"/>
      <c r="I11" s="2197"/>
    </row>
    <row r="12" spans="1:12" ht="12.75">
      <c r="A12" s="2880" t="s">
        <v>1783</v>
      </c>
      <c r="B12" s="2842">
        <v>15</v>
      </c>
      <c r="C12" s="2891"/>
      <c r="D12" s="2905"/>
      <c r="E12" s="56" t="s">
        <v>1784</v>
      </c>
      <c r="F12" s="2196"/>
      <c r="G12" s="2196"/>
      <c r="H12" s="2196"/>
      <c r="I12" s="2197"/>
    </row>
    <row r="13" spans="1:12" ht="12.75">
      <c r="A13" s="2880"/>
      <c r="B13" s="2842"/>
      <c r="C13" s="2892"/>
      <c r="D13" s="2905"/>
      <c r="E13" s="56" t="s">
        <v>1785</v>
      </c>
      <c r="F13" s="2196"/>
      <c r="G13" s="2196"/>
      <c r="H13" s="2196"/>
      <c r="I13" s="2197"/>
    </row>
    <row r="14" spans="1:12" ht="12.75">
      <c r="A14" s="2880" t="s">
        <v>1786</v>
      </c>
      <c r="B14" s="2842">
        <v>30</v>
      </c>
      <c r="C14" s="2891">
        <v>1</v>
      </c>
      <c r="D14" s="2905"/>
      <c r="E14" s="56" t="s">
        <v>1787</v>
      </c>
      <c r="F14" s="2196"/>
      <c r="G14" s="2196"/>
      <c r="H14" s="2196"/>
      <c r="I14" s="2197"/>
    </row>
    <row r="15" spans="1:12" ht="12.75">
      <c r="A15" s="2880"/>
      <c r="B15" s="2842"/>
      <c r="C15" s="2908"/>
      <c r="D15" s="2905"/>
      <c r="E15" s="56" t="s">
        <v>1788</v>
      </c>
      <c r="F15" s="2196"/>
      <c r="G15" s="2196"/>
      <c r="H15" s="2196"/>
      <c r="I15" s="2197"/>
    </row>
    <row r="16" spans="1:12" ht="12.75">
      <c r="A16" s="2880"/>
      <c r="B16" s="2842"/>
      <c r="C16" s="2892"/>
      <c r="D16" s="2905"/>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4219</v>
      </c>
      <c r="D19" s="60">
        <f ca="1">SUMIF(INDIRECT("'"&amp;D4&amp;"'"&amp;"!A:A"),'结果表 (1修多)'!B19,INDIRECT("'"&amp;D4&amp;"'"&amp;"!B:B"))</f>
        <v>4219</v>
      </c>
      <c r="E19" s="2202" t="s">
        <v>1794</v>
      </c>
      <c r="F19" s="2203" t="s">
        <v>1793</v>
      </c>
      <c r="G19" s="61">
        <f ca="1">ROUND(C19*$C$18+D19*$D$18,0)</f>
        <v>4219</v>
      </c>
      <c r="H19" s="2204" t="str">
        <f>'数据-取费表'!B3</f>
        <v>万元</v>
      </c>
      <c r="I19" s="2191"/>
    </row>
    <row r="20" spans="1:35" ht="15">
      <c r="A20" s="2205"/>
      <c r="B20" s="2206" t="s">
        <v>1795</v>
      </c>
      <c r="C20" s="62">
        <f ca="1">SUMIF(INDIRECT("'"&amp;C4&amp;"'"&amp;"!A:A"),'结果表 (1修多)'!B20,INDIRECT("'"&amp;C4&amp;"'"&amp;"!B:B"))</f>
        <v>41182</v>
      </c>
      <c r="D20" s="63">
        <f ca="1">SUMIF(INDIRECT("'"&amp;D4&amp;"'"&amp;"!A:A"),'结果表 (1修多)'!B20,INDIRECT("'"&amp;D4&amp;"'"&amp;"!B:B"))</f>
        <v>41182</v>
      </c>
      <c r="E20" s="2205"/>
      <c r="F20" s="2206" t="s">
        <v>1795</v>
      </c>
      <c r="G20" s="64">
        <f ca="1">ROUND(C20*$C$18+D20*$D$18,0)</f>
        <v>41182</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11" t="s">
        <v>1798</v>
      </c>
      <c r="B24" s="2203" t="s">
        <v>1793</v>
      </c>
      <c r="C24" s="61">
        <f>D30</f>
        <v>0</v>
      </c>
      <c r="D24" s="989"/>
      <c r="E24" s="2191"/>
      <c r="F24" s="2191"/>
      <c r="G24" s="2191"/>
      <c r="H24" s="2191"/>
      <c r="I24" s="2191"/>
    </row>
    <row r="25" spans="1:35" ht="21.75" customHeight="1">
      <c r="A25" s="2912"/>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1968</v>
      </c>
      <c r="B30" s="2701"/>
      <c r="C30" s="2701"/>
      <c r="D30" s="2701"/>
      <c r="E30" s="2699" t="s">
        <v>2803</v>
      </c>
      <c r="F30" s="2191"/>
      <c r="G30" s="2191"/>
      <c r="H30" s="2191"/>
      <c r="I30" s="2191"/>
    </row>
    <row r="31" spans="1:35" s="2218" customFormat="1" ht="15.75" thickBot="1">
      <c r="A31" s="2967" t="s">
        <v>1969</v>
      </c>
      <c r="B31" s="2967"/>
      <c r="C31" s="2967"/>
      <c r="D31" s="2967"/>
      <c r="E31" s="2967"/>
      <c r="F31" s="2967"/>
      <c r="G31" s="2967"/>
      <c r="H31" s="2967"/>
      <c r="I31" s="296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41499</v>
      </c>
      <c r="D32" s="2191" t="s">
        <v>1971</v>
      </c>
      <c r="E32" s="2191"/>
      <c r="F32" s="2191"/>
      <c r="G32" s="2191"/>
      <c r="H32" s="2191"/>
      <c r="I32" s="2191"/>
    </row>
    <row r="33" spans="1:16" ht="15">
      <c r="A33" s="2318" t="s">
        <v>1972</v>
      </c>
      <c r="B33" s="2319" t="s">
        <v>1973</v>
      </c>
      <c r="C33" s="1304">
        <f ca="1">典型户型修正!B2</f>
        <v>4219</v>
      </c>
      <c r="D33" s="2320" t="str">
        <f>IF('数据-取费表'!B3="万元","万元","元")</f>
        <v>万元</v>
      </c>
      <c r="E33" s="2191"/>
      <c r="F33" s="2191"/>
      <c r="G33" s="2191"/>
      <c r="H33" s="2191"/>
      <c r="I33" s="2191"/>
    </row>
    <row r="34" spans="1:16" ht="15.75" thickBot="1">
      <c r="A34" s="2321"/>
      <c r="B34" s="2322" t="s">
        <v>1974</v>
      </c>
      <c r="C34" s="770">
        <f ca="1">典型户型修正!B3</f>
        <v>41182</v>
      </c>
      <c r="D34" s="2191" t="s">
        <v>1975</v>
      </c>
      <c r="E34" s="2191"/>
      <c r="F34" s="2191"/>
      <c r="G34" s="2191"/>
      <c r="H34" s="2191"/>
      <c r="I34" s="2191"/>
    </row>
    <row r="35" spans="1:16" ht="15">
      <c r="A35" s="2323"/>
      <c r="B35" s="2324" t="s">
        <v>1976</v>
      </c>
      <c r="C35" s="1311">
        <f>IF('数据-取费表'!B3="万元",典型户型修正!V25,典型户型修正!U25)</f>
        <v>0</v>
      </c>
      <c r="D35" s="2191" t="str">
        <f>D33</f>
        <v>万元</v>
      </c>
      <c r="E35" s="2191"/>
      <c r="F35" s="2191"/>
      <c r="G35" s="2191"/>
      <c r="H35" s="2191"/>
      <c r="I35" s="2191"/>
    </row>
    <row r="36" spans="1:16" ht="15.75" thickBot="1">
      <c r="A36" s="2230"/>
      <c r="B36" s="2325" t="s">
        <v>1977</v>
      </c>
      <c r="C36" s="1312">
        <f>IF('数据-取费表'!B3="万元",典型户型修正!Y25,典型户型修正!X25)</f>
        <v>0</v>
      </c>
      <c r="D36" s="2191" t="str">
        <f>D33</f>
        <v>万元</v>
      </c>
      <c r="E36" s="2191"/>
      <c r="F36" s="2191"/>
      <c r="G36" s="2191"/>
      <c r="H36" s="2191"/>
      <c r="I36" s="2191"/>
    </row>
    <row r="37" spans="1:16" ht="15.75" thickBot="1">
      <c r="A37" s="2893" t="s">
        <v>1978</v>
      </c>
      <c r="B37" s="2233" t="s">
        <v>1979</v>
      </c>
      <c r="C37" s="69"/>
      <c r="D37" s="2234"/>
      <c r="E37" s="2235"/>
      <c r="F37" s="2235"/>
      <c r="G37" s="2191"/>
      <c r="H37" s="2191"/>
      <c r="I37" s="2191"/>
    </row>
    <row r="38" spans="1:16" ht="15.75" thickBot="1">
      <c r="A38" s="2894"/>
      <c r="B38" s="2236" t="s">
        <v>1980</v>
      </c>
      <c r="C38" s="71"/>
      <c r="D38" s="2201"/>
      <c r="E38" s="2201"/>
      <c r="F38" s="2235"/>
      <c r="G38" s="2201"/>
      <c r="H38" s="2201"/>
      <c r="I38" s="2201"/>
    </row>
    <row r="39" spans="1:16" ht="15.75" thickBot="1">
      <c r="A39" s="2895"/>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899" t="s">
        <v>1991</v>
      </c>
      <c r="B46" s="2900"/>
      <c r="C46" s="2901"/>
      <c r="D46" s="80">
        <f ca="1">ROUND(I103*F46,0)</f>
        <v>4219</v>
      </c>
      <c r="E46" s="81" t="s">
        <v>1992</v>
      </c>
      <c r="F46" s="82">
        <v>1</v>
      </c>
      <c r="G46" s="83" t="s">
        <v>1993</v>
      </c>
      <c r="H46" s="2191"/>
      <c r="I46" s="2191"/>
      <c r="J46" s="2961" t="s">
        <v>1825</v>
      </c>
      <c r="K46" s="2961"/>
      <c r="L46" s="2961"/>
      <c r="M46" s="2961"/>
      <c r="N46" s="2961"/>
      <c r="O46" s="2961"/>
      <c r="P46" s="1840"/>
    </row>
    <row r="47" spans="1:16" ht="14.25" customHeight="1">
      <c r="A47" s="2884" t="s">
        <v>1826</v>
      </c>
      <c r="B47" s="2885"/>
      <c r="C47" s="2885"/>
      <c r="D47" s="2885"/>
      <c r="E47" s="2885"/>
      <c r="F47" s="2885"/>
      <c r="G47" s="2886"/>
      <c r="H47" s="2253"/>
      <c r="I47" s="1139"/>
      <c r="J47" s="1877">
        <v>1</v>
      </c>
      <c r="K47" s="2961" t="s">
        <v>1827</v>
      </c>
      <c r="L47" s="2961"/>
      <c r="M47" s="2977"/>
      <c r="N47" s="2977"/>
      <c r="O47" s="2977"/>
      <c r="P47" s="1840"/>
    </row>
    <row r="48" spans="1:16" ht="12" customHeight="1">
      <c r="A48" s="85" t="s">
        <v>1828</v>
      </c>
      <c r="B48" s="86"/>
      <c r="C48" s="87"/>
      <c r="D48" s="88" t="s">
        <v>1829</v>
      </c>
      <c r="E48" s="14" t="s">
        <v>1830</v>
      </c>
      <c r="F48" s="89" t="s">
        <v>1831</v>
      </c>
      <c r="G48" s="90" t="s">
        <v>1832</v>
      </c>
      <c r="H48" s="2253"/>
      <c r="I48" s="1139"/>
      <c r="J48" s="1877">
        <v>2</v>
      </c>
      <c r="K48" s="2961" t="s">
        <v>1833</v>
      </c>
      <c r="L48" s="2961"/>
      <c r="M48" s="2963">
        <f>'数据-取费表'!B2</f>
        <v>43647</v>
      </c>
      <c r="N48" s="2963"/>
      <c r="O48" s="2963"/>
      <c r="P48" s="1840"/>
    </row>
    <row r="49" spans="1:16" ht="25.5">
      <c r="A49" s="2896" t="s">
        <v>1834</v>
      </c>
      <c r="B49" s="2897"/>
      <c r="C49" s="2897"/>
      <c r="D49" s="56">
        <f ca="1">IF(H49="情况1",0,IF(H49="情况2",D53,IF(H49="情况3",D54,IF(H49="情况4",D55))))</f>
        <v>225</v>
      </c>
      <c r="E49" s="1887" t="str">
        <f>IF(H49="情况4","(销售额-原购置价)×税（费）率","销售额×税（费）率")</f>
        <v>销售额×税（费）率</v>
      </c>
      <c r="F49" s="91">
        <f>IF(H49="情况1","免征",'数据-取费表'!E29)</f>
        <v>5.6000000000000001E-2</v>
      </c>
      <c r="G49" s="2254" t="s">
        <v>1835</v>
      </c>
      <c r="H49" s="2255" t="s">
        <v>1836</v>
      </c>
      <c r="I49" s="2253"/>
      <c r="J49" s="1877">
        <v>3</v>
      </c>
      <c r="K49" s="2961" t="s">
        <v>1837</v>
      </c>
      <c r="L49" s="2961"/>
      <c r="M49" s="2962">
        <f ca="1">I103</f>
        <v>4219</v>
      </c>
      <c r="N49" s="2962"/>
      <c r="O49" s="2962"/>
      <c r="P49" s="1840"/>
    </row>
    <row r="50" spans="1:16" ht="25.5" customHeight="1">
      <c r="A50" s="92" t="s">
        <v>1838</v>
      </c>
      <c r="B50" s="2889" t="s">
        <v>1839</v>
      </c>
      <c r="C50" s="2889"/>
      <c r="D50" s="93">
        <v>0</v>
      </c>
      <c r="E50" s="13" t="s">
        <v>1840</v>
      </c>
      <c r="F50" s="18" t="s">
        <v>48</v>
      </c>
      <c r="G50" s="2954"/>
      <c r="H50" s="2191"/>
      <c r="I50" s="2256"/>
      <c r="J50" s="1877">
        <v>4</v>
      </c>
      <c r="K50" s="2961" t="str">
        <f>IF(项目基本情况!F5="房地产抵押价值","房地产抵押价值","抵押担保权已注销时的房地产抵押价值")</f>
        <v>房地产抵押价值</v>
      </c>
      <c r="L50" s="2961"/>
      <c r="M50" s="2962">
        <f ca="1">IF(项目基本情况!F5="房地产抵押价值",I111,I113)</f>
        <v>4219</v>
      </c>
      <c r="N50" s="2962"/>
      <c r="O50" s="2962"/>
      <c r="P50" s="1840"/>
    </row>
    <row r="51" spans="1:16" ht="25.5" customHeight="1">
      <c r="A51" s="94"/>
      <c r="B51" s="2889" t="s">
        <v>1841</v>
      </c>
      <c r="C51" s="2889"/>
      <c r="D51" s="95"/>
      <c r="E51" s="21"/>
      <c r="F51" s="96"/>
      <c r="G51" s="2955"/>
      <c r="H51" s="2191"/>
      <c r="I51" s="2256"/>
      <c r="J51" s="2961" t="s">
        <v>1842</v>
      </c>
      <c r="K51" s="2961"/>
      <c r="L51" s="2961"/>
      <c r="M51" s="2961"/>
      <c r="N51" s="2961"/>
      <c r="O51" s="2961"/>
      <c r="P51" s="1840"/>
    </row>
    <row r="52" spans="1:16" ht="12" customHeight="1">
      <c r="A52" s="97"/>
      <c r="B52" s="2889" t="s">
        <v>1843</v>
      </c>
      <c r="C52" s="2889"/>
      <c r="D52" s="98"/>
      <c r="E52" s="20"/>
      <c r="F52" s="96"/>
      <c r="G52" s="2956"/>
      <c r="H52" s="2191"/>
      <c r="I52" s="2256"/>
      <c r="J52" s="2257" t="s">
        <v>1844</v>
      </c>
      <c r="K52" s="2961" t="s">
        <v>1845</v>
      </c>
      <c r="L52" s="2961"/>
      <c r="M52" s="2257" t="s">
        <v>1846</v>
      </c>
      <c r="N52" s="2257" t="s">
        <v>1847</v>
      </c>
      <c r="O52" s="2257" t="s">
        <v>1848</v>
      </c>
      <c r="P52" s="1840"/>
    </row>
    <row r="53" spans="1:16" ht="24" customHeight="1">
      <c r="A53" s="99" t="s">
        <v>1849</v>
      </c>
      <c r="B53" s="2889" t="s">
        <v>1850</v>
      </c>
      <c r="C53" s="2889"/>
      <c r="D53" s="98">
        <f ca="1">ROUND(D46*'数据-取费表'!E29/(1+'数据-取费表'!F30),0)</f>
        <v>225</v>
      </c>
      <c r="E53" s="10" t="s">
        <v>1851</v>
      </c>
      <c r="F53" s="100">
        <f>'数据-取费表'!E29</f>
        <v>5.6000000000000001E-2</v>
      </c>
      <c r="G53" s="2258"/>
      <c r="H53" s="2191"/>
      <c r="I53" s="2256"/>
      <c r="J53" s="1877">
        <v>1</v>
      </c>
      <c r="K53" s="2921" t="s">
        <v>1852</v>
      </c>
      <c r="L53" s="2921"/>
      <c r="M53" s="777">
        <f ca="1">D49</f>
        <v>225</v>
      </c>
      <c r="N53" s="1877" t="str">
        <f>E49</f>
        <v>销售额×税（费）率</v>
      </c>
      <c r="O53" s="778">
        <f>F49</f>
        <v>5.6000000000000001E-2</v>
      </c>
      <c r="P53" s="1840"/>
    </row>
    <row r="54" spans="1:16" ht="12" customHeight="1">
      <c r="A54" s="99" t="s">
        <v>1853</v>
      </c>
      <c r="B54" s="2890" t="s">
        <v>1854</v>
      </c>
      <c r="C54" s="2820"/>
      <c r="D54" s="98">
        <f ca="1">ROUND(D46*'数据-取费表'!E29/(1+'数据-取费表'!F30),0)</f>
        <v>225</v>
      </c>
      <c r="E54" s="10" t="s">
        <v>1851</v>
      </c>
      <c r="F54" s="100">
        <f>'数据-取费表'!E29</f>
        <v>5.6000000000000001E-2</v>
      </c>
      <c r="G54" s="2258"/>
      <c r="H54" s="2191"/>
      <c r="I54" s="2256"/>
      <c r="J54" s="1877">
        <v>2</v>
      </c>
      <c r="K54" s="2921" t="s">
        <v>1855</v>
      </c>
      <c r="L54" s="2921"/>
      <c r="M54" s="777">
        <f t="shared" ref="M54:O55" ca="1" si="1">D56</f>
        <v>2</v>
      </c>
      <c r="N54" s="1877" t="str">
        <f t="shared" si="1"/>
        <v>销售额×税（费）率</v>
      </c>
      <c r="O54" s="778">
        <f t="shared" si="1"/>
        <v>5.0000000000000001E-4</v>
      </c>
      <c r="P54" s="1840"/>
    </row>
    <row r="55" spans="1:16" ht="12" customHeight="1">
      <c r="A55" s="99" t="s">
        <v>1856</v>
      </c>
      <c r="B55" s="2890" t="s">
        <v>1857</v>
      </c>
      <c r="C55" s="2820"/>
      <c r="D55" s="98">
        <f ca="1">C69</f>
        <v>225</v>
      </c>
      <c r="E55" s="20" t="s">
        <v>1858</v>
      </c>
      <c r="F55" s="100">
        <f>'数据-取费表'!E29</f>
        <v>5.6000000000000001E-2</v>
      </c>
      <c r="G55" s="2258"/>
      <c r="H55" s="2259"/>
      <c r="I55" s="2256"/>
      <c r="J55" s="1877">
        <v>3</v>
      </c>
      <c r="K55" s="2921" t="s">
        <v>1859</v>
      </c>
      <c r="L55" s="2921"/>
      <c r="M55" s="777">
        <f t="shared" ca="1" si="1"/>
        <v>2388</v>
      </c>
      <c r="N55" s="1877" t="str">
        <f t="shared" si="1"/>
        <v>增值额×税（费）率</v>
      </c>
      <c r="O55" s="779" t="str">
        <f t="shared" si="1"/>
        <v>——</v>
      </c>
      <c r="P55" s="1840"/>
    </row>
    <row r="56" spans="1:16" ht="24" customHeight="1">
      <c r="A56" s="2812" t="s">
        <v>1860</v>
      </c>
      <c r="B56" s="2897"/>
      <c r="C56" s="2897"/>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921" t="str">
        <f>IF(H60="非个人房产","——","个人所得税")</f>
        <v>——</v>
      </c>
      <c r="L56" s="2921"/>
      <c r="M56" s="780" t="str">
        <f>D60</f>
        <v>——</v>
      </c>
      <c r="N56" s="1880" t="str">
        <f>E60</f>
        <v>——</v>
      </c>
      <c r="O56" s="781" t="str">
        <f>F60</f>
        <v>——</v>
      </c>
      <c r="P56" s="1840"/>
    </row>
    <row r="57" spans="1:16" ht="24.75">
      <c r="A57" s="2812" t="s">
        <v>1863</v>
      </c>
      <c r="B57" s="2897"/>
      <c r="C57" s="2897"/>
      <c r="D57" s="101">
        <f ca="1">IF(H57="个人住宅",D58,D59)</f>
        <v>2388</v>
      </c>
      <c r="E57" s="10" t="s">
        <v>1864</v>
      </c>
      <c r="F57" s="100" t="str">
        <f>IF(H57="正常",F59,"免征")</f>
        <v>——</v>
      </c>
      <c r="G57" s="2260" t="s">
        <v>1865</v>
      </c>
      <c r="H57" s="2261" t="s">
        <v>1862</v>
      </c>
      <c r="I57" s="1017"/>
      <c r="J57" s="1877" t="str">
        <f>IF(项目基本情况!I6="上海银行",IF(J56="",4,J56+1),"")</f>
        <v/>
      </c>
      <c r="K57" s="2939" t="str">
        <f>IF(项目基本情况!I6="上海银行","其他处置费用","")</f>
        <v/>
      </c>
      <c r="L57" s="2940"/>
      <c r="M57" s="777" t="str">
        <f>IF(项目基本情况!I6="上海银行",M70,"")</f>
        <v/>
      </c>
      <c r="N57" s="2952" t="str">
        <f>IF(项目基本情况!I6="上海银行","包含处置中涉及的律师、诉讼、拍卖、评估等费用","")</f>
        <v/>
      </c>
      <c r="O57" s="2953"/>
      <c r="P57" s="1840"/>
    </row>
    <row r="58" spans="1:16" ht="12.75">
      <c r="A58" s="99" t="s">
        <v>1838</v>
      </c>
      <c r="B58" s="2887" t="s">
        <v>1866</v>
      </c>
      <c r="C58" s="2898"/>
      <c r="D58" s="103">
        <v>0</v>
      </c>
      <c r="E58" s="13" t="s">
        <v>1840</v>
      </c>
      <c r="F58" s="70"/>
      <c r="G58" s="2258"/>
      <c r="H58" s="1017"/>
      <c r="I58" s="1017"/>
      <c r="J58" s="2921">
        <f>IF(AND(J56="",J57=""),4,IF(项目基本情况!I6="上海银行",J57+1,J56+1))</f>
        <v>4</v>
      </c>
      <c r="K58" s="2921" t="s">
        <v>1867</v>
      </c>
      <c r="L58" s="2262" t="s">
        <v>1868</v>
      </c>
      <c r="M58" s="782"/>
      <c r="N58" s="783">
        <f ca="1">SUMIF(M53:M57,"&lt;9e307")</f>
        <v>2615</v>
      </c>
      <c r="O58" s="2263"/>
      <c r="P58" s="1836">
        <f ca="1">N58/M50</f>
        <v>0.61981512206684053</v>
      </c>
    </row>
    <row r="59" spans="1:16" ht="24.75">
      <c r="A59" s="99" t="s">
        <v>1849</v>
      </c>
      <c r="B59" s="2887" t="s">
        <v>1869</v>
      </c>
      <c r="C59" s="2888"/>
      <c r="D59" s="101">
        <f ca="1">IF(H59="转让取得",C82,C98)</f>
        <v>2388</v>
      </c>
      <c r="E59" s="10" t="s">
        <v>1864</v>
      </c>
      <c r="F59" s="14" t="s">
        <v>48</v>
      </c>
      <c r="G59" s="2258"/>
      <c r="H59" s="2261" t="s">
        <v>1870</v>
      </c>
      <c r="I59" s="1017"/>
      <c r="J59" s="2921"/>
      <c r="K59" s="2921"/>
      <c r="L59" s="2262" t="s">
        <v>1871</v>
      </c>
      <c r="M59" s="784"/>
      <c r="N59" s="2264" t="str">
        <f ca="1">IF(H19="元",NUMBERSTRING(INT(N58),2)&amp;"元整",NUMBERSTRING(INT(N58*10000),2)&amp;"元整")</f>
        <v>贰仟陆佰壹拾伍万元整</v>
      </c>
      <c r="O59" s="2265"/>
      <c r="P59" s="1840"/>
    </row>
    <row r="60" spans="1:16" ht="24.75" thickBot="1">
      <c r="A60" s="2813" t="s">
        <v>1872</v>
      </c>
      <c r="B60" s="2816"/>
      <c r="C60" s="2816"/>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19">
        <f>J58+1</f>
        <v>5</v>
      </c>
      <c r="K60" s="2921" t="s">
        <v>1874</v>
      </c>
      <c r="L60" s="1877" t="s">
        <v>1868</v>
      </c>
      <c r="M60" s="785"/>
      <c r="N60" s="786">
        <f ca="1">M50-N58</f>
        <v>1604</v>
      </c>
      <c r="O60" s="2267"/>
      <c r="P60" s="1840"/>
    </row>
    <row r="61" spans="1:16" ht="12" customHeight="1">
      <c r="A61" s="2062"/>
      <c r="B61" s="2191"/>
      <c r="C61" s="2191"/>
      <c r="D61" s="2191"/>
      <c r="E61" s="1017"/>
      <c r="F61" s="1017"/>
      <c r="G61" s="1017"/>
      <c r="H61" s="2244"/>
      <c r="I61" s="2191"/>
      <c r="J61" s="2920"/>
      <c r="K61" s="2921"/>
      <c r="L61" s="2262" t="s">
        <v>1871</v>
      </c>
      <c r="M61" s="784"/>
      <c r="N61" s="2264" t="str">
        <f ca="1">IF(H19="元",NUMBERSTRING(INT(N60),2)&amp;"元整",NUMBERSTRING(INT(N60*10000),2)&amp;"元整")</f>
        <v>壹仟陆佰零肆万元整</v>
      </c>
      <c r="O61" s="2265"/>
      <c r="P61" s="1840"/>
    </row>
    <row r="62" spans="1:16" ht="13.5" thickBot="1">
      <c r="A62" s="2902" t="s">
        <v>1875</v>
      </c>
      <c r="B62" s="2902"/>
      <c r="C62" s="2902"/>
      <c r="D62" s="2902"/>
      <c r="E62" s="2902"/>
      <c r="F62" s="1017"/>
      <c r="G62" s="1017"/>
      <c r="H62" s="2244"/>
      <c r="I62" s="2191"/>
      <c r="J62" s="1877">
        <f>J60+1</f>
        <v>6</v>
      </c>
      <c r="K62" s="2921" t="s">
        <v>1876</v>
      </c>
      <c r="L62" s="2921"/>
      <c r="M62" s="787"/>
      <c r="N62" s="788">
        <f ca="1">IF(H19="元",ROUND(N60/项目基本情况!C12,0),ROUND(N60*10000/项目基本情况!C12,0))</f>
        <v>15657</v>
      </c>
      <c r="O62" s="2268"/>
      <c r="P62" s="1840"/>
    </row>
    <row r="63" spans="1:16" ht="12.75">
      <c r="A63" s="2909" t="s">
        <v>1877</v>
      </c>
      <c r="B63" s="2910"/>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4018</v>
      </c>
      <c r="D64" s="112"/>
      <c r="E64" s="113"/>
      <c r="F64" s="1017"/>
      <c r="G64" s="1017"/>
      <c r="H64" s="2244"/>
      <c r="I64" s="2191"/>
      <c r="J64" s="2941" t="s">
        <v>1881</v>
      </c>
      <c r="K64" s="2269" t="s">
        <v>1882</v>
      </c>
      <c r="L64" s="1839">
        <f ca="1">IF(M50&gt;10000,M50*0.5%,IF(AND(M50&gt;1000,M50&lt;=10000),M50*1%,IF(AND(M50&gt;100,M50&lt;=1000),M50*3%,IF(AND(M50&gt;10,M50&lt;=100),M50*5%,M50*8%))))</f>
        <v>42.19</v>
      </c>
      <c r="M64" s="14">
        <f ca="1">ROUND(L64,1)</f>
        <v>42.2</v>
      </c>
      <c r="N64" s="1840"/>
      <c r="O64" s="1840"/>
      <c r="P64" s="1840"/>
    </row>
    <row r="65" spans="1:35" ht="12.75">
      <c r="A65" s="114" t="s">
        <v>71</v>
      </c>
      <c r="B65" s="115" t="s">
        <v>1883</v>
      </c>
      <c r="C65" s="116">
        <f ca="1">D46</f>
        <v>4219</v>
      </c>
      <c r="D65" s="117" t="s">
        <v>41</v>
      </c>
      <c r="E65" s="118"/>
      <c r="F65" s="1017"/>
      <c r="G65" s="1017"/>
      <c r="H65" s="2244"/>
      <c r="I65" s="2191"/>
      <c r="J65" s="2941"/>
      <c r="K65" s="2269" t="s">
        <v>1884</v>
      </c>
      <c r="L65" s="1839">
        <f ca="1">IF(M50&gt;2000,M50*0.5%,IF(AND(M50&gt;1000,M50&lt;=2000),M50*0.6%,IF(AND(M50&gt;500,M50&lt;=1000),M50*0.7%,IF(AND(M50&gt;200,M50&lt;=500),M50*0.8%,IF(AND(M50&gt;100,M50&lt;=200),M50*0.9%,IF(AND(M50&gt;50,M50&lt;=100),M50*1%,IF(AND(M50&gt;20,M50&lt;=50),M50*1.5%,IF(AND(M50&gt;10,M50&lt;=20),M50*2%,IF(AND(M50&gt;1,M50&lt;=10),M50*2.5%)))))))))</f>
        <v>21.094999999999999</v>
      </c>
      <c r="M65" s="14">
        <f t="shared" ref="M65:M66" ca="1" si="2">ROUND(L65,1)</f>
        <v>21.1</v>
      </c>
      <c r="N65" s="1840" t="s">
        <v>1885</v>
      </c>
      <c r="O65" s="1840"/>
      <c r="P65" s="1840"/>
    </row>
    <row r="66" spans="1:35" ht="12.75">
      <c r="A66" s="114" t="s">
        <v>72</v>
      </c>
      <c r="B66" s="115" t="s">
        <v>1886</v>
      </c>
      <c r="C66" s="119"/>
      <c r="D66" s="117"/>
      <c r="E66" s="118"/>
      <c r="F66" s="1017"/>
      <c r="G66" s="1017"/>
      <c r="H66" s="2244"/>
      <c r="I66" s="2191"/>
      <c r="J66" s="2941"/>
      <c r="K66" s="2269" t="s">
        <v>1887</v>
      </c>
      <c r="L66" s="1839">
        <f ca="1">IF(M50&gt;1000,M50*0.1%,IF(AND(M50&gt;500,M50&lt;=1000),M50*0.5%,IF(AND(M50&gt;50,M50&lt;=500),M50*1%,IF(AND(M50&gt;1,M50&lt;=50),M50*1.5%))))</f>
        <v>4.2190000000000003</v>
      </c>
      <c r="M66" s="14">
        <f t="shared" ca="1" si="2"/>
        <v>4.2</v>
      </c>
      <c r="N66" s="1840" t="s">
        <v>1885</v>
      </c>
      <c r="O66" s="1840"/>
      <c r="P66" s="1840"/>
    </row>
    <row r="67" spans="1:35" ht="12.75">
      <c r="A67" s="120" t="s">
        <v>47</v>
      </c>
      <c r="B67" s="121" t="s">
        <v>1888</v>
      </c>
      <c r="C67" s="122"/>
      <c r="D67" s="123" t="s">
        <v>41</v>
      </c>
      <c r="E67" s="1856" t="s">
        <v>1889</v>
      </c>
      <c r="F67" s="1017"/>
      <c r="G67" s="1017"/>
      <c r="H67" s="2244"/>
      <c r="I67" s="2191"/>
      <c r="J67" s="2941"/>
      <c r="K67" s="2269" t="s">
        <v>1890</v>
      </c>
      <c r="L67" s="1839">
        <f ca="1">M50*0.5%</f>
        <v>21.094999999999999</v>
      </c>
      <c r="M67" s="14">
        <f ca="1">IF(L67&gt;0.5,0.5,ROUND(L67,0))</f>
        <v>0.5</v>
      </c>
      <c r="N67" s="1840" t="s">
        <v>1891</v>
      </c>
      <c r="O67" s="1840"/>
      <c r="P67" s="1840"/>
    </row>
    <row r="68" spans="1:35" ht="12.75">
      <c r="A68" s="120" t="s">
        <v>42</v>
      </c>
      <c r="B68" s="121" t="s">
        <v>1892</v>
      </c>
      <c r="C68" s="124">
        <f ca="1">C64-C67</f>
        <v>4018</v>
      </c>
      <c r="D68" s="117" t="s">
        <v>41</v>
      </c>
      <c r="E68" s="118"/>
      <c r="F68" s="1017"/>
      <c r="G68" s="1017"/>
      <c r="H68" s="2244"/>
      <c r="I68" s="2191"/>
      <c r="J68" s="2941"/>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225</v>
      </c>
      <c r="D69" s="128">
        <f>'数据-取费表'!E29</f>
        <v>5.6000000000000001E-2</v>
      </c>
      <c r="E69" s="129"/>
      <c r="F69" s="1017"/>
      <c r="G69" s="1017"/>
      <c r="H69" s="2244"/>
      <c r="I69" s="2191"/>
      <c r="J69" s="2941"/>
      <c r="K69" s="2269" t="s">
        <v>1895</v>
      </c>
      <c r="L69" s="1839">
        <f ca="1">IF(M50&gt;10000,M50*0.5%,IF(AND(M50&gt;5000,M50&lt;=10000),M50*1%,IF(AND(M50&gt;1000,M50&lt;=5000),M50*2%,IF(AND(M50&gt;200,M50&lt;=1000),M50*3%,M50*5%))))</f>
        <v>84.38</v>
      </c>
      <c r="M69" s="14">
        <f ca="1">ROUND(L69,1)</f>
        <v>84.4</v>
      </c>
      <c r="N69" s="1840"/>
      <c r="O69" s="1840"/>
      <c r="P69" s="1840"/>
    </row>
    <row r="70" spans="1:35" s="2218" customFormat="1" ht="7.5" customHeight="1">
      <c r="A70" s="2270"/>
      <c r="B70" s="2271"/>
      <c r="C70" s="2272"/>
      <c r="D70" s="2273"/>
      <c r="E70" s="2274"/>
      <c r="F70" s="1017"/>
      <c r="G70" s="1017"/>
      <c r="H70" s="2244"/>
      <c r="I70" s="2191"/>
      <c r="J70" s="2941"/>
      <c r="K70" s="2269" t="s">
        <v>1896</v>
      </c>
      <c r="L70" s="2275"/>
      <c r="M70" s="14">
        <f ca="1">ROUND(SUM(M64:M69),0)</f>
        <v>155</v>
      </c>
      <c r="N70" s="1836">
        <f ca="1">M70/M50</f>
        <v>3.6738563640673148E-2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13" t="s">
        <v>1897</v>
      </c>
      <c r="B71" s="2914"/>
      <c r="C71" s="2914"/>
      <c r="D71" s="2914"/>
      <c r="E71" s="2914"/>
      <c r="F71" s="2914"/>
      <c r="G71" s="2914"/>
      <c r="H71" s="2914"/>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09" t="s">
        <v>1877</v>
      </c>
      <c r="B72" s="2910"/>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4018</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24</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890" t="s">
        <v>1907</v>
      </c>
      <c r="F77" s="2889"/>
      <c r="G77" s="2889"/>
      <c r="H77" s="2904"/>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24</v>
      </c>
      <c r="D79" s="145">
        <f>'数据-取费表'!E31</f>
        <v>6.000000000000001E-3</v>
      </c>
      <c r="E79" s="2881" t="s">
        <v>1912</v>
      </c>
      <c r="F79" s="2882"/>
      <c r="G79" s="2882"/>
      <c r="H79" s="2883"/>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3994</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166.41666666666666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2388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13" t="s">
        <v>1916</v>
      </c>
      <c r="B84" s="2914"/>
      <c r="C84" s="2914"/>
      <c r="D84" s="2914"/>
      <c r="E84" s="2914"/>
      <c r="F84" s="2914"/>
      <c r="G84" s="2914"/>
      <c r="H84" s="291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09" t="s">
        <v>1877</v>
      </c>
      <c r="B85" s="2910"/>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4018</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24</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81" t="s">
        <v>1924</v>
      </c>
      <c r="F92" s="2882"/>
      <c r="G92" s="2882"/>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81" t="s">
        <v>1927</v>
      </c>
      <c r="F93" s="2882"/>
      <c r="G93" s="2882"/>
      <c r="H93" s="288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24</v>
      </c>
      <c r="D94" s="145">
        <f>'数据-取费表'!E31</f>
        <v>6.000000000000001E-3</v>
      </c>
      <c r="E94" s="2881" t="s">
        <v>1912</v>
      </c>
      <c r="F94" s="2882"/>
      <c r="G94" s="2882"/>
      <c r="H94" s="288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81" t="s">
        <v>1929</v>
      </c>
      <c r="F95" s="2882"/>
      <c r="G95" s="2882"/>
      <c r="H95" s="2883"/>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3994</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166.41666666666666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2388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936" t="s">
        <v>1931</v>
      </c>
      <c r="B100" s="2937"/>
      <c r="C100" s="2937"/>
      <c r="D100" s="2938"/>
      <c r="E100" s="2191"/>
      <c r="F100" s="2947" t="s">
        <v>1932</v>
      </c>
      <c r="G100" s="2948"/>
      <c r="H100" s="2948"/>
      <c r="I100" s="2949"/>
    </row>
    <row r="101" spans="1:35" ht="30">
      <c r="A101" s="2950" t="s">
        <v>1933</v>
      </c>
      <c r="B101" s="2951"/>
      <c r="C101" s="719" t="str">
        <f>C4</f>
        <v>典型户型修正</v>
      </c>
      <c r="D101" s="720" t="str">
        <f>D4</f>
        <v>典型户型修正</v>
      </c>
      <c r="E101" s="2191"/>
      <c r="F101" s="2846" t="s">
        <v>1934</v>
      </c>
      <c r="G101" s="2847"/>
      <c r="H101" s="2972" t="s">
        <v>1935</v>
      </c>
      <c r="I101" s="2845"/>
    </row>
    <row r="102" spans="1:35" ht="15.75">
      <c r="A102" s="2973" t="s">
        <v>1995</v>
      </c>
      <c r="B102" s="2286" t="str">
        <f>IF(H19="元","总价（元）","总价（万元）")</f>
        <v>总价（万元）</v>
      </c>
      <c r="C102" s="719">
        <f ca="1">C19</f>
        <v>4219</v>
      </c>
      <c r="D102" s="720">
        <f ca="1">D19</f>
        <v>4219</v>
      </c>
      <c r="E102" s="2191"/>
      <c r="F102" s="2974"/>
      <c r="G102" s="2975"/>
      <c r="H102" s="2844">
        <f>典型户型修正!B25</f>
        <v>1024.48</v>
      </c>
      <c r="I102" s="2845"/>
    </row>
    <row r="103" spans="1:35" ht="15.75">
      <c r="A103" s="2973"/>
      <c r="B103" s="2286" t="s">
        <v>1937</v>
      </c>
      <c r="C103" s="721">
        <f ca="1">C20</f>
        <v>41182</v>
      </c>
      <c r="D103" s="722">
        <f ca="1">D20</f>
        <v>41182</v>
      </c>
      <c r="E103" s="2191"/>
      <c r="F103" s="2873" t="s">
        <v>1938</v>
      </c>
      <c r="G103" s="2874"/>
      <c r="H103" s="2287" t="str">
        <f>C109</f>
        <v>总价（万元）</v>
      </c>
      <c r="I103" s="1857">
        <f ca="1">H124</f>
        <v>4219</v>
      </c>
    </row>
    <row r="104" spans="1:35" ht="15">
      <c r="A104" s="2973" t="s">
        <v>1996</v>
      </c>
      <c r="B104" s="2288" t="str">
        <f>B102</f>
        <v>总价（万元）</v>
      </c>
      <c r="C104" s="1185">
        <f ca="1">ROUND(IF('数据-取费表'!B4="总价",G19,IF(H19="元",G20*'数据-取费表'!E5,G20*'数据-取费表'!E5/10000)),0)</f>
        <v>4219</v>
      </c>
      <c r="D104" s="724"/>
      <c r="E104" s="2191"/>
      <c r="F104" s="2873"/>
      <c r="G104" s="2874"/>
      <c r="H104" s="2287" t="s">
        <v>1937</v>
      </c>
      <c r="I104" s="1045">
        <f ca="1">I124</f>
        <v>41182</v>
      </c>
    </row>
    <row r="105" spans="1:35" ht="15.75">
      <c r="A105" s="2973"/>
      <c r="B105" s="2286" t="s">
        <v>1937</v>
      </c>
      <c r="C105" s="1186">
        <f ca="1">ROUND(IF('数据-取费表'!B4="楼面单价",G20,IF(H19="元",G19/'数据-取费表'!E5,G19*10000/'数据-取费表'!E5)),0)</f>
        <v>393490</v>
      </c>
      <c r="D105" s="724"/>
      <c r="E105" s="2191"/>
      <c r="F105" s="2945"/>
      <c r="G105" s="2946"/>
      <c r="H105" s="2930"/>
      <c r="I105" s="2931"/>
    </row>
    <row r="106" spans="1:35" ht="15.75">
      <c r="A106" s="2966" t="s">
        <v>1997</v>
      </c>
      <c r="B106" s="2326" t="str">
        <f>B102</f>
        <v>总价（万元）</v>
      </c>
      <c r="C106" s="723">
        <f ca="1">H124</f>
        <v>4219</v>
      </c>
      <c r="D106" s="1184"/>
      <c r="E106" s="2191"/>
      <c r="F106" s="2934" t="s">
        <v>1941</v>
      </c>
      <c r="G106" s="2935"/>
      <c r="H106" s="2290" t="str">
        <f>C111</f>
        <v>总额（万元）</v>
      </c>
      <c r="I106" s="1857">
        <f>SUMIF(I107:I109,"&lt;9E307")</f>
        <v>0</v>
      </c>
    </row>
    <row r="107" spans="1:35" ht="15.75" thickBot="1">
      <c r="A107" s="2929"/>
      <c r="B107" s="2289" t="s">
        <v>1937</v>
      </c>
      <c r="C107" s="725">
        <f ca="1">I124</f>
        <v>41182</v>
      </c>
      <c r="D107" s="726"/>
      <c r="E107" s="2191"/>
      <c r="F107" s="2862" t="s">
        <v>1943</v>
      </c>
      <c r="G107" s="2863"/>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9" t="s">
        <v>1940</v>
      </c>
      <c r="B108" s="2970"/>
      <c r="C108" s="2970"/>
      <c r="D108" s="2971"/>
      <c r="E108" s="2191"/>
      <c r="F108" s="2862" t="s">
        <v>1944</v>
      </c>
      <c r="G108" s="2863"/>
      <c r="H108" s="2290" t="str">
        <f>C113</f>
        <v>总额（万元）</v>
      </c>
      <c r="I108" s="1045">
        <f>C38</f>
        <v>0</v>
      </c>
      <c r="K108" s="2291"/>
    </row>
    <row r="109" spans="1:35" ht="15">
      <c r="A109" s="2860" t="s">
        <v>1998</v>
      </c>
      <c r="B109" s="2861"/>
      <c r="C109" s="2287" t="str">
        <f>B102</f>
        <v>总价（万元）</v>
      </c>
      <c r="D109" s="1046">
        <f ca="1">H124</f>
        <v>4219</v>
      </c>
      <c r="E109" s="2191"/>
      <c r="F109" s="2862" t="s">
        <v>1946</v>
      </c>
      <c r="G109" s="2863"/>
      <c r="H109" s="2290" t="str">
        <f>C114</f>
        <v>总额（万元）</v>
      </c>
      <c r="I109" s="1045">
        <f>C39</f>
        <v>0</v>
      </c>
    </row>
    <row r="110" spans="1:35" ht="15.75">
      <c r="A110" s="2860"/>
      <c r="B110" s="2861"/>
      <c r="C110" s="2287" t="s">
        <v>1937</v>
      </c>
      <c r="D110" s="1047">
        <f ca="1">I124</f>
        <v>41182</v>
      </c>
      <c r="E110" s="2191"/>
      <c r="F110" s="2945"/>
      <c r="G110" s="2946"/>
      <c r="H110" s="2932"/>
      <c r="I110" s="2933"/>
    </row>
    <row r="111" spans="1:35" ht="28.5" customHeight="1">
      <c r="A111" s="2867" t="s">
        <v>1945</v>
      </c>
      <c r="B111" s="2868"/>
      <c r="C111" s="2290" t="str">
        <f>IF(H19="元","总额（元）","总额（万元）")</f>
        <v>总额（万元）</v>
      </c>
      <c r="D111" s="1046">
        <f>IF(D37="正常操作",I107+I108+I109,I108+I109)</f>
        <v>0</v>
      </c>
      <c r="E111" s="2191"/>
      <c r="F111" s="2848" t="str">
        <f>IF(项目基本情况!F5="已注销","——","3.房地产抵押价值")</f>
        <v>3.房地产抵押价值</v>
      </c>
      <c r="G111" s="2849"/>
      <c r="H111" s="2327" t="str">
        <f>C115</f>
        <v>总价（万元）</v>
      </c>
      <c r="I111" s="1857">
        <f ca="1">IF(F111="——","——",I103-I106)</f>
        <v>4219</v>
      </c>
    </row>
    <row r="112" spans="1:35" ht="15">
      <c r="A112" s="2862" t="s">
        <v>1943</v>
      </c>
      <c r="B112" s="2863"/>
      <c r="C112" s="2290" t="str">
        <f>C111</f>
        <v>总额（万元）</v>
      </c>
      <c r="D112" s="637">
        <f>IF(D37="同一抵押权人同一抵押物续贷",C37&amp;"（未扣减，详见特别提示）",C37)</f>
        <v>0</v>
      </c>
      <c r="E112" s="2191"/>
      <c r="F112" s="2964"/>
      <c r="G112" s="2965"/>
      <c r="H112" s="2287" t="s">
        <v>1937</v>
      </c>
      <c r="I112" s="2293">
        <f ca="1">D116</f>
        <v>41182</v>
      </c>
    </row>
    <row r="113" spans="1:26" ht="15.75">
      <c r="A113" s="2862" t="s">
        <v>1944</v>
      </c>
      <c r="B113" s="2863"/>
      <c r="C113" s="2290" t="str">
        <f>C111</f>
        <v>总额（万元）</v>
      </c>
      <c r="D113" s="637">
        <f>C38</f>
        <v>0</v>
      </c>
      <c r="E113" s="2191"/>
      <c r="F113" s="2848" t="str">
        <f>IF(项目基本情况!F5="已注销及未注销","4.抵押担保权已注销时的房地产抵押价值",IF(项目基本情况!F5="已注销","3.抵押担保权已注销时的房地产抵押价值","——"))</f>
        <v>——</v>
      </c>
      <c r="G113" s="2849"/>
      <c r="H113" s="2327" t="str">
        <f>C117</f>
        <v>总价（万元）</v>
      </c>
      <c r="I113" s="1857" t="str">
        <f>IF(F113="——","——",I103-I108-I109)</f>
        <v>——</v>
      </c>
    </row>
    <row r="114" spans="1:26" ht="15">
      <c r="A114" s="2862" t="s">
        <v>1946</v>
      </c>
      <c r="B114" s="2863"/>
      <c r="C114" s="2290" t="str">
        <f>C111</f>
        <v>总额（万元）</v>
      </c>
      <c r="D114" s="637">
        <f>C39</f>
        <v>0</v>
      </c>
      <c r="E114" s="2191"/>
      <c r="F114" s="2964"/>
      <c r="G114" s="2965"/>
      <c r="H114" s="2287" t="s">
        <v>1937</v>
      </c>
      <c r="I114" s="1045" t="str">
        <f>D118</f>
        <v>——</v>
      </c>
    </row>
    <row r="115" spans="1:26" ht="15.75">
      <c r="A115" s="2860" t="str">
        <f>IF(项目基本情况!F5="已注销","——","3.房地产抵押价值")</f>
        <v>3.房地产抵押价值</v>
      </c>
      <c r="B115" s="2861"/>
      <c r="C115" s="2287" t="str">
        <f>B102</f>
        <v>总价（万元）</v>
      </c>
      <c r="D115" s="1046">
        <f ca="1">IF(A115="——","——",D109-D111)</f>
        <v>4219</v>
      </c>
      <c r="E115" s="2191"/>
      <c r="F115" s="2848" t="str">
        <f>IF(项目基本情况!G5="抵押净值",IF(OR(项目基本情况!F5="已注销",项目基本情况!F5="房地产抵押价值"),"4.抵押净值","5.抵押净值"),"——")</f>
        <v>——</v>
      </c>
      <c r="G115" s="2849"/>
      <c r="H115" s="2287" t="str">
        <f>C119</f>
        <v>总价（万元）</v>
      </c>
      <c r="I115" s="1857" t="str">
        <f>IF(F115="——","——",N60)</f>
        <v>——</v>
      </c>
    </row>
    <row r="116" spans="1:26" ht="15.75" thickBot="1">
      <c r="A116" s="2860"/>
      <c r="B116" s="2861"/>
      <c r="C116" s="2287" t="s">
        <v>1999</v>
      </c>
      <c r="D116" s="1047">
        <f ca="1">ROUND(IF(D115=D109,D110,IF(H19="元",D115/B124,D115*10000/B124)),0)</f>
        <v>41182</v>
      </c>
      <c r="E116" s="2191"/>
      <c r="F116" s="2850"/>
      <c r="G116" s="2851"/>
      <c r="H116" s="2295" t="s">
        <v>1999</v>
      </c>
      <c r="I116" s="1859" t="str">
        <f ca="1">D120</f>
        <v>——</v>
      </c>
    </row>
    <row r="117" spans="1:26" ht="15.75">
      <c r="A117" s="2860" t="str">
        <f>IF(项目基本情况!F5="已注销及未注销","4.抵押担保权已注销时的房地产抵押价值",IF(项目基本情况!F5="已注销","3.抵押担保权已注销时的房地产抵押价值","——"))</f>
        <v>——</v>
      </c>
      <c r="B117" s="2861"/>
      <c r="C117" s="2287" t="str">
        <f>B102</f>
        <v>总价（万元）</v>
      </c>
      <c r="D117" s="1046" t="str">
        <f>IF(A117="——","——",D109-D113-D114)</f>
        <v>——</v>
      </c>
      <c r="E117" s="2191"/>
      <c r="F117" s="2960"/>
      <c r="G117" s="2960"/>
      <c r="H117" s="2916"/>
      <c r="I117" s="2916"/>
      <c r="N117" s="55"/>
      <c r="O117" s="55"/>
    </row>
    <row r="118" spans="1:26" s="1840" customFormat="1" ht="15">
      <c r="A118" s="2860"/>
      <c r="B118" s="2861"/>
      <c r="C118" s="2287" t="s">
        <v>1999</v>
      </c>
      <c r="D118" s="1047" t="str">
        <f>IF(A117="——","——",IF(H19="元",ROUND(D117/B124,0),ROUND(D117*10000/B124,0)))</f>
        <v>——</v>
      </c>
      <c r="E118" s="2191"/>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7"/>
      <c r="K118" s="797"/>
      <c r="L118" s="797"/>
      <c r="M118" s="797"/>
      <c r="N118" s="55"/>
      <c r="O118" s="55"/>
      <c r="P118" s="797"/>
      <c r="Q118" s="797"/>
      <c r="R118" s="797"/>
      <c r="S118" s="797"/>
      <c r="T118" s="797"/>
      <c r="U118" s="797"/>
      <c r="V118" s="797"/>
      <c r="W118" s="797"/>
      <c r="X118" s="797"/>
      <c r="Y118" s="797"/>
      <c r="Z118" s="797"/>
    </row>
    <row r="119" spans="1:26" s="1840" customFormat="1" ht="15">
      <c r="A119" s="2860" t="str">
        <f>IF(项目基本情况!G5="抵押净值",IF(OR(项目基本情况!F5="已注销",项目基本情况!F5="房地产抵押价值"),"4.抵押净值","5.抵押净值"),"——")</f>
        <v>——</v>
      </c>
      <c r="B119" s="2861"/>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865"/>
      <c r="B120" s="2866"/>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2000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41" t="s">
        <v>1948</v>
      </c>
      <c r="B122" s="2871" t="s">
        <v>2001</v>
      </c>
      <c r="C122" s="2871" t="s">
        <v>2002</v>
      </c>
      <c r="D122" s="2943" t="s">
        <v>1951</v>
      </c>
      <c r="E122" s="2944"/>
      <c r="F122" s="2842" t="s">
        <v>2003</v>
      </c>
      <c r="G122" s="2842"/>
      <c r="H122" s="2842" t="s">
        <v>1952</v>
      </c>
      <c r="I122" s="2942"/>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41"/>
      <c r="B123" s="2872"/>
      <c r="C123" s="2872"/>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1024.48</v>
      </c>
      <c r="C124" s="400"/>
      <c r="D124" s="1881">
        <f>C35</f>
        <v>0</v>
      </c>
      <c r="E124" s="1881">
        <f>ROUND(IF(H19="元",D124/B124,D124*10000/B124),0)</f>
        <v>0</v>
      </c>
      <c r="F124" s="1881">
        <f>C36</f>
        <v>0</v>
      </c>
      <c r="G124" s="1881">
        <f>ROUND(IF(H19="元",F124/B124,F124*10000/B124),0)</f>
        <v>0</v>
      </c>
      <c r="H124" s="1881">
        <f ca="1">C33</f>
        <v>4219</v>
      </c>
      <c r="I124" s="637">
        <f ca="1">C34</f>
        <v>41182</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41" t="s">
        <v>1956</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 ca="1">IF(H19="元",NUMBERSTRING(INT(H124),2)&amp;"元整",NUMBERSTRING(INT(H124*10000),2)&amp;"元整")</f>
        <v>肆仟贰佰壹拾玖万元整</v>
      </c>
      <c r="I125" s="2876"/>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25" t="s">
        <v>1956</v>
      </c>
      <c r="B127" s="2926"/>
      <c r="C127" s="2927"/>
      <c r="D127" s="2855">
        <f>H110</f>
        <v>0</v>
      </c>
      <c r="E127" s="2856"/>
      <c r="F127" s="2856"/>
      <c r="G127" s="2856"/>
      <c r="H127" s="2856"/>
      <c r="I127" s="2857"/>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58" t="str">
        <f>IF(项目基本情况!D5="房地产市场价值","——",MID(A115,3,LEN(A115)-2))</f>
        <v>房地产抵押价值</v>
      </c>
      <c r="B128" s="2859"/>
      <c r="C128" s="2859"/>
      <c r="D128" s="2852">
        <f ca="1">I111</f>
        <v>4219</v>
      </c>
      <c r="E128" s="2853"/>
      <c r="F128" s="2853"/>
      <c r="G128" s="2853"/>
      <c r="H128" s="2853"/>
      <c r="I128" s="2854"/>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41" t="s">
        <v>1956</v>
      </c>
      <c r="B129" s="2842"/>
      <c r="C129" s="2842"/>
      <c r="D129" s="2855">
        <f ca="1">I112</f>
        <v>41182</v>
      </c>
      <c r="E129" s="2856"/>
      <c r="F129" s="2856"/>
      <c r="G129" s="2856"/>
      <c r="H129" s="2856"/>
      <c r="I129" s="2857"/>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58" t="str">
        <f>IF(项目基本情况!D5="房地产市场价值","——",MID(A117,3,LEN(A117)-2))</f>
        <v/>
      </c>
      <c r="B130" s="2859"/>
      <c r="C130" s="2859"/>
      <c r="D130" s="2957" t="str">
        <f>I113</f>
        <v>——</v>
      </c>
      <c r="E130" s="2958"/>
      <c r="F130" s="2958"/>
      <c r="G130" s="2958"/>
      <c r="H130" s="2958"/>
      <c r="I130" s="2959"/>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41" t="s">
        <v>1956</v>
      </c>
      <c r="B131" s="2842"/>
      <c r="C131" s="2843"/>
      <c r="D131" s="2915" t="str">
        <f>I114</f>
        <v>——</v>
      </c>
      <c r="E131" s="2915"/>
      <c r="F131" s="2915"/>
      <c r="G131" s="2915"/>
      <c r="H131" s="2915"/>
      <c r="I131" s="2915"/>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58" t="str">
        <f>IF(项目基本情况!D5="房地产市场价值","——",MID(F115,3,LEN(F115)-2))</f>
        <v/>
      </c>
      <c r="B132" s="2859"/>
      <c r="C132" s="2852"/>
      <c r="D132" s="2864" t="str">
        <f>I115</f>
        <v>——</v>
      </c>
      <c r="E132" s="2864"/>
      <c r="F132" s="2864"/>
      <c r="G132" s="2864"/>
      <c r="H132" s="2864"/>
      <c r="I132" s="2864"/>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9" t="s">
        <v>1956</v>
      </c>
      <c r="B133" s="2870"/>
      <c r="C133" s="2870"/>
      <c r="D133" s="2877">
        <f>H117</f>
        <v>0</v>
      </c>
      <c r="E133" s="2878"/>
      <c r="F133" s="2878"/>
      <c r="G133" s="2878"/>
      <c r="H133" s="2878"/>
      <c r="I133" s="2879"/>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596</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5817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204896</v>
      </c>
      <c r="D10" s="1533">
        <f>IF('数据-取费表'!B10&lt;&gt;"住宅",IF(B1="仅计算典型户型",'数据-取费表'!E5,'数据-取费表'!B5),0)</f>
        <v>1024.48</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204896</v>
      </c>
      <c r="D19" s="1536">
        <f>IF(B1="仅计算典型户型",'数据-取费表'!E5,'数据-取费表'!B5)</f>
        <v>1024.48</v>
      </c>
      <c r="E19" s="195">
        <f>'数据-取费表'!E15</f>
        <v>200</v>
      </c>
      <c r="F19" s="196"/>
      <c r="G19" s="2331"/>
    </row>
    <row r="20" spans="1:7" s="175" customFormat="1" ht="13.5" customHeight="1">
      <c r="A20" s="204" t="s">
        <v>2033</v>
      </c>
      <c r="B20" s="173" t="s">
        <v>2034</v>
      </c>
      <c r="C20" s="183">
        <f>ROUND((C5+C19)*F20,0)</f>
        <v>12354</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120737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19927</v>
      </c>
      <c r="D24" s="188"/>
      <c r="E24" s="188"/>
      <c r="F24" s="189"/>
      <c r="G24" s="190" t="s">
        <v>2046</v>
      </c>
    </row>
    <row r="25" spans="1:7" s="175" customFormat="1" ht="24">
      <c r="A25" s="176" t="s">
        <v>2018</v>
      </c>
      <c r="B25" s="177" t="s">
        <v>2047</v>
      </c>
      <c r="C25" s="1450">
        <f ca="1">ROUND(IF('数据-取费表'!B23&lt;=1,C20*F22*'数据-取费表'!B24/2,C20*(POWER((1+F22),'数据-取费表'!B24/2)-1)),0)</f>
        <v>587</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187163</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187163</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1664331</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3951931</v>
      </c>
      <c r="D33" s="183"/>
      <c r="E33" s="1527"/>
      <c r="F33" s="191"/>
      <c r="G33" s="184"/>
    </row>
    <row r="34" spans="1:7" s="206" customFormat="1" ht="13.5" customHeight="1">
      <c r="A34" s="176" t="s">
        <v>2042</v>
      </c>
      <c r="B34" s="177" t="s">
        <v>2064</v>
      </c>
      <c r="C34" s="199">
        <f>IF(B1="仅计算典型户型",'数据-取费表'!F18,'数据-取费表'!E18)</f>
        <v>3585680</v>
      </c>
      <c r="D34" s="1528"/>
      <c r="E34" s="199"/>
      <c r="F34" s="1539" t="str">
        <f>IF('数据-取费表'!B25=0,"",'数据-取费表'!E20)</f>
        <v/>
      </c>
      <c r="G34" s="179"/>
    </row>
    <row r="35" spans="1:7" ht="13.5" customHeight="1">
      <c r="A35" s="176" t="s">
        <v>2016</v>
      </c>
      <c r="B35" s="177" t="s">
        <v>2065</v>
      </c>
      <c r="C35" s="199">
        <f>ROUND(C34*F35,0)</f>
        <v>107570</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204896</v>
      </c>
      <c r="D37" s="1528">
        <f>IF(B1="仅计算典型户型",'数据-取费表'!E5,'数据-取费表'!B5)</f>
        <v>1024.48</v>
      </c>
      <c r="E37" s="199">
        <f>'数据-取费表'!E23</f>
        <v>200</v>
      </c>
      <c r="F37" s="1540"/>
      <c r="G37" s="208" t="s">
        <v>2070</v>
      </c>
    </row>
    <row r="38" spans="1:7" ht="13.5" customHeight="1">
      <c r="A38" s="176" t="s">
        <v>2071</v>
      </c>
      <c r="B38" s="177" t="s">
        <v>2072</v>
      </c>
      <c r="C38" s="199">
        <f>ROUND(C34*F38,0)</f>
        <v>53785</v>
      </c>
      <c r="D38" s="199"/>
      <c r="E38" s="199"/>
      <c r="F38" s="1540">
        <f>'数据-取费表'!E24</f>
        <v>1.4999999999999999E-2</v>
      </c>
      <c r="G38" s="179" t="s">
        <v>2066</v>
      </c>
    </row>
    <row r="39" spans="1:7" s="175" customFormat="1" ht="13.5" customHeight="1">
      <c r="A39" s="204" t="s">
        <v>2031</v>
      </c>
      <c r="B39" s="173" t="s">
        <v>2034</v>
      </c>
      <c r="C39" s="183">
        <f>ROUND(C33*F20,0)</f>
        <v>39519</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189594</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187717</v>
      </c>
      <c r="D42" s="188"/>
      <c r="E42" s="188"/>
      <c r="F42" s="189"/>
      <c r="G42" s="2978" t="s">
        <v>2076</v>
      </c>
    </row>
    <row r="43" spans="1:7" ht="13.5" customHeight="1">
      <c r="A43" s="176" t="s">
        <v>2016</v>
      </c>
      <c r="B43" s="177" t="s">
        <v>2045</v>
      </c>
      <c r="C43" s="188">
        <f ca="1">ROUND(IF('数据-取费表'!B23&lt;=1,C39*F22*'数据-取费表'!B22/2,C39*(POWER((1+F22),'数据-取费表'!B22/2)-1)),0)</f>
        <v>1877</v>
      </c>
      <c r="D43" s="188"/>
      <c r="E43" s="188"/>
      <c r="F43" s="189"/>
      <c r="G43" s="2979"/>
    </row>
    <row r="44" spans="1:7" ht="13.5" customHeight="1">
      <c r="A44" s="176" t="s">
        <v>2018</v>
      </c>
      <c r="B44" s="177" t="s">
        <v>2047</v>
      </c>
      <c r="C44" s="188">
        <f ca="1">ROUND(IF('数据-取费表'!B23&lt;=1,C40*F22*'数据-取费表'!B22/2,C40*(POWER((1+F22),'数据-取费表'!B22/2)-1)),4)</f>
        <v>5.0000000000000001E-4</v>
      </c>
      <c r="D44" s="188"/>
      <c r="E44" s="188"/>
      <c r="F44" s="189"/>
      <c r="G44" s="2980"/>
    </row>
    <row r="45" spans="1:7" s="175" customFormat="1" ht="13.5" customHeight="1">
      <c r="A45" s="204" t="s">
        <v>2040</v>
      </c>
      <c r="B45" s="194" t="s">
        <v>2052</v>
      </c>
      <c r="C45" s="195">
        <f>C46</f>
        <v>598718</v>
      </c>
      <c r="D45" s="185">
        <f>C47</f>
        <v>1.5E-3</v>
      </c>
      <c r="E45" s="186" t="s">
        <v>2074</v>
      </c>
      <c r="F45" s="196"/>
      <c r="G45" s="197" t="s">
        <v>2077</v>
      </c>
    </row>
    <row r="46" spans="1:7" s="175" customFormat="1" ht="13.5" customHeight="1">
      <c r="A46" s="176" t="s">
        <v>2042</v>
      </c>
      <c r="B46" s="198" t="s">
        <v>2078</v>
      </c>
      <c r="C46" s="199">
        <f>ROUND((C33+C39)*F27,0)</f>
        <v>598718</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5113686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4295496</v>
      </c>
      <c r="D51" s="183"/>
      <c r="E51" s="183"/>
      <c r="F51" s="210"/>
      <c r="G51" s="184" t="s">
        <v>2090</v>
      </c>
    </row>
    <row r="52" spans="1:7" s="172" customFormat="1" ht="16.5" thickBot="1">
      <c r="A52" s="211" t="s">
        <v>2091</v>
      </c>
      <c r="B52" s="212"/>
      <c r="C52" s="213">
        <f ca="1">C31+C51</f>
        <v>5959827</v>
      </c>
      <c r="D52" s="212"/>
      <c r="E52" s="212"/>
      <c r="F52" s="212"/>
      <c r="G52" s="214"/>
    </row>
    <row r="55" spans="1:7" ht="15">
      <c r="B55" s="216" t="s">
        <v>2092</v>
      </c>
      <c r="C55" s="217"/>
    </row>
    <row r="56" spans="1:7">
      <c r="B56" s="219" t="s">
        <v>2093</v>
      </c>
      <c r="C56" s="220">
        <f ca="1">ROUND(C51/C52,3)</f>
        <v>0.72099999999999997</v>
      </c>
    </row>
    <row r="57" spans="1:7">
      <c r="B57" s="219" t="s">
        <v>2094</v>
      </c>
      <c r="C57" s="221">
        <f ca="1">1-C56</f>
        <v>0.27900000000000003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4" sqref="J5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2" t="s">
        <v>2836</v>
      </c>
      <c r="E1" s="2693" t="s">
        <v>1251</v>
      </c>
      <c r="F1" s="2694"/>
      <c r="G1" s="2695"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443</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41330</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297800</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297428</v>
      </c>
      <c r="D6" s="80" t="s">
        <v>2799</v>
      </c>
      <c r="E6" s="319" t="s">
        <v>2107</v>
      </c>
      <c r="F6" s="320">
        <f>'数据-取费表'!B29</f>
        <v>8</v>
      </c>
      <c r="G6" s="1233"/>
      <c r="H6" s="1379" t="s">
        <v>2105</v>
      </c>
      <c r="I6" s="2019" t="s">
        <v>2106</v>
      </c>
      <c r="J6" s="318">
        <f>ROUND(M6*M8*M7*(1-M9),0)</f>
        <v>0</v>
      </c>
      <c r="K6" s="80" t="s">
        <v>2799</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372</v>
      </c>
      <c r="D10" s="2335" t="s">
        <v>2807</v>
      </c>
      <c r="E10" s="330" t="s">
        <v>2114</v>
      </c>
      <c r="F10" s="2336" t="s">
        <v>2115</v>
      </c>
      <c r="G10" s="1233"/>
      <c r="H10" s="1379" t="s">
        <v>2112</v>
      </c>
      <c r="I10" s="2334" t="s">
        <v>2113</v>
      </c>
      <c r="J10" s="1380">
        <f ca="1">ROUND(IF(M10="押一",J6/12*M11,IF(M10="押二",J6/12*2*M11,IF(M10="押三",J6/12*3*M11,J11*M11))),0)</f>
        <v>0</v>
      </c>
      <c r="K10" s="80" t="s">
        <v>2807</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12860</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4832</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336</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14.01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-12860</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63635</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51955</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15883</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35736</v>
      </c>
      <c r="D33" s="2008" t="s">
        <v>2837</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336</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14.01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2978</v>
      </c>
      <c r="D38" s="1428" t="s">
        <v>2178</v>
      </c>
      <c r="E38" s="1426" t="s">
        <v>2174</v>
      </c>
      <c r="F38" s="1421">
        <f>'数据-取费表'!B46</f>
        <v>0.01</v>
      </c>
      <c r="G38" s="790"/>
      <c r="H38" s="1225"/>
      <c r="I38" s="365" t="s">
        <v>2216</v>
      </c>
      <c r="J38" s="220">
        <f ca="1">ROUND(J34/C39,3)</f>
        <v>0.16300000000000001</v>
      </c>
      <c r="K38" s="1230"/>
      <c r="L38" s="1225"/>
      <c r="M38" s="1225"/>
    </row>
    <row r="39" spans="1:18" ht="18" customHeight="1" thickTop="1">
      <c r="A39" s="1415" t="s">
        <v>22</v>
      </c>
      <c r="B39" s="1430" t="s">
        <v>2217</v>
      </c>
      <c r="C39" s="327">
        <f ca="1">C5-C30</f>
        <v>234165</v>
      </c>
      <c r="D39" s="1431" t="s">
        <v>2218</v>
      </c>
      <c r="E39" s="1432"/>
      <c r="F39" s="1433"/>
      <c r="G39" s="790"/>
      <c r="H39" s="1225"/>
      <c r="I39" s="365" t="s">
        <v>2219</v>
      </c>
      <c r="J39" s="220">
        <f ca="1">1-J38</f>
        <v>0.83699999999999997</v>
      </c>
      <c r="K39" s="1230"/>
      <c r="L39" s="1225"/>
      <c r="M39" s="1225"/>
    </row>
    <row r="40" spans="1:18" s="790" customFormat="1" ht="18" customHeight="1">
      <c r="A40" s="316" t="s">
        <v>23</v>
      </c>
      <c r="B40" s="317" t="s">
        <v>2220</v>
      </c>
      <c r="C40" s="318">
        <f ca="1">ROUND(C39*(1-((1+F42)/(1+F40))^F41)/(F40-F42),0)</f>
        <v>4431370</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2838</v>
      </c>
      <c r="F41" s="355">
        <f>IF('数据-取费表'!B28="租赁期内按合同租金",'数据-取费表'!B34,IF(E41="收益年期(n)",'数据-取费表'!B33,'数据-取费表'!B13))</f>
        <v>24.73</v>
      </c>
      <c r="H41" s="1232"/>
      <c r="I41" s="219" t="s">
        <v>2093</v>
      </c>
      <c r="J41" s="220">
        <f ca="1">ROUND(C13/C40,3)</f>
        <v>0.10100000000000001</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0.89900000000000002</v>
      </c>
      <c r="K42" s="1229"/>
      <c r="L42" s="1232"/>
      <c r="M42" s="1232"/>
      <c r="Q42" s="794"/>
    </row>
    <row r="43" spans="1:18" s="790" customFormat="1" ht="18" customHeight="1" thickBot="1">
      <c r="A43" s="356" t="s">
        <v>24</v>
      </c>
      <c r="B43" s="357" t="s">
        <v>2223</v>
      </c>
      <c r="C43" s="358">
        <f ca="1">ROUND(C40/F43,0)</f>
        <v>41330</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4431370</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-519</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2839</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2840</v>
      </c>
      <c r="K49" s="2348" t="s">
        <v>2248</v>
      </c>
      <c r="L49" s="1123">
        <f>'数据-取费表'!B13</f>
        <v>24.73</v>
      </c>
      <c r="O49" s="1366" t="s">
        <v>959</v>
      </c>
      <c r="P49" s="1363" t="s">
        <v>2249</v>
      </c>
      <c r="Q49" s="1367">
        <f>J53</f>
        <v>0.09</v>
      </c>
      <c r="R49" s="1365"/>
    </row>
    <row r="50" spans="1:18" s="790" customFormat="1" ht="15.75" thickBot="1">
      <c r="A50" s="345" t="s">
        <v>2105</v>
      </c>
      <c r="B50" s="2019" t="s">
        <v>2250</v>
      </c>
      <c r="C50" s="318">
        <f>ROUND(F50*F52*F51*(1-F53),0)</f>
        <v>0</v>
      </c>
      <c r="D50" s="93" t="s">
        <v>2800</v>
      </c>
      <c r="E50" s="2349" t="s">
        <v>2251</v>
      </c>
      <c r="F50" s="1294"/>
      <c r="I50" s="2346" t="s">
        <v>2252</v>
      </c>
      <c r="J50" s="1123">
        <f>'数据-取费表'!B26</f>
        <v>1994</v>
      </c>
      <c r="K50" s="2350" t="s">
        <v>2253</v>
      </c>
      <c r="L50" s="1341"/>
      <c r="O50" s="1366" t="s">
        <v>960</v>
      </c>
      <c r="P50" s="1363" t="s">
        <v>2254</v>
      </c>
      <c r="Q50" s="1364">
        <f>J54</f>
        <v>24.73</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443</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64754308</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2808</v>
      </c>
      <c r="E54" s="330" t="s">
        <v>2114</v>
      </c>
      <c r="F54" s="2336"/>
      <c r="I54" s="2715" t="s">
        <v>2810</v>
      </c>
      <c r="J54" s="1346">
        <f>IF(M48="住宅",IF(E1="——",MAX(J52,L49),IF(E1="在建（套用方法）",MAX(J52,L49-'数据-取费表'!B25),MAX(J52,L49-'数据-取费表'!B21))),IF(E1="——",MIN(J52,L49),IF(E1="在建（套用方法）",MIN(J52,L49-'数据-取费表'!B25),IF(E1="土地（套用方法）",MIN(J52,L49-'数据-取费表'!B21)))))</f>
        <v>24.73</v>
      </c>
      <c r="K54" s="2981" t="s">
        <v>2798</v>
      </c>
      <c r="L54" s="2982"/>
      <c r="O54" s="1362" t="s">
        <v>955</v>
      </c>
      <c r="P54" s="1363" t="s">
        <v>2231</v>
      </c>
      <c r="Q54" s="1364">
        <f ca="1">C40+J29</f>
        <v>4431370</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2821</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53994</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45292</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443</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336</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4431370</v>
      </c>
      <c r="R63" s="1365" t="s">
        <v>2232</v>
      </c>
    </row>
    <row r="64" spans="1:18" s="790" customFormat="1" ht="20.25" thickBot="1">
      <c r="A64" s="348"/>
      <c r="B64" s="328"/>
      <c r="C64" s="19"/>
      <c r="D64" s="349"/>
      <c r="E64" s="319" t="s">
        <v>2291</v>
      </c>
      <c r="F64" s="320">
        <f t="shared" si="0"/>
        <v>14.01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64754308</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195953</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234165</v>
      </c>
      <c r="R67" s="1365" t="s">
        <v>2232</v>
      </c>
    </row>
    <row r="68" spans="1:18" ht="15.75" thickBot="1">
      <c r="A68" s="332" t="s">
        <v>22</v>
      </c>
      <c r="B68" s="89" t="s">
        <v>2182</v>
      </c>
      <c r="C68" s="334">
        <f ca="1">C49-C59</f>
        <v>-53994</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-756760</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24.73</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-7058</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443</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9" t="s">
        <v>1022</v>
      </c>
      <c r="B1" s="3000"/>
      <c r="C1" s="3001"/>
      <c r="D1" s="3002">
        <f>SUM(I10,I15,I20,I21,I23)</f>
        <v>0</v>
      </c>
      <c r="E1" s="3002"/>
      <c r="F1" s="3002"/>
      <c r="G1" s="3002"/>
      <c r="H1" s="3002"/>
      <c r="I1" s="3003"/>
    </row>
    <row r="2" spans="1:9">
      <c r="A2" s="2989" t="s">
        <v>1023</v>
      </c>
      <c r="B2" s="2990" t="s">
        <v>972</v>
      </c>
      <c r="C2" s="2990"/>
      <c r="D2" s="1384" t="s">
        <v>973</v>
      </c>
      <c r="E2" s="1384" t="s">
        <v>974</v>
      </c>
      <c r="F2" s="1384" t="s">
        <v>975</v>
      </c>
      <c r="G2" s="1384" t="s">
        <v>976</v>
      </c>
      <c r="H2" s="1384" t="s">
        <v>977</v>
      </c>
      <c r="I2" s="1385" t="s">
        <v>978</v>
      </c>
    </row>
    <row r="3" spans="1:9">
      <c r="A3" s="2989"/>
      <c r="B3" s="2990" t="s">
        <v>979</v>
      </c>
      <c r="C3" s="2990"/>
      <c r="D3" s="1386"/>
      <c r="E3" s="1384"/>
      <c r="F3" s="1387"/>
      <c r="G3" s="1387"/>
      <c r="H3" s="1388"/>
      <c r="I3" s="1389">
        <f>ROUND(D3*E3*F3*G3*H3/10000,0)</f>
        <v>0</v>
      </c>
    </row>
    <row r="4" spans="1:9">
      <c r="A4" s="2989"/>
      <c r="B4" s="2990" t="s">
        <v>980</v>
      </c>
      <c r="C4" s="2990"/>
      <c r="D4" s="1386"/>
      <c r="E4" s="1384"/>
      <c r="F4" s="1387"/>
      <c r="G4" s="1387"/>
      <c r="H4" s="1388"/>
      <c r="I4" s="1389">
        <f t="shared" ref="I4:I9" si="0">ROUND(D4*E4*F4*G4*H4/10000,0)</f>
        <v>0</v>
      </c>
    </row>
    <row r="5" spans="1:9">
      <c r="A5" s="2989"/>
      <c r="B5" s="2990" t="s">
        <v>981</v>
      </c>
      <c r="C5" s="2990"/>
      <c r="D5" s="1386"/>
      <c r="E5" s="1384"/>
      <c r="F5" s="1387"/>
      <c r="G5" s="1387"/>
      <c r="H5" s="1388"/>
      <c r="I5" s="1389">
        <f t="shared" si="0"/>
        <v>0</v>
      </c>
    </row>
    <row r="6" spans="1:9">
      <c r="A6" s="2989"/>
      <c r="B6" s="2990" t="s">
        <v>982</v>
      </c>
      <c r="C6" s="2990"/>
      <c r="D6" s="1386"/>
      <c r="E6" s="1384"/>
      <c r="F6" s="1387"/>
      <c r="G6" s="1387"/>
      <c r="H6" s="1388"/>
      <c r="I6" s="1389">
        <f t="shared" si="0"/>
        <v>0</v>
      </c>
    </row>
    <row r="7" spans="1:9">
      <c r="A7" s="2989"/>
      <c r="B7" s="2990" t="s">
        <v>983</v>
      </c>
      <c r="C7" s="2990"/>
      <c r="D7" s="1386"/>
      <c r="E7" s="1384"/>
      <c r="F7" s="1387"/>
      <c r="G7" s="1387"/>
      <c r="H7" s="1388"/>
      <c r="I7" s="1389">
        <f t="shared" si="0"/>
        <v>0</v>
      </c>
    </row>
    <row r="8" spans="1:9">
      <c r="A8" s="2989"/>
      <c r="B8" s="2990" t="s">
        <v>984</v>
      </c>
      <c r="C8" s="2990"/>
      <c r="D8" s="1386"/>
      <c r="E8" s="1384"/>
      <c r="F8" s="1387"/>
      <c r="G8" s="1387"/>
      <c r="H8" s="1388"/>
      <c r="I8" s="1389">
        <f t="shared" si="0"/>
        <v>0</v>
      </c>
    </row>
    <row r="9" spans="1:9">
      <c r="A9" s="2989"/>
      <c r="B9" s="2990" t="s">
        <v>985</v>
      </c>
      <c r="C9" s="2990"/>
      <c r="D9" s="1386"/>
      <c r="E9" s="1384"/>
      <c r="F9" s="1387"/>
      <c r="G9" s="1387"/>
      <c r="H9" s="1388"/>
      <c r="I9" s="1389">
        <f t="shared" si="0"/>
        <v>0</v>
      </c>
    </row>
    <row r="10" spans="1:9">
      <c r="A10" s="2989"/>
      <c r="B10" s="2991" t="s">
        <v>986</v>
      </c>
      <c r="C10" s="2991"/>
      <c r="D10" s="1390">
        <v>527</v>
      </c>
      <c r="E10" s="1390" t="e">
        <f>ROUND(D1*10000/D10/H9,0)</f>
        <v>#DIV/0!</v>
      </c>
      <c r="F10" s="1391"/>
      <c r="G10" s="1391"/>
      <c r="H10" s="1392"/>
      <c r="I10" s="1393">
        <f>SUM(I3:I9)</f>
        <v>0</v>
      </c>
    </row>
    <row r="11" spans="1:9" ht="14.25">
      <c r="A11" s="2989" t="s">
        <v>1024</v>
      </c>
      <c r="B11" s="2990" t="s">
        <v>987</v>
      </c>
      <c r="C11" s="2990"/>
      <c r="D11" s="1386" t="s">
        <v>988</v>
      </c>
      <c r="E11" s="1386" t="s">
        <v>989</v>
      </c>
      <c r="F11" s="1387" t="s">
        <v>990</v>
      </c>
      <c r="G11" s="1387" t="s">
        <v>977</v>
      </c>
      <c r="H11" s="1394" t="s">
        <v>991</v>
      </c>
      <c r="I11" s="1385" t="s">
        <v>978</v>
      </c>
    </row>
    <row r="12" spans="1:9">
      <c r="A12" s="2989"/>
      <c r="B12" s="2990" t="s">
        <v>992</v>
      </c>
      <c r="C12" s="2990"/>
      <c r="D12" s="1386"/>
      <c r="E12" s="1386"/>
      <c r="F12" s="1387"/>
      <c r="G12" s="1388"/>
      <c r="H12" s="1395"/>
      <c r="I12" s="1385">
        <f>ROUND(D12*E12*F12*G12/10000,0)</f>
        <v>0</v>
      </c>
    </row>
    <row r="13" spans="1:9">
      <c r="A13" s="2989"/>
      <c r="B13" s="2990" t="s">
        <v>993</v>
      </c>
      <c r="C13" s="2990"/>
      <c r="D13" s="1386"/>
      <c r="E13" s="1386"/>
      <c r="F13" s="1387"/>
      <c r="G13" s="1388"/>
      <c r="H13" s="1395"/>
      <c r="I13" s="1385">
        <f>ROUND(D13*E13*F13*G13/10000,0)</f>
        <v>0</v>
      </c>
    </row>
    <row r="14" spans="1:9">
      <c r="A14" s="2989"/>
      <c r="B14" s="2990" t="s">
        <v>994</v>
      </c>
      <c r="C14" s="2990"/>
      <c r="D14" s="1386"/>
      <c r="E14" s="1386"/>
      <c r="F14" s="1387"/>
      <c r="G14" s="1388"/>
      <c r="H14" s="1395"/>
      <c r="I14" s="1385">
        <f>ROUND(D14*E14*F14*G14/10000,0)</f>
        <v>0</v>
      </c>
    </row>
    <row r="15" spans="1:9">
      <c r="A15" s="2989"/>
      <c r="B15" s="2991" t="s">
        <v>986</v>
      </c>
      <c r="C15" s="2991"/>
      <c r="D15" s="1390"/>
      <c r="E15" s="1390">
        <f>SUM(E12:E14)</f>
        <v>0</v>
      </c>
      <c r="F15" s="1391"/>
      <c r="G15" s="1388"/>
      <c r="H15" s="1395"/>
      <c r="I15" s="1396">
        <f>SUM(I12:I14)</f>
        <v>0</v>
      </c>
    </row>
    <row r="16" spans="1:9" ht="24">
      <c r="A16" s="2989" t="s">
        <v>1025</v>
      </c>
      <c r="B16" s="2990" t="s">
        <v>995</v>
      </c>
      <c r="C16" s="2990"/>
      <c r="D16" s="1386" t="s">
        <v>973</v>
      </c>
      <c r="E16" s="1397" t="s">
        <v>996</v>
      </c>
      <c r="F16" s="1387" t="s">
        <v>997</v>
      </c>
      <c r="G16" s="1388" t="s">
        <v>977</v>
      </c>
      <c r="H16" s="1394" t="s">
        <v>991</v>
      </c>
      <c r="I16" s="1385" t="s">
        <v>978</v>
      </c>
    </row>
    <row r="17" spans="1:9" ht="14.25">
      <c r="A17" s="2989"/>
      <c r="B17" s="2990" t="s">
        <v>998</v>
      </c>
      <c r="C17" s="2990"/>
      <c r="D17" s="1386"/>
      <c r="E17" s="1386"/>
      <c r="F17" s="1387"/>
      <c r="G17" s="1388"/>
      <c r="H17" s="1398"/>
      <c r="I17" s="1399">
        <f>ROUND(D17*E17*F17*G17/10000,0)</f>
        <v>0</v>
      </c>
    </row>
    <row r="18" spans="1:9" ht="14.25">
      <c r="A18" s="2989"/>
      <c r="B18" s="2990" t="s">
        <v>999</v>
      </c>
      <c r="C18" s="2990"/>
      <c r="D18" s="1386"/>
      <c r="E18" s="1386"/>
      <c r="F18" s="1387"/>
      <c r="G18" s="1388"/>
      <c r="H18" s="1398"/>
      <c r="I18" s="1399">
        <f>ROUND(D18*E18*F18*G18/10000,0)</f>
        <v>0</v>
      </c>
    </row>
    <row r="19" spans="1:9" ht="14.25">
      <c r="A19" s="2989"/>
      <c r="B19" s="2990" t="s">
        <v>1000</v>
      </c>
      <c r="C19" s="2990"/>
      <c r="D19" s="1386"/>
      <c r="E19" s="1386"/>
      <c r="F19" s="1387"/>
      <c r="G19" s="1388"/>
      <c r="H19" s="1398"/>
      <c r="I19" s="1399">
        <f>ROUND(D19*E19*F19*G19/10000,0)</f>
        <v>0</v>
      </c>
    </row>
    <row r="20" spans="1:9">
      <c r="A20" s="2989"/>
      <c r="B20" s="2991" t="s">
        <v>986</v>
      </c>
      <c r="C20" s="2991"/>
      <c r="D20" s="1390">
        <f>SUM(D17:D19)</f>
        <v>0</v>
      </c>
      <c r="E20" s="1390"/>
      <c r="F20" s="1391"/>
      <c r="G20" s="1388"/>
      <c r="H20" s="1395"/>
      <c r="I20" s="1396">
        <f>SUM(I17:I19)</f>
        <v>0</v>
      </c>
    </row>
    <row r="21" spans="1:9">
      <c r="A21" s="2989" t="s">
        <v>1026</v>
      </c>
      <c r="B21" s="2992"/>
      <c r="C21" s="2992"/>
      <c r="D21" s="2992"/>
      <c r="E21" s="2992"/>
      <c r="F21" s="2992"/>
      <c r="G21" s="2992"/>
      <c r="H21" s="1400">
        <v>0.1</v>
      </c>
      <c r="I21" s="1393">
        <f>ROUND(I10*H21,0)</f>
        <v>0</v>
      </c>
    </row>
    <row r="22" spans="1:9" ht="14.25">
      <c r="A22" s="2993" t="s">
        <v>1027</v>
      </c>
      <c r="B22" s="2994"/>
      <c r="C22" s="2995"/>
      <c r="D22" s="1401" t="s">
        <v>1001</v>
      </c>
      <c r="E22" s="1401" t="s">
        <v>1002</v>
      </c>
      <c r="F22" s="1402" t="s">
        <v>977</v>
      </c>
      <c r="G22" s="1402" t="s">
        <v>1003</v>
      </c>
      <c r="H22" s="1394" t="s">
        <v>991</v>
      </c>
      <c r="I22" s="1385" t="s">
        <v>978</v>
      </c>
    </row>
    <row r="23" spans="1:9" ht="14.25" thickBot="1">
      <c r="A23" s="2996"/>
      <c r="B23" s="2997"/>
      <c r="C23" s="2998"/>
      <c r="D23" s="1403"/>
      <c r="E23" s="1403"/>
      <c r="F23" s="1403"/>
      <c r="G23" s="1404"/>
      <c r="H23" s="1405"/>
      <c r="I23" s="1406">
        <f>ROUND(E23*D23*F23*(1-G23)/10000,0)</f>
        <v>0</v>
      </c>
    </row>
    <row r="26" spans="1:9">
      <c r="A26" s="1407" t="s">
        <v>1004</v>
      </c>
      <c r="B26" s="1407"/>
      <c r="C26" s="1407"/>
      <c r="D26" s="1407"/>
      <c r="E26" s="2986">
        <f>C27-C30-C31-C32</f>
        <v>0</v>
      </c>
      <c r="F26" s="2986"/>
      <c r="G26" s="2986"/>
      <c r="H26" s="1824" t="s">
        <v>1216</v>
      </c>
    </row>
    <row r="27" spans="1:9">
      <c r="A27" s="1408">
        <v>1</v>
      </c>
      <c r="B27" s="1409" t="s">
        <v>1005</v>
      </c>
      <c r="C27" s="1409">
        <f>C28+C29</f>
        <v>0</v>
      </c>
      <c r="D27" s="1409"/>
      <c r="E27" s="2987"/>
      <c r="F27" s="2987"/>
      <c r="G27" s="2987"/>
    </row>
    <row r="28" spans="1:9">
      <c r="A28" s="1410" t="s">
        <v>1006</v>
      </c>
      <c r="B28" s="1409" t="s">
        <v>1007</v>
      </c>
      <c r="C28" s="1409"/>
      <c r="D28" s="1409"/>
      <c r="E28" s="2987"/>
      <c r="F28" s="2987"/>
      <c r="G28" s="2987"/>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2988"/>
      <c r="F32" s="2988"/>
      <c r="G32" s="2988"/>
    </row>
    <row r="33" spans="1:7" hidden="1">
      <c r="A33" s="2983" t="s">
        <v>1016</v>
      </c>
      <c r="B33" s="2984"/>
      <c r="C33" s="2984"/>
      <c r="D33" s="2985"/>
      <c r="E33" s="2986"/>
      <c r="F33" s="2986"/>
      <c r="G33" s="2986"/>
    </row>
    <row r="34" spans="1:7" hidden="1">
      <c r="A34" s="1412">
        <v>1</v>
      </c>
      <c r="B34" s="1409" t="s">
        <v>1017</v>
      </c>
      <c r="C34" s="1409"/>
      <c r="D34" s="1409"/>
      <c r="E34" s="2987"/>
      <c r="F34" s="2987"/>
      <c r="G34" s="2987"/>
    </row>
    <row r="35" spans="1:7" hidden="1">
      <c r="A35" s="1412">
        <v>2</v>
      </c>
      <c r="B35" s="1409" t="s">
        <v>1018</v>
      </c>
      <c r="C35" s="1409"/>
      <c r="D35" s="1409"/>
      <c r="E35" s="2987"/>
      <c r="F35" s="2987"/>
      <c r="G35" s="2987"/>
    </row>
    <row r="36" spans="1:7" hidden="1">
      <c r="A36" s="1412">
        <v>3</v>
      </c>
      <c r="B36" s="1409" t="s">
        <v>1019</v>
      </c>
      <c r="C36" s="1409"/>
      <c r="D36" s="1409"/>
      <c r="E36" s="2987"/>
      <c r="F36" s="2987"/>
      <c r="G36" s="2987"/>
    </row>
    <row r="37" spans="1:7" hidden="1">
      <c r="A37" s="1412">
        <v>4</v>
      </c>
      <c r="B37" s="1409" t="s">
        <v>1020</v>
      </c>
      <c r="C37" s="1409"/>
      <c r="D37" s="1409"/>
      <c r="E37" s="2987"/>
      <c r="F37" s="2987"/>
      <c r="G37" s="2987"/>
    </row>
    <row r="38" spans="1:7" hidden="1">
      <c r="A38" s="2983" t="s">
        <v>1021</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E1" sqref="E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t="s">
        <v>2836</v>
      </c>
      <c r="D1" s="1734"/>
      <c r="E1" s="2378" t="s">
        <v>2878</v>
      </c>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2005</v>
      </c>
      <c r="B2" s="1720">
        <f>IF(D2="——",IF(C2="元",ROUND(C50*D3,0),ROUND(C50*D3/10000,0)),IF(C2="元",ROUND(C50*D3,0),ROUND(C50*D3/10000,0))-E2)</f>
        <v>447</v>
      </c>
      <c r="C2" s="163" t="str">
        <f>'数据-取费表'!B3</f>
        <v>万元</v>
      </c>
      <c r="D2" s="2380" t="s">
        <v>1251</v>
      </c>
      <c r="E2" s="1837"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2460"/>
      <c r="AC2" s="760"/>
    </row>
    <row r="3" spans="1:29" s="377" customFormat="1" ht="28.5" customHeight="1" thickBot="1">
      <c r="A3" s="167" t="s">
        <v>2006</v>
      </c>
      <c r="B3" s="593">
        <f>ROUND(IF(D2="——",C50,IF(C2="万元",B2*10000/D3,B2/D3)),0)</f>
        <v>41667</v>
      </c>
      <c r="C3" s="379" t="s">
        <v>2336</v>
      </c>
      <c r="D3" s="378">
        <f>IF(C1="仅计算典型户型",'数据-取费表'!E5,'数据-取费表'!B5)</f>
        <v>107.22</v>
      </c>
      <c r="E3" s="2452"/>
      <c r="F3" s="977"/>
      <c r="G3" s="976"/>
      <c r="H3" s="976"/>
      <c r="I3" s="976"/>
      <c r="J3" s="976"/>
      <c r="K3" s="978"/>
      <c r="L3" s="1236"/>
      <c r="M3" s="1237"/>
      <c r="N3" s="1237"/>
      <c r="O3" s="1237"/>
      <c r="P3" s="736"/>
      <c r="Q3" s="736"/>
      <c r="R3" s="736"/>
      <c r="S3" s="736"/>
      <c r="T3" s="736"/>
      <c r="U3" s="736"/>
      <c r="V3" s="736"/>
      <c r="W3" s="736"/>
      <c r="X3" s="746"/>
      <c r="Y3" s="736"/>
      <c r="Z3" s="736"/>
      <c r="AA3" s="736"/>
      <c r="AB3" s="2461"/>
      <c r="AC3" s="760"/>
    </row>
    <row r="4" spans="1:29" ht="15">
      <c r="A4" s="380" t="s">
        <v>2337</v>
      </c>
      <c r="B4" s="381"/>
      <c r="C4" s="3030" t="s">
        <v>2338</v>
      </c>
      <c r="D4" s="3031"/>
      <c r="E4" s="3032" t="s">
        <v>2339</v>
      </c>
      <c r="F4" s="3033"/>
      <c r="G4" s="3030" t="s">
        <v>2340</v>
      </c>
      <c r="H4" s="3031"/>
      <c r="I4" s="3030" t="s">
        <v>2341</v>
      </c>
      <c r="J4" s="3031"/>
      <c r="K4" s="594" t="s">
        <v>2342</v>
      </c>
      <c r="L4" s="1238"/>
      <c r="M4" s="1239"/>
      <c r="N4" s="1239"/>
      <c r="O4" s="1239"/>
      <c r="P4" s="3034" t="s">
        <v>2343</v>
      </c>
      <c r="Q4" s="3023"/>
      <c r="R4" s="3016" t="s">
        <v>2339</v>
      </c>
      <c r="S4" s="3017"/>
      <c r="T4" s="3016" t="s">
        <v>2340</v>
      </c>
      <c r="U4" s="3017"/>
      <c r="V4" s="3038" t="s">
        <v>2341</v>
      </c>
      <c r="W4" s="3038"/>
      <c r="X4" s="1894"/>
      <c r="Y4" s="3016" t="s">
        <v>2343</v>
      </c>
      <c r="Z4" s="3017"/>
      <c r="AA4" s="3027" t="s">
        <v>2339</v>
      </c>
      <c r="AB4" s="3027" t="s">
        <v>2340</v>
      </c>
      <c r="AC4" s="3027" t="s">
        <v>2341</v>
      </c>
    </row>
    <row r="5" spans="1:29" ht="15">
      <c r="A5" s="383"/>
      <c r="B5" s="384"/>
      <c r="C5" s="3041">
        <v>708</v>
      </c>
      <c r="D5" s="3042"/>
      <c r="E5" s="3039" t="s">
        <v>2874</v>
      </c>
      <c r="F5" s="3040"/>
      <c r="G5" s="3046" t="s">
        <v>2876</v>
      </c>
      <c r="H5" s="3042"/>
      <c r="I5" s="3046" t="s">
        <v>2876</v>
      </c>
      <c r="J5" s="3042"/>
      <c r="K5" s="594"/>
      <c r="L5" s="1238"/>
      <c r="M5" s="1239"/>
      <c r="N5" s="1239"/>
      <c r="O5" s="1239"/>
      <c r="P5" s="3035"/>
      <c r="Q5" s="3024"/>
      <c r="R5" s="3018"/>
      <c r="S5" s="3019"/>
      <c r="T5" s="3018"/>
      <c r="U5" s="3019"/>
      <c r="V5" s="3038"/>
      <c r="W5" s="3038"/>
      <c r="X5" s="1894"/>
      <c r="Y5" s="3018"/>
      <c r="Z5" s="3019"/>
      <c r="AA5" s="3028"/>
      <c r="AB5" s="3028"/>
      <c r="AC5" s="3028"/>
    </row>
    <row r="6" spans="1:29" ht="15.75" thickBot="1">
      <c r="A6" s="385"/>
      <c r="B6" s="386"/>
      <c r="C6" s="3045" t="s">
        <v>2875</v>
      </c>
      <c r="D6" s="3044"/>
      <c r="E6" s="3047" t="s">
        <v>2348</v>
      </c>
      <c r="F6" s="3048"/>
      <c r="G6" s="3043" t="s">
        <v>2348</v>
      </c>
      <c r="H6" s="3044"/>
      <c r="I6" s="3043" t="s">
        <v>2348</v>
      </c>
      <c r="J6" s="3044"/>
      <c r="K6" s="594" t="s">
        <v>2349</v>
      </c>
      <c r="L6" s="1238"/>
      <c r="M6" s="1239"/>
      <c r="N6" s="1239"/>
      <c r="O6" s="1239"/>
      <c r="P6" s="303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391">
        <v>43626</v>
      </c>
      <c r="F7" s="392">
        <f>SUMIF(59:59,YEAR(E7)&amp;"-"&amp;MONTH(E7),60:60)</f>
        <v>100</v>
      </c>
      <c r="G7" s="2462">
        <f>C7</f>
        <v>43647</v>
      </c>
      <c r="H7" s="390">
        <f>SUMIF(59:59,YEAR(G7)&amp;"-"&amp;MONTH(G7),60:60)</f>
        <v>100</v>
      </c>
      <c r="I7" s="2462">
        <v>43630</v>
      </c>
      <c r="J7" s="390">
        <f>SUMIF(59:59,YEAR(I7)&amp;"-"&amp;MONTH(I7),60:60)</f>
        <v>100</v>
      </c>
      <c r="K7" s="595"/>
      <c r="L7" s="1240"/>
      <c r="M7" s="1241"/>
      <c r="N7" s="1241"/>
      <c r="O7" s="1241"/>
      <c r="P7" s="3022" t="s">
        <v>2351</v>
      </c>
      <c r="Q7" s="3022"/>
      <c r="R7" s="748" t="s">
        <v>25</v>
      </c>
      <c r="S7" s="749">
        <f t="shared" ref="S7:S15" si="0">F7</f>
        <v>100</v>
      </c>
      <c r="T7" s="748" t="s">
        <v>25</v>
      </c>
      <c r="U7" s="749">
        <f t="shared" ref="U7:U15" si="1">H7</f>
        <v>100</v>
      </c>
      <c r="V7" s="748" t="s">
        <v>25</v>
      </c>
      <c r="W7" s="749">
        <f t="shared" ref="W7:W15" si="2">J7</f>
        <v>100</v>
      </c>
      <c r="X7" s="750"/>
      <c r="Y7" s="3014" t="s">
        <v>2351</v>
      </c>
      <c r="Z7" s="3015"/>
      <c r="AA7" s="751">
        <f>D7/F7</f>
        <v>1</v>
      </c>
      <c r="AB7" s="751">
        <f>D7/H7</f>
        <v>1</v>
      </c>
      <c r="AC7" s="751">
        <f>D7/J7</f>
        <v>1</v>
      </c>
    </row>
    <row r="8" spans="1:29" s="35" customFormat="1" ht="15.75" thickBot="1">
      <c r="A8" s="387" t="s">
        <v>2352</v>
      </c>
      <c r="B8" s="388"/>
      <c r="C8" s="394" t="s">
        <v>2353</v>
      </c>
      <c r="D8" s="390">
        <v>100</v>
      </c>
      <c r="E8" s="394" t="s">
        <v>2868</v>
      </c>
      <c r="F8" s="392">
        <f>SUMIF(62:62,E8,63:63)-SUMIF(62:62,C8,63:63)+100</f>
        <v>100</v>
      </c>
      <c r="G8" s="394" t="s">
        <v>2868</v>
      </c>
      <c r="H8" s="390">
        <f>SUMIF(62:62,G8,63:63)-SUMIF(62:62,C8,63:63)+100</f>
        <v>100</v>
      </c>
      <c r="I8" s="394" t="s">
        <v>2868</v>
      </c>
      <c r="J8" s="390">
        <f>SUMIF(62:62,I8,63:63)-SUMIF(62:62,C8,63:63)+100</f>
        <v>100</v>
      </c>
      <c r="K8" s="595"/>
      <c r="L8" s="1240"/>
      <c r="M8" s="1241"/>
      <c r="N8" s="1241"/>
      <c r="O8" s="1241"/>
      <c r="P8" s="3022" t="s">
        <v>2354</v>
      </c>
      <c r="Q8" s="3015"/>
      <c r="R8" s="748" t="s">
        <v>25</v>
      </c>
      <c r="S8" s="749">
        <f t="shared" si="0"/>
        <v>100</v>
      </c>
      <c r="T8" s="748" t="s">
        <v>25</v>
      </c>
      <c r="U8" s="749">
        <f t="shared" si="1"/>
        <v>100</v>
      </c>
      <c r="V8" s="748" t="s">
        <v>25</v>
      </c>
      <c r="W8" s="749">
        <f t="shared" si="2"/>
        <v>100</v>
      </c>
      <c r="X8" s="750"/>
      <c r="Y8" s="3014" t="s">
        <v>2354</v>
      </c>
      <c r="Z8" s="3015"/>
      <c r="AA8" s="751">
        <f t="shared" ref="AA8:AA47" si="3">D8/F8</f>
        <v>1</v>
      </c>
      <c r="AB8" s="751">
        <f t="shared" ref="AB8:AB47" si="4">D8/H8</f>
        <v>1</v>
      </c>
      <c r="AC8" s="751">
        <f t="shared" ref="AC8:AC47" si="5">D8/J8</f>
        <v>1</v>
      </c>
    </row>
    <row r="9" spans="1:29" s="35" customFormat="1">
      <c r="A9" s="395" t="s">
        <v>2355</v>
      </c>
      <c r="B9" s="28" t="s">
        <v>2356</v>
      </c>
      <c r="C9" s="2749" t="s">
        <v>2866</v>
      </c>
      <c r="D9" s="51">
        <v>100</v>
      </c>
      <c r="E9" s="399" t="s">
        <v>2832</v>
      </c>
      <c r="F9" s="51">
        <f>SUMIF(64:64,E9,65:65)-SUMIF(64:64,C9,65:65)+100</f>
        <v>100</v>
      </c>
      <c r="G9" s="399" t="s">
        <v>2832</v>
      </c>
      <c r="H9" s="51">
        <f>SUMIF(64:64,G9,65:65)-SUMIF(64:64,C9,65:65)+100</f>
        <v>100</v>
      </c>
      <c r="I9" s="399" t="s">
        <v>2832</v>
      </c>
      <c r="J9" s="51">
        <f>SUMIF(64:64,I9,65:65)-SUMIF(64:64,C9,65:65)+100</f>
        <v>100</v>
      </c>
      <c r="K9" s="595"/>
      <c r="L9" s="1240"/>
      <c r="M9" s="1241"/>
      <c r="N9" s="1241"/>
      <c r="O9" s="1241"/>
      <c r="P9" s="3004"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29" s="407" customFormat="1" ht="27">
      <c r="A10" s="401"/>
      <c r="B10" s="402" t="s">
        <v>2359</v>
      </c>
      <c r="C10" s="403" t="s">
        <v>2867</v>
      </c>
      <c r="D10" s="52">
        <v>100</v>
      </c>
      <c r="E10" s="403" t="s">
        <v>2867</v>
      </c>
      <c r="F10" s="52">
        <f>SUMIF(66:66,E10,67:67)-SUMIF(66:66,C10,67:67)+100</f>
        <v>100</v>
      </c>
      <c r="G10" s="403" t="s">
        <v>2867</v>
      </c>
      <c r="H10" s="52">
        <f>SUMIF(66:66,G10,67:67)-SUMIF(66:66,C10,67:67)+100</f>
        <v>100</v>
      </c>
      <c r="I10" s="403" t="s">
        <v>2867</v>
      </c>
      <c r="J10" s="52">
        <f>SUMIF(66:66,I10,67:67)-SUMIF(66:66,C10,67:67)+100</f>
        <v>100</v>
      </c>
      <c r="K10" s="596">
        <v>1</v>
      </c>
      <c r="L10" s="1243"/>
      <c r="M10" s="1244"/>
      <c r="N10" s="1244"/>
      <c r="O10" s="1244"/>
      <c r="P10" s="3004"/>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2360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04"/>
      <c r="Q11" s="1881" t="str">
        <f t="shared" si="6"/>
        <v>容积率</v>
      </c>
      <c r="R11" s="748" t="s">
        <v>25</v>
      </c>
      <c r="S11" s="749">
        <f t="shared" si="0"/>
        <v>100</v>
      </c>
      <c r="T11" s="748" t="s">
        <v>25</v>
      </c>
      <c r="U11" s="749">
        <f t="shared" si="1"/>
        <v>100</v>
      </c>
      <c r="V11" s="748" t="s">
        <v>25</v>
      </c>
      <c r="W11" s="749">
        <f t="shared" si="2"/>
        <v>100</v>
      </c>
      <c r="X11" s="750"/>
      <c r="Y11" s="2842"/>
      <c r="Z11" s="23" t="str">
        <f t="shared" si="7"/>
        <v>容积率</v>
      </c>
      <c r="AA11" s="751">
        <f t="shared" si="3"/>
        <v>1</v>
      </c>
      <c r="AB11" s="751">
        <f t="shared" si="4"/>
        <v>1</v>
      </c>
      <c r="AC11" s="751">
        <f t="shared" si="5"/>
        <v>1</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04"/>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04"/>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04"/>
      <c r="Q14" s="1881">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71.25">
      <c r="A15" s="419" t="s">
        <v>2361</v>
      </c>
      <c r="B15" s="613" t="s">
        <v>2476</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23" t="s">
        <v>2362</v>
      </c>
      <c r="Q15" s="1893" t="str">
        <f t="shared" si="6"/>
        <v>办公集聚程度</v>
      </c>
      <c r="R15" s="752" t="s">
        <v>25</v>
      </c>
      <c r="S15" s="753">
        <f t="shared" si="0"/>
        <v>100</v>
      </c>
      <c r="T15" s="752" t="s">
        <v>25</v>
      </c>
      <c r="U15" s="753">
        <f t="shared" si="1"/>
        <v>100</v>
      </c>
      <c r="V15" s="752" t="s">
        <v>25</v>
      </c>
      <c r="W15" s="753">
        <f t="shared" si="2"/>
        <v>100</v>
      </c>
      <c r="X15" s="1894"/>
      <c r="Y15" s="3025" t="s">
        <v>2362</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24"/>
      <c r="Q16" s="1893"/>
      <c r="R16" s="752"/>
      <c r="S16" s="753"/>
      <c r="T16" s="752"/>
      <c r="U16" s="753"/>
      <c r="V16" s="752"/>
      <c r="W16" s="753"/>
      <c r="X16" s="1894"/>
      <c r="Y16" s="3026"/>
      <c r="Z16" s="1896"/>
      <c r="AA16" s="1897">
        <v>1</v>
      </c>
      <c r="AB16" s="1897">
        <v>1</v>
      </c>
      <c r="AC16" s="1897">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24"/>
      <c r="Q17" s="1893" t="str">
        <f>B17</f>
        <v>交通便捷度</v>
      </c>
      <c r="R17" s="752" t="s">
        <v>25</v>
      </c>
      <c r="S17" s="753">
        <f>F17</f>
        <v>100</v>
      </c>
      <c r="T17" s="752" t="s">
        <v>25</v>
      </c>
      <c r="U17" s="753">
        <f>H17</f>
        <v>100</v>
      </c>
      <c r="V17" s="752" t="s">
        <v>25</v>
      </c>
      <c r="W17" s="753">
        <f>J17</f>
        <v>100</v>
      </c>
      <c r="X17" s="1894"/>
      <c r="Y17" s="3026"/>
      <c r="Z17" s="1896" t="str">
        <f>Q17</f>
        <v>交通便捷度</v>
      </c>
      <c r="AA17" s="1897">
        <f t="shared" si="3"/>
        <v>1</v>
      </c>
      <c r="AB17" s="1897">
        <f t="shared" si="4"/>
        <v>1</v>
      </c>
      <c r="AC17" s="1897">
        <f t="shared" si="5"/>
        <v>1</v>
      </c>
    </row>
    <row r="18" spans="1:29" ht="15">
      <c r="A18" s="408"/>
      <c r="B18" s="616"/>
      <c r="C18" s="2465" t="s">
        <v>29</v>
      </c>
      <c r="D18" s="430"/>
      <c r="E18" s="2465" t="s">
        <v>29</v>
      </c>
      <c r="F18" s="430"/>
      <c r="G18" s="2465" t="s">
        <v>29</v>
      </c>
      <c r="H18" s="427"/>
      <c r="I18" s="2465" t="s">
        <v>29</v>
      </c>
      <c r="J18" s="427"/>
      <c r="K18" s="599"/>
      <c r="L18" s="1248"/>
      <c r="M18" s="1239"/>
      <c r="N18" s="1239"/>
      <c r="O18" s="1239"/>
      <c r="P18" s="3024"/>
      <c r="Q18" s="1893"/>
      <c r="R18" s="752"/>
      <c r="S18" s="753"/>
      <c r="T18" s="752"/>
      <c r="U18" s="753"/>
      <c r="V18" s="752"/>
      <c r="W18" s="753"/>
      <c r="X18" s="1894"/>
      <c r="Y18" s="3026"/>
      <c r="Z18" s="1896"/>
      <c r="AA18" s="1897">
        <v>1</v>
      </c>
      <c r="AB18" s="1897">
        <v>1</v>
      </c>
      <c r="AC18" s="1897">
        <v>1</v>
      </c>
    </row>
    <row r="19" spans="1:29" ht="42.75">
      <c r="A19" s="408"/>
      <c r="B19" s="615" t="s">
        <v>2477</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24"/>
      <c r="Q19" s="1893" t="str">
        <f>B19</f>
        <v>公共配套设施</v>
      </c>
      <c r="R19" s="752" t="s">
        <v>25</v>
      </c>
      <c r="S19" s="753">
        <f>F19</f>
        <v>100</v>
      </c>
      <c r="T19" s="752" t="s">
        <v>25</v>
      </c>
      <c r="U19" s="753">
        <f>H19</f>
        <v>100</v>
      </c>
      <c r="V19" s="752" t="s">
        <v>25</v>
      </c>
      <c r="W19" s="753">
        <f>J19</f>
        <v>100</v>
      </c>
      <c r="X19" s="1894"/>
      <c r="Y19" s="3026"/>
      <c r="Z19" s="1896" t="str">
        <f>Q19</f>
        <v>公共配套设施</v>
      </c>
      <c r="AA19" s="1897">
        <f t="shared" si="3"/>
        <v>1</v>
      </c>
      <c r="AB19" s="1897">
        <f t="shared" si="4"/>
        <v>1</v>
      </c>
      <c r="AC19" s="1897">
        <f t="shared" si="5"/>
        <v>1</v>
      </c>
    </row>
    <row r="20" spans="1:29" ht="15">
      <c r="A20" s="408"/>
      <c r="B20" s="616"/>
      <c r="C20" s="1467" t="s">
        <v>29</v>
      </c>
      <c r="D20" s="427"/>
      <c r="E20" s="2465" t="s">
        <v>29</v>
      </c>
      <c r="F20" s="427"/>
      <c r="G20" s="2465" t="s">
        <v>29</v>
      </c>
      <c r="H20" s="427"/>
      <c r="I20" s="2465" t="s">
        <v>29</v>
      </c>
      <c r="J20" s="427"/>
      <c r="K20" s="599"/>
      <c r="L20" s="1248"/>
      <c r="M20" s="1239"/>
      <c r="N20" s="1239"/>
      <c r="O20" s="1239"/>
      <c r="P20" s="3024"/>
      <c r="Q20" s="1893"/>
      <c r="R20" s="752"/>
      <c r="S20" s="753"/>
      <c r="T20" s="752"/>
      <c r="U20" s="753"/>
      <c r="V20" s="752"/>
      <c r="W20" s="753"/>
      <c r="X20" s="1894"/>
      <c r="Y20" s="3026"/>
      <c r="Z20" s="1896"/>
      <c r="AA20" s="1897">
        <v>1</v>
      </c>
      <c r="AB20" s="1897">
        <v>1</v>
      </c>
      <c r="AC20" s="1897">
        <v>1</v>
      </c>
    </row>
    <row r="21" spans="1:29" ht="28.5">
      <c r="A21" s="408"/>
      <c r="B21" s="617" t="s">
        <v>2478</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24"/>
      <c r="Q21" s="1893" t="str">
        <f>B21</f>
        <v>基础设施水平</v>
      </c>
      <c r="R21" s="752" t="s">
        <v>25</v>
      </c>
      <c r="S21" s="753">
        <f>F21</f>
        <v>100</v>
      </c>
      <c r="T21" s="752" t="s">
        <v>25</v>
      </c>
      <c r="U21" s="753">
        <f>H21</f>
        <v>100</v>
      </c>
      <c r="V21" s="752" t="s">
        <v>25</v>
      </c>
      <c r="W21" s="753">
        <f>J21</f>
        <v>100</v>
      </c>
      <c r="X21" s="1894"/>
      <c r="Y21" s="3026"/>
      <c r="Z21" s="1896" t="str">
        <f>Q21</f>
        <v>基础设施水平</v>
      </c>
      <c r="AA21" s="1897">
        <f t="shared" ref="AA21" si="8">D21/F21</f>
        <v>1</v>
      </c>
      <c r="AB21" s="1897">
        <f t="shared" ref="AB21" si="9">D21/H21</f>
        <v>1</v>
      </c>
      <c r="AC21" s="1897">
        <f t="shared" ref="AC21" si="10">D21/J21</f>
        <v>1</v>
      </c>
    </row>
    <row r="22" spans="1:29" ht="15">
      <c r="A22" s="408"/>
      <c r="B22" s="617"/>
      <c r="C22" s="2465" t="s">
        <v>2854</v>
      </c>
      <c r="D22" s="427"/>
      <c r="E22" s="2465" t="s">
        <v>2854</v>
      </c>
      <c r="F22" s="427"/>
      <c r="G22" s="2465" t="s">
        <v>2854</v>
      </c>
      <c r="H22" s="427"/>
      <c r="I22" s="2465" t="s">
        <v>2854</v>
      </c>
      <c r="J22" s="427"/>
      <c r="K22" s="1464"/>
      <c r="L22" s="1248"/>
      <c r="M22" s="1239"/>
      <c r="N22" s="1239"/>
      <c r="O22" s="1239"/>
      <c r="P22" s="3024"/>
      <c r="Q22" s="1893"/>
      <c r="R22" s="752"/>
      <c r="S22" s="753"/>
      <c r="T22" s="752"/>
      <c r="U22" s="753"/>
      <c r="V22" s="752"/>
      <c r="W22" s="753"/>
      <c r="X22" s="1894"/>
      <c r="Y22" s="3026"/>
      <c r="Z22" s="1896"/>
      <c r="AA22" s="1897">
        <v>1</v>
      </c>
      <c r="AB22" s="1897">
        <v>1</v>
      </c>
      <c r="AC22" s="1897">
        <v>1</v>
      </c>
    </row>
    <row r="23" spans="1:29" ht="57">
      <c r="A23" s="408"/>
      <c r="B23" s="615" t="s">
        <v>2479</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24"/>
      <c r="Q23" s="1893" t="str">
        <f>B23</f>
        <v>环境质量</v>
      </c>
      <c r="R23" s="752" t="s">
        <v>25</v>
      </c>
      <c r="S23" s="753">
        <f>F23</f>
        <v>100</v>
      </c>
      <c r="T23" s="752" t="s">
        <v>25</v>
      </c>
      <c r="U23" s="753">
        <f>H23</f>
        <v>100</v>
      </c>
      <c r="V23" s="752" t="s">
        <v>25</v>
      </c>
      <c r="W23" s="753">
        <f>J23</f>
        <v>100</v>
      </c>
      <c r="X23" s="1894"/>
      <c r="Y23" s="3026"/>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24"/>
      <c r="Q24" s="1893"/>
      <c r="R24" s="752"/>
      <c r="S24" s="753"/>
      <c r="T24" s="752"/>
      <c r="U24" s="753"/>
      <c r="V24" s="752"/>
      <c r="W24" s="753"/>
      <c r="X24" s="1894"/>
      <c r="Y24" s="3026"/>
      <c r="Z24" s="1896"/>
      <c r="AA24" s="1897">
        <v>1</v>
      </c>
      <c r="AB24" s="1897">
        <v>1</v>
      </c>
      <c r="AC24" s="1897">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v>1</v>
      </c>
      <c r="L25" s="1248"/>
      <c r="M25" s="1239"/>
      <c r="N25" s="1239"/>
      <c r="O25" s="1239"/>
      <c r="P25" s="3024"/>
      <c r="Q25" s="1893" t="str">
        <f>B25</f>
        <v>毗邻道路的类型与等级</v>
      </c>
      <c r="R25" s="752" t="s">
        <v>25</v>
      </c>
      <c r="S25" s="753">
        <f>F25</f>
        <v>100</v>
      </c>
      <c r="T25" s="752" t="s">
        <v>25</v>
      </c>
      <c r="U25" s="753">
        <f>H25</f>
        <v>100</v>
      </c>
      <c r="V25" s="752" t="s">
        <v>25</v>
      </c>
      <c r="W25" s="753">
        <f>J25</f>
        <v>100</v>
      </c>
      <c r="X25" s="1894"/>
      <c r="Y25" s="3026"/>
      <c r="Z25" s="1896" t="str">
        <f>Q25</f>
        <v>毗邻道路的类型与等级</v>
      </c>
      <c r="AA25" s="1897">
        <f t="shared" si="3"/>
        <v>1</v>
      </c>
      <c r="AB25" s="1897">
        <f t="shared" si="4"/>
        <v>1</v>
      </c>
      <c r="AC25" s="1897">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24"/>
      <c r="Q26" s="1893"/>
      <c r="R26" s="752"/>
      <c r="S26" s="753"/>
      <c r="T26" s="752"/>
      <c r="U26" s="753"/>
      <c r="V26" s="752"/>
      <c r="W26" s="753"/>
      <c r="X26" s="1894"/>
      <c r="Y26" s="3026"/>
      <c r="Z26" s="1896"/>
      <c r="AA26" s="1897">
        <v>1</v>
      </c>
      <c r="AB26" s="1897">
        <v>1</v>
      </c>
      <c r="AC26" s="1897">
        <v>1</v>
      </c>
    </row>
    <row r="27" spans="1:29" ht="15">
      <c r="A27" s="408"/>
      <c r="B27" s="616" t="s">
        <v>2453</v>
      </c>
      <c r="C27" s="618" t="s">
        <v>2865</v>
      </c>
      <c r="D27" s="415">
        <v>100</v>
      </c>
      <c r="E27" s="618" t="s">
        <v>2865</v>
      </c>
      <c r="F27" s="415">
        <f>SUMIF(89:89,E27,90:90)-SUMIF(89:89,C27,90:90)+100</f>
        <v>100</v>
      </c>
      <c r="G27" s="618" t="s">
        <v>2865</v>
      </c>
      <c r="H27" s="415">
        <f>SUMIF(89:89,G27,90:90)-SUMIF(89:89,C27,90:90)+100</f>
        <v>100</v>
      </c>
      <c r="I27" s="600" t="s">
        <v>2865</v>
      </c>
      <c r="J27" s="415">
        <f>SUMIF(89:89,I27,90:90)-SUMIF(89:89,C27,90:90)+100</f>
        <v>100</v>
      </c>
      <c r="K27" s="596">
        <v>1</v>
      </c>
      <c r="L27" s="1248"/>
      <c r="M27" s="1239"/>
      <c r="N27" s="1239"/>
      <c r="O27" s="1239"/>
      <c r="P27" s="3024"/>
      <c r="Q27" s="1893" t="str">
        <f t="shared" ref="Q27:Q47" si="11">B27</f>
        <v>楼层</v>
      </c>
      <c r="R27" s="752" t="s">
        <v>25</v>
      </c>
      <c r="S27" s="753">
        <f>F27</f>
        <v>100</v>
      </c>
      <c r="T27" s="752" t="s">
        <v>25</v>
      </c>
      <c r="U27" s="753">
        <f>H27</f>
        <v>100</v>
      </c>
      <c r="V27" s="752" t="s">
        <v>25</v>
      </c>
      <c r="W27" s="753">
        <f>J27</f>
        <v>100</v>
      </c>
      <c r="X27" s="1894"/>
      <c r="Y27" s="3026"/>
      <c r="Z27" s="1896" t="str">
        <f>Q27</f>
        <v>楼层</v>
      </c>
      <c r="AA27" s="1897">
        <f t="shared" si="3"/>
        <v>1</v>
      </c>
      <c r="AB27" s="1897">
        <f t="shared" si="4"/>
        <v>1</v>
      </c>
      <c r="AC27" s="1897">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v>1</v>
      </c>
      <c r="L28" s="1240"/>
      <c r="M28" s="1241"/>
      <c r="N28" s="1241"/>
      <c r="O28" s="1241"/>
      <c r="P28" s="3024"/>
      <c r="Q28" s="1881" t="str">
        <f t="shared" si="11"/>
        <v>朝向</v>
      </c>
      <c r="R28" s="748" t="s">
        <v>25</v>
      </c>
      <c r="S28" s="749">
        <f>F28</f>
        <v>100</v>
      </c>
      <c r="T28" s="748" t="s">
        <v>25</v>
      </c>
      <c r="U28" s="749">
        <f>H28</f>
        <v>100</v>
      </c>
      <c r="V28" s="748" t="s">
        <v>25</v>
      </c>
      <c r="W28" s="749">
        <f>J28</f>
        <v>100</v>
      </c>
      <c r="X28" s="750"/>
      <c r="Y28" s="3026"/>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24"/>
      <c r="Q29" s="1893">
        <f t="shared" si="11"/>
        <v>111</v>
      </c>
      <c r="R29" s="752" t="s">
        <v>25</v>
      </c>
      <c r="S29" s="753">
        <f t="shared" ref="S29:S47" si="12">F29</f>
        <v>100</v>
      </c>
      <c r="T29" s="752" t="s">
        <v>25</v>
      </c>
      <c r="U29" s="753">
        <f t="shared" ref="U29:U47" si="13">H29</f>
        <v>100</v>
      </c>
      <c r="V29" s="752" t="s">
        <v>25</v>
      </c>
      <c r="W29" s="753">
        <f t="shared" ref="W29:W47" si="14">J29</f>
        <v>100</v>
      </c>
      <c r="X29" s="1894"/>
      <c r="Y29" s="3026"/>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24"/>
      <c r="Q30" s="1893">
        <f t="shared" si="11"/>
        <v>111</v>
      </c>
      <c r="R30" s="752" t="s">
        <v>25</v>
      </c>
      <c r="S30" s="753">
        <f t="shared" si="12"/>
        <v>100</v>
      </c>
      <c r="T30" s="752" t="s">
        <v>25</v>
      </c>
      <c r="U30" s="753">
        <f t="shared" si="13"/>
        <v>100</v>
      </c>
      <c r="V30" s="752" t="s">
        <v>25</v>
      </c>
      <c r="W30" s="753">
        <f t="shared" si="14"/>
        <v>100</v>
      </c>
      <c r="X30" s="1894"/>
      <c r="Y30" s="3026"/>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24"/>
      <c r="Q31" s="1893">
        <f t="shared" si="11"/>
        <v>111</v>
      </c>
      <c r="R31" s="752" t="s">
        <v>25</v>
      </c>
      <c r="S31" s="753">
        <f t="shared" si="12"/>
        <v>100</v>
      </c>
      <c r="T31" s="752" t="s">
        <v>25</v>
      </c>
      <c r="U31" s="753">
        <f t="shared" si="13"/>
        <v>100</v>
      </c>
      <c r="V31" s="752" t="s">
        <v>25</v>
      </c>
      <c r="W31" s="753">
        <f t="shared" si="14"/>
        <v>100</v>
      </c>
      <c r="X31" s="1894"/>
      <c r="Y31" s="3026"/>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24"/>
      <c r="Q32" s="1893">
        <f t="shared" si="11"/>
        <v>111</v>
      </c>
      <c r="R32" s="752" t="s">
        <v>25</v>
      </c>
      <c r="S32" s="753">
        <f t="shared" si="12"/>
        <v>100</v>
      </c>
      <c r="T32" s="752" t="s">
        <v>25</v>
      </c>
      <c r="U32" s="753">
        <f t="shared" si="13"/>
        <v>100</v>
      </c>
      <c r="V32" s="752" t="s">
        <v>25</v>
      </c>
      <c r="W32" s="753">
        <f t="shared" si="14"/>
        <v>100</v>
      </c>
      <c r="X32" s="1894"/>
      <c r="Y32" s="3026"/>
      <c r="Z32" s="1896">
        <f t="shared" si="15"/>
        <v>111</v>
      </c>
      <c r="AA32" s="1897">
        <f t="shared" si="3"/>
        <v>1</v>
      </c>
      <c r="AB32" s="1897">
        <f t="shared" si="4"/>
        <v>1</v>
      </c>
      <c r="AC32" s="1897">
        <f t="shared" si="5"/>
        <v>1</v>
      </c>
    </row>
    <row r="33" spans="1:29" ht="15">
      <c r="A33" s="419" t="s">
        <v>2366</v>
      </c>
      <c r="B33" s="28" t="s">
        <v>2482</v>
      </c>
      <c r="C33" s="2469" t="s">
        <v>2830</v>
      </c>
      <c r="D33" s="448">
        <v>100</v>
      </c>
      <c r="E33" s="2469" t="s">
        <v>2830</v>
      </c>
      <c r="F33" s="442">
        <f>SUMIF(101:101,E33,102:102)-SUMIF(101:101,C33,102:102)+100</f>
        <v>100</v>
      </c>
      <c r="G33" s="2469" t="s">
        <v>2830</v>
      </c>
      <c r="H33" s="415">
        <f>SUMIF(101:101,G33,102:102)-SUMIF(101:101,C33,102:102)+100</f>
        <v>100</v>
      </c>
      <c r="I33" s="2469" t="s">
        <v>2830</v>
      </c>
      <c r="J33" s="448">
        <f>SUMIF(101:101,I33,102:102)-SUMIF(101:101,C33,102:102)+100</f>
        <v>100</v>
      </c>
      <c r="K33" s="596">
        <v>1</v>
      </c>
      <c r="L33" s="1248"/>
      <c r="M33" s="1239"/>
      <c r="N33" s="1239"/>
      <c r="O33" s="1239"/>
      <c r="P33" s="3009" t="s">
        <v>2368</v>
      </c>
      <c r="Q33" s="1893" t="str">
        <f t="shared" si="11"/>
        <v>建筑类型</v>
      </c>
      <c r="R33" s="752" t="s">
        <v>25</v>
      </c>
      <c r="S33" s="753">
        <f t="shared" si="12"/>
        <v>100</v>
      </c>
      <c r="T33" s="752" t="s">
        <v>25</v>
      </c>
      <c r="U33" s="753">
        <f t="shared" si="13"/>
        <v>100</v>
      </c>
      <c r="V33" s="752" t="s">
        <v>25</v>
      </c>
      <c r="W33" s="753">
        <f t="shared" si="14"/>
        <v>100</v>
      </c>
      <c r="X33" s="1894"/>
      <c r="Y33" s="3012" t="s">
        <v>2368</v>
      </c>
      <c r="Z33" s="1896" t="str">
        <f t="shared" si="15"/>
        <v>建筑类型</v>
      </c>
      <c r="AA33" s="1897">
        <f t="shared" si="3"/>
        <v>1</v>
      </c>
      <c r="AB33" s="1897">
        <f t="shared" si="4"/>
        <v>1</v>
      </c>
      <c r="AC33" s="1897">
        <f t="shared" si="5"/>
        <v>1</v>
      </c>
    </row>
    <row r="34" spans="1:29" s="452" customFormat="1" ht="15">
      <c r="A34" s="449"/>
      <c r="B34" s="402" t="s">
        <v>2369</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10"/>
      <c r="Q34" s="754" t="str">
        <f t="shared" si="11"/>
        <v>项目建筑规模</v>
      </c>
      <c r="R34" s="755" t="s">
        <v>25</v>
      </c>
      <c r="S34" s="756">
        <f t="shared" si="12"/>
        <v>100</v>
      </c>
      <c r="T34" s="755" t="s">
        <v>25</v>
      </c>
      <c r="U34" s="756">
        <f t="shared" si="13"/>
        <v>100</v>
      </c>
      <c r="V34" s="755" t="s">
        <v>25</v>
      </c>
      <c r="W34" s="756">
        <f t="shared" si="14"/>
        <v>100</v>
      </c>
      <c r="X34" s="757"/>
      <c r="Y34" s="3012"/>
      <c r="Z34" s="758" t="str">
        <f t="shared" si="15"/>
        <v>项目建筑规模</v>
      </c>
      <c r="AA34" s="1897">
        <f t="shared" si="3"/>
        <v>1</v>
      </c>
      <c r="AB34" s="1897">
        <f t="shared" si="4"/>
        <v>1</v>
      </c>
      <c r="AC34" s="1897">
        <f t="shared" si="5"/>
        <v>1</v>
      </c>
    </row>
    <row r="35" spans="1:29" ht="15">
      <c r="A35" s="453"/>
      <c r="B35" s="402" t="s">
        <v>2370</v>
      </c>
      <c r="C35" s="441" t="s">
        <v>2839</v>
      </c>
      <c r="D35" s="415">
        <v>100</v>
      </c>
      <c r="E35" s="2750" t="s">
        <v>2877</v>
      </c>
      <c r="F35" s="442">
        <f>SUMIF(106:106,E35,107:107)-SUMIF(106:106,C35,107:107)+100</f>
        <v>100</v>
      </c>
      <c r="G35" s="441" t="s">
        <v>2839</v>
      </c>
      <c r="H35" s="415">
        <f>SUMIF(106:106,G35,107:107)-SUMIF(106:106,C35,107:107)+100</f>
        <v>100</v>
      </c>
      <c r="I35" s="441" t="s">
        <v>2839</v>
      </c>
      <c r="J35" s="415">
        <f>SUMIF(106:106,I35,107:107)-SUMIF(106:106,C35,107:107)+100</f>
        <v>100</v>
      </c>
      <c r="K35" s="596">
        <v>1</v>
      </c>
      <c r="L35" s="1248"/>
      <c r="M35" s="1239"/>
      <c r="N35" s="1239"/>
      <c r="O35" s="1239"/>
      <c r="P35" s="3010"/>
      <c r="Q35" s="1893" t="str">
        <f t="shared" si="11"/>
        <v>建筑结构</v>
      </c>
      <c r="R35" s="752" t="s">
        <v>25</v>
      </c>
      <c r="S35" s="753">
        <f t="shared" si="12"/>
        <v>100</v>
      </c>
      <c r="T35" s="752" t="s">
        <v>25</v>
      </c>
      <c r="U35" s="753">
        <f t="shared" si="13"/>
        <v>100</v>
      </c>
      <c r="V35" s="752" t="s">
        <v>25</v>
      </c>
      <c r="W35" s="753">
        <f t="shared" si="14"/>
        <v>100</v>
      </c>
      <c r="X35" s="1894"/>
      <c r="Y35" s="3012"/>
      <c r="Z35" s="1896" t="str">
        <f t="shared" si="15"/>
        <v>建筑结构</v>
      </c>
      <c r="AA35" s="1897">
        <f t="shared" si="3"/>
        <v>1</v>
      </c>
      <c r="AB35" s="1897">
        <f t="shared" si="4"/>
        <v>1</v>
      </c>
      <c r="AC35" s="1897">
        <f t="shared" si="5"/>
        <v>1</v>
      </c>
    </row>
    <row r="36" spans="1:29" ht="15">
      <c r="A36" s="453"/>
      <c r="B36" s="402" t="s">
        <v>2455</v>
      </c>
      <c r="C36" s="441" t="s">
        <v>2869</v>
      </c>
      <c r="D36" s="415">
        <v>100</v>
      </c>
      <c r="E36" s="441" t="s">
        <v>2869</v>
      </c>
      <c r="F36" s="442">
        <f>SUMIF(108:108,E36,109:109)-SUMIF(108:108,C36,109:109)+100</f>
        <v>100</v>
      </c>
      <c r="G36" s="441" t="s">
        <v>2869</v>
      </c>
      <c r="H36" s="415">
        <f>SUMIF(108:108,G36,109:109)-SUMIF(108:108,C36,109:109)+100</f>
        <v>100</v>
      </c>
      <c r="I36" s="441" t="s">
        <v>2869</v>
      </c>
      <c r="J36" s="415">
        <f>SUMIF(108:108,I36,109:109)-SUMIF(108:108,C36,109:109)+100</f>
        <v>100</v>
      </c>
      <c r="K36" s="596">
        <v>1</v>
      </c>
      <c r="L36" s="1248"/>
      <c r="M36" s="1239"/>
      <c r="N36" s="1239"/>
      <c r="O36" s="1239"/>
      <c r="P36" s="3010"/>
      <c r="Q36" s="1893" t="str">
        <f t="shared" si="11"/>
        <v>公共部分装修</v>
      </c>
      <c r="R36" s="752" t="s">
        <v>25</v>
      </c>
      <c r="S36" s="753">
        <f t="shared" si="12"/>
        <v>100</v>
      </c>
      <c r="T36" s="752" t="s">
        <v>25</v>
      </c>
      <c r="U36" s="753">
        <f t="shared" si="13"/>
        <v>100</v>
      </c>
      <c r="V36" s="752" t="s">
        <v>25</v>
      </c>
      <c r="W36" s="753">
        <f t="shared" si="14"/>
        <v>100</v>
      </c>
      <c r="X36" s="1894"/>
      <c r="Y36" s="3012"/>
      <c r="Z36" s="1896" t="str">
        <f t="shared" si="15"/>
        <v>公共部分装修</v>
      </c>
      <c r="AA36" s="1897">
        <f t="shared" si="3"/>
        <v>1</v>
      </c>
      <c r="AB36" s="1897">
        <f t="shared" si="4"/>
        <v>1</v>
      </c>
      <c r="AC36" s="1897">
        <f t="shared" si="5"/>
        <v>1</v>
      </c>
    </row>
    <row r="37" spans="1:29" ht="15">
      <c r="A37" s="453"/>
      <c r="B37" s="402" t="s">
        <v>2456</v>
      </c>
      <c r="C37" s="455">
        <f>'数据-取费表'!E20</f>
        <v>0.84</v>
      </c>
      <c r="D37" s="415">
        <v>100</v>
      </c>
      <c r="E37" s="455">
        <f>C37</f>
        <v>0.84</v>
      </c>
      <c r="F37" s="442">
        <f>LOOKUP(E37,111:111,112:112)-LOOKUP(C37,111:111,112:112)+100</f>
        <v>100</v>
      </c>
      <c r="G37" s="455">
        <f>E37</f>
        <v>0.84</v>
      </c>
      <c r="H37" s="442">
        <f>LOOKUP(G37,111:111,112:112)-LOOKUP(C37,111:111,112:112)+100</f>
        <v>100</v>
      </c>
      <c r="I37" s="455">
        <f>G37</f>
        <v>0.84</v>
      </c>
      <c r="J37" s="415">
        <f>LOOKUP(I37,111:111,112:112)-LOOKUP(C37,111:111,112:112)+100</f>
        <v>100</v>
      </c>
      <c r="K37" s="596">
        <v>1</v>
      </c>
      <c r="L37" s="1248"/>
      <c r="M37" s="1239"/>
      <c r="N37" s="1239"/>
      <c r="O37" s="1239"/>
      <c r="P37" s="3010"/>
      <c r="Q37" s="1893" t="str">
        <f t="shared" si="11"/>
        <v>成新度</v>
      </c>
      <c r="R37" s="752" t="s">
        <v>25</v>
      </c>
      <c r="S37" s="753">
        <f t="shared" si="12"/>
        <v>100</v>
      </c>
      <c r="T37" s="752" t="s">
        <v>25</v>
      </c>
      <c r="U37" s="753">
        <f t="shared" si="13"/>
        <v>100</v>
      </c>
      <c r="V37" s="752" t="s">
        <v>25</v>
      </c>
      <c r="W37" s="753">
        <f t="shared" si="14"/>
        <v>100</v>
      </c>
      <c r="X37" s="1894"/>
      <c r="Y37" s="3012"/>
      <c r="Z37" s="1896" t="str">
        <f t="shared" si="15"/>
        <v>成新度</v>
      </c>
      <c r="AA37" s="1897">
        <f t="shared" si="3"/>
        <v>1</v>
      </c>
      <c r="AB37" s="1897">
        <f t="shared" si="4"/>
        <v>1</v>
      </c>
      <c r="AC37" s="1897">
        <f t="shared" si="5"/>
        <v>1</v>
      </c>
    </row>
    <row r="38" spans="1:29" s="35" customFormat="1" ht="15">
      <c r="A38" s="454"/>
      <c r="B38" s="402" t="s">
        <v>2483</v>
      </c>
      <c r="C38" s="441" t="s">
        <v>2862</v>
      </c>
      <c r="D38" s="52">
        <v>100</v>
      </c>
      <c r="E38" s="441" t="s">
        <v>2862</v>
      </c>
      <c r="F38" s="442">
        <f>SUMIF(113:113,E38,114:114)-SUMIF(113:113,C38,114:114)+100</f>
        <v>100</v>
      </c>
      <c r="G38" s="441" t="s">
        <v>2862</v>
      </c>
      <c r="H38" s="415">
        <f>SUMIF(113:113,G38,114:114)-SUMIF(113:113,C38,114:114)+100</f>
        <v>100</v>
      </c>
      <c r="I38" s="441" t="s">
        <v>2862</v>
      </c>
      <c r="J38" s="415">
        <f>SUMIF(113:113,I38,114:114)-SUMIF(113:113,C38,114:114)+100</f>
        <v>100</v>
      </c>
      <c r="K38" s="596">
        <v>1</v>
      </c>
      <c r="L38" s="1240"/>
      <c r="M38" s="1241"/>
      <c r="N38" s="1241"/>
      <c r="O38" s="1241"/>
      <c r="P38" s="3010"/>
      <c r="Q38" s="1881" t="str">
        <f t="shared" si="11"/>
        <v>写字楼等级</v>
      </c>
      <c r="R38" s="748" t="s">
        <v>25</v>
      </c>
      <c r="S38" s="749">
        <f t="shared" si="12"/>
        <v>100</v>
      </c>
      <c r="T38" s="748" t="s">
        <v>25</v>
      </c>
      <c r="U38" s="749">
        <f t="shared" si="13"/>
        <v>100</v>
      </c>
      <c r="V38" s="748" t="s">
        <v>25</v>
      </c>
      <c r="W38" s="749">
        <f t="shared" si="14"/>
        <v>100</v>
      </c>
      <c r="X38" s="750"/>
      <c r="Y38" s="3012"/>
      <c r="Z38" s="23" t="str">
        <f t="shared" si="15"/>
        <v>写字楼等级</v>
      </c>
      <c r="AA38" s="751">
        <f t="shared" si="3"/>
        <v>1</v>
      </c>
      <c r="AB38" s="751">
        <f t="shared" si="4"/>
        <v>1</v>
      </c>
      <c r="AC38" s="751">
        <f t="shared" si="5"/>
        <v>1</v>
      </c>
    </row>
    <row r="39" spans="1:29" ht="15">
      <c r="A39" s="453"/>
      <c r="B39" s="402" t="s">
        <v>2484</v>
      </c>
      <c r="C39" s="441" t="s">
        <v>2859</v>
      </c>
      <c r="D39" s="415">
        <v>100</v>
      </c>
      <c r="E39" s="441" t="s">
        <v>2859</v>
      </c>
      <c r="F39" s="442">
        <f>SUMIF(115:115,E39,116:116)-SUMIF(115:115,C39,116:116)+100</f>
        <v>100</v>
      </c>
      <c r="G39" s="441" t="s">
        <v>2859</v>
      </c>
      <c r="H39" s="415">
        <f>SUMIF(115:115,G39,116:116)-SUMIF(115:115,C39,116:116)+100</f>
        <v>100</v>
      </c>
      <c r="I39" s="441" t="s">
        <v>2859</v>
      </c>
      <c r="J39" s="415">
        <f>SUMIF(115:115,I39,116:116)-SUMIF(115:115,C39,116:116)+100</f>
        <v>100</v>
      </c>
      <c r="K39" s="596">
        <v>1</v>
      </c>
      <c r="L39" s="1248"/>
      <c r="M39" s="1239"/>
      <c r="N39" s="1239"/>
      <c r="O39" s="1239"/>
      <c r="P39" s="3010" t="s">
        <v>2368</v>
      </c>
      <c r="Q39" s="1893" t="str">
        <f t="shared" si="11"/>
        <v>物业管理</v>
      </c>
      <c r="R39" s="752" t="s">
        <v>25</v>
      </c>
      <c r="S39" s="753">
        <f t="shared" si="12"/>
        <v>100</v>
      </c>
      <c r="T39" s="752" t="s">
        <v>25</v>
      </c>
      <c r="U39" s="753">
        <f t="shared" si="13"/>
        <v>100</v>
      </c>
      <c r="V39" s="752" t="s">
        <v>25</v>
      </c>
      <c r="W39" s="753">
        <f t="shared" si="14"/>
        <v>100</v>
      </c>
      <c r="X39" s="1894"/>
      <c r="Y39" s="3012" t="s">
        <v>2368</v>
      </c>
      <c r="Z39" s="1896" t="str">
        <f t="shared" si="15"/>
        <v>物业管理</v>
      </c>
      <c r="AA39" s="1897">
        <f t="shared" si="3"/>
        <v>1</v>
      </c>
      <c r="AB39" s="1897">
        <f t="shared" si="4"/>
        <v>1</v>
      </c>
      <c r="AC39" s="1897">
        <f t="shared" si="5"/>
        <v>1</v>
      </c>
    </row>
    <row r="40" spans="1:29" ht="15">
      <c r="A40" s="453"/>
      <c r="B40" s="402" t="s">
        <v>2457</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v>1</v>
      </c>
      <c r="L40" s="1248"/>
      <c r="M40" s="1239"/>
      <c r="N40" s="1239"/>
      <c r="O40" s="1239"/>
      <c r="P40" s="3010"/>
      <c r="Q40" s="1893" t="str">
        <f t="shared" si="11"/>
        <v>市政基础设施</v>
      </c>
      <c r="R40" s="752" t="s">
        <v>25</v>
      </c>
      <c r="S40" s="753">
        <f t="shared" si="12"/>
        <v>100</v>
      </c>
      <c r="T40" s="752" t="s">
        <v>25</v>
      </c>
      <c r="U40" s="753">
        <f t="shared" si="13"/>
        <v>100</v>
      </c>
      <c r="V40" s="752" t="s">
        <v>25</v>
      </c>
      <c r="W40" s="753">
        <f t="shared" si="14"/>
        <v>100</v>
      </c>
      <c r="X40" s="1894"/>
      <c r="Y40" s="3012"/>
      <c r="Z40" s="1896" t="str">
        <f t="shared" si="15"/>
        <v>市政基础设施</v>
      </c>
      <c r="AA40" s="1897">
        <f t="shared" si="3"/>
        <v>1</v>
      </c>
      <c r="AB40" s="1897">
        <f t="shared" si="4"/>
        <v>1</v>
      </c>
      <c r="AC40" s="1897">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10"/>
      <c r="Q41" s="1893" t="str">
        <f t="shared" si="11"/>
        <v>层高</v>
      </c>
      <c r="R41" s="752" t="s">
        <v>25</v>
      </c>
      <c r="S41" s="753">
        <f t="shared" si="12"/>
        <v>100</v>
      </c>
      <c r="T41" s="752" t="s">
        <v>25</v>
      </c>
      <c r="U41" s="753">
        <f t="shared" si="13"/>
        <v>100</v>
      </c>
      <c r="V41" s="752" t="s">
        <v>25</v>
      </c>
      <c r="W41" s="753">
        <f t="shared" si="14"/>
        <v>100</v>
      </c>
      <c r="X41" s="1894"/>
      <c r="Y41" s="3012"/>
      <c r="Z41" s="1896" t="str">
        <f t="shared" si="15"/>
        <v>层高</v>
      </c>
      <c r="AA41" s="1897">
        <f t="shared" si="3"/>
        <v>1</v>
      </c>
      <c r="AB41" s="1897">
        <f t="shared" si="4"/>
        <v>1</v>
      </c>
      <c r="AC41" s="1897">
        <f t="shared" si="5"/>
        <v>1</v>
      </c>
    </row>
    <row r="42" spans="1:29" s="452" customFormat="1" ht="15">
      <c r="A42" s="449"/>
      <c r="B42" s="1898"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10"/>
      <c r="Q42" s="754" t="str">
        <f t="shared" si="11"/>
        <v>单套建筑面积</v>
      </c>
      <c r="R42" s="755" t="s">
        <v>25</v>
      </c>
      <c r="S42" s="756">
        <f t="shared" si="12"/>
        <v>100</v>
      </c>
      <c r="T42" s="755" t="s">
        <v>25</v>
      </c>
      <c r="U42" s="756">
        <f t="shared" si="13"/>
        <v>100</v>
      </c>
      <c r="V42" s="755" t="s">
        <v>25</v>
      </c>
      <c r="W42" s="756">
        <f t="shared" si="14"/>
        <v>100</v>
      </c>
      <c r="X42" s="757"/>
      <c r="Y42" s="3012"/>
      <c r="Z42" s="758" t="str">
        <f t="shared" si="15"/>
        <v>单套建筑面积</v>
      </c>
      <c r="AA42" s="1897">
        <f t="shared" si="3"/>
        <v>1</v>
      </c>
      <c r="AB42" s="1897">
        <f t="shared" si="4"/>
        <v>1</v>
      </c>
      <c r="AC42" s="1897">
        <f t="shared" si="5"/>
        <v>1</v>
      </c>
    </row>
    <row r="43" spans="1:29" ht="15">
      <c r="A43" s="453"/>
      <c r="B43" s="402" t="s">
        <v>2462</v>
      </c>
      <c r="C43" s="441" t="s">
        <v>2869</v>
      </c>
      <c r="D43" s="415">
        <v>100</v>
      </c>
      <c r="E43" s="441" t="s">
        <v>2869</v>
      </c>
      <c r="F43" s="442">
        <f>SUMIF(123:123,E43,124:124)-SUMIF(123:123,C43,124:124)+100</f>
        <v>100</v>
      </c>
      <c r="G43" s="441" t="s">
        <v>2869</v>
      </c>
      <c r="H43" s="415">
        <f>SUMIF(123:123,G43,124:124)-SUMIF(123:123,C43,124:124)+100</f>
        <v>100</v>
      </c>
      <c r="I43" s="441" t="s">
        <v>2869</v>
      </c>
      <c r="J43" s="415">
        <f>SUMIF(123:123,I43,124:124)-SUMIF(123:123,C43,124:124)+100</f>
        <v>100</v>
      </c>
      <c r="K43" s="596">
        <v>3</v>
      </c>
      <c r="L43" s="1248"/>
      <c r="M43" s="1239"/>
      <c r="N43" s="1239"/>
      <c r="O43" s="1239"/>
      <c r="P43" s="3010"/>
      <c r="Q43" s="1893" t="str">
        <f t="shared" si="11"/>
        <v>内部装修</v>
      </c>
      <c r="R43" s="752" t="s">
        <v>25</v>
      </c>
      <c r="S43" s="753">
        <f t="shared" si="12"/>
        <v>100</v>
      </c>
      <c r="T43" s="752" t="s">
        <v>25</v>
      </c>
      <c r="U43" s="753">
        <f t="shared" si="13"/>
        <v>100</v>
      </c>
      <c r="V43" s="752" t="s">
        <v>25</v>
      </c>
      <c r="W43" s="753">
        <f t="shared" si="14"/>
        <v>100</v>
      </c>
      <c r="X43" s="1894"/>
      <c r="Y43" s="3012"/>
      <c r="Z43" s="1896" t="str">
        <f t="shared" si="15"/>
        <v>内部装修</v>
      </c>
      <c r="AA43" s="1897">
        <f t="shared" si="3"/>
        <v>1</v>
      </c>
      <c r="AB43" s="1897">
        <f t="shared" si="4"/>
        <v>1</v>
      </c>
      <c r="AC43" s="1897">
        <f t="shared" si="5"/>
        <v>1</v>
      </c>
    </row>
    <row r="44" spans="1:29" ht="15">
      <c r="A44" s="453"/>
      <c r="B44" s="402" t="s">
        <v>2379</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10"/>
      <c r="Q44" s="1893" t="str">
        <f t="shared" si="11"/>
        <v>内部装修维护情况</v>
      </c>
      <c r="R44" s="752" t="s">
        <v>25</v>
      </c>
      <c r="S44" s="753">
        <f t="shared" si="12"/>
        <v>100</v>
      </c>
      <c r="T44" s="752" t="s">
        <v>25</v>
      </c>
      <c r="U44" s="753">
        <f t="shared" si="13"/>
        <v>100</v>
      </c>
      <c r="V44" s="752" t="s">
        <v>25</v>
      </c>
      <c r="W44" s="753">
        <f t="shared" si="14"/>
        <v>100</v>
      </c>
      <c r="X44" s="1894"/>
      <c r="Y44" s="3012"/>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10"/>
      <c r="Q45" s="1881">
        <f t="shared" si="11"/>
        <v>111</v>
      </c>
      <c r="R45" s="748" t="s">
        <v>25</v>
      </c>
      <c r="S45" s="749">
        <f t="shared" si="12"/>
        <v>100</v>
      </c>
      <c r="T45" s="748" t="s">
        <v>25</v>
      </c>
      <c r="U45" s="749">
        <f t="shared" si="13"/>
        <v>100</v>
      </c>
      <c r="V45" s="748" t="s">
        <v>25</v>
      </c>
      <c r="W45" s="749">
        <f t="shared" si="14"/>
        <v>100</v>
      </c>
      <c r="X45" s="750"/>
      <c r="Y45" s="3012"/>
      <c r="Z45" s="23">
        <f t="shared" si="15"/>
        <v>111</v>
      </c>
      <c r="AA45" s="751">
        <f t="shared" si="3"/>
        <v>1</v>
      </c>
      <c r="AB45" s="751">
        <f t="shared" si="4"/>
        <v>1</v>
      </c>
      <c r="AC45" s="751">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10"/>
      <c r="Q46" s="1893">
        <f t="shared" si="11"/>
        <v>111</v>
      </c>
      <c r="R46" s="752" t="s">
        <v>25</v>
      </c>
      <c r="S46" s="753">
        <f t="shared" si="12"/>
        <v>100</v>
      </c>
      <c r="T46" s="752" t="s">
        <v>25</v>
      </c>
      <c r="U46" s="753">
        <f t="shared" si="13"/>
        <v>100</v>
      </c>
      <c r="V46" s="752" t="s">
        <v>25</v>
      </c>
      <c r="W46" s="753">
        <f t="shared" si="14"/>
        <v>100</v>
      </c>
      <c r="X46" s="1894"/>
      <c r="Y46" s="3012"/>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11"/>
      <c r="Q47" s="1893">
        <f t="shared" si="11"/>
        <v>111</v>
      </c>
      <c r="R47" s="752" t="s">
        <v>25</v>
      </c>
      <c r="S47" s="753">
        <f t="shared" si="12"/>
        <v>100</v>
      </c>
      <c r="T47" s="752" t="s">
        <v>25</v>
      </c>
      <c r="U47" s="753">
        <f t="shared" si="13"/>
        <v>100</v>
      </c>
      <c r="V47" s="752" t="s">
        <v>25</v>
      </c>
      <c r="W47" s="753">
        <f t="shared" si="14"/>
        <v>100</v>
      </c>
      <c r="X47" s="1894"/>
      <c r="Y47" s="3013"/>
      <c r="Z47" s="1896">
        <f t="shared" si="15"/>
        <v>111</v>
      </c>
      <c r="AA47" s="1897">
        <f t="shared" si="3"/>
        <v>1</v>
      </c>
      <c r="AB47" s="1897">
        <f t="shared" si="4"/>
        <v>1</v>
      </c>
      <c r="AC47" s="1897">
        <f t="shared" si="5"/>
        <v>1</v>
      </c>
    </row>
    <row r="48" spans="1:29" ht="15">
      <c r="A48" s="460" t="s">
        <v>2380</v>
      </c>
      <c r="B48" s="461"/>
      <c r="C48" s="1497" t="s">
        <v>1</v>
      </c>
      <c r="D48" s="1498"/>
      <c r="E48" s="1499">
        <v>41000</v>
      </c>
      <c r="F48" s="1500"/>
      <c r="G48" s="1501">
        <v>40000</v>
      </c>
      <c r="H48" s="1502"/>
      <c r="I48" s="1499">
        <v>44000</v>
      </c>
      <c r="J48" s="1502"/>
      <c r="K48" s="761"/>
      <c r="L48" s="1251"/>
      <c r="M48" s="1239"/>
      <c r="N48" s="1239"/>
      <c r="O48" s="1239"/>
      <c r="P48" s="3004" t="str">
        <f>A48</f>
        <v>成交单价（元/平方米）</v>
      </c>
      <c r="Q48" s="3005"/>
      <c r="R48" s="3006">
        <f>E48</f>
        <v>41000</v>
      </c>
      <c r="S48" s="3006"/>
      <c r="T48" s="3006">
        <f>G48</f>
        <v>40000</v>
      </c>
      <c r="U48" s="3006"/>
      <c r="V48" s="3006">
        <f>I48</f>
        <v>44000</v>
      </c>
      <c r="W48" s="3006"/>
      <c r="X48" s="737"/>
      <c r="Y48" s="759"/>
      <c r="Z48" s="737"/>
      <c r="AA48" s="737"/>
      <c r="AB48" s="737"/>
      <c r="AC48" s="737"/>
    </row>
    <row r="49" spans="1:29" ht="15.75" thickBot="1">
      <c r="A49" s="467" t="s">
        <v>2463</v>
      </c>
      <c r="B49" s="468"/>
      <c r="C49" s="1503">
        <f>R50</f>
        <v>41667</v>
      </c>
      <c r="D49" s="1504"/>
      <c r="E49" s="1505">
        <f>R49</f>
        <v>41000</v>
      </c>
      <c r="F49" s="1505"/>
      <c r="G49" s="1503">
        <f>T49</f>
        <v>40000</v>
      </c>
      <c r="H49" s="1504"/>
      <c r="I49" s="1505">
        <f>V49</f>
        <v>44000</v>
      </c>
      <c r="J49" s="1504"/>
      <c r="K49" s="762"/>
      <c r="L49" s="1251"/>
      <c r="M49" s="1239"/>
      <c r="N49" s="1239"/>
      <c r="O49" s="1239"/>
      <c r="P49" s="3004" t="str">
        <f>A49</f>
        <v>比较价值（元/平方米）</v>
      </c>
      <c r="Q49" s="3005"/>
      <c r="R49" s="3006">
        <f>IF(E1="售价",ROUND(PRODUCT(R48,AA7:AA47),0),ROUND(PRODUCT(R48,AA7:AA47),1))</f>
        <v>41000</v>
      </c>
      <c r="S49" s="3006"/>
      <c r="T49" s="3006">
        <f>IF(E1="售价",ROUND(PRODUCT(T48,AB7:AB47),0),ROUND(PRODUCT(T48,AB7:AB47),1))</f>
        <v>40000</v>
      </c>
      <c r="U49" s="3006"/>
      <c r="V49" s="3006">
        <f>IF(E1="售价",ROUND(PRODUCT(V48,AC7:AC47),0),ROUND(PRODUCT(V48,AC7:AC47),1))</f>
        <v>44000</v>
      </c>
      <c r="W49" s="3006"/>
      <c r="X49" s="737"/>
      <c r="Y49" s="737"/>
      <c r="Z49" s="737"/>
      <c r="AA49" s="737"/>
      <c r="AB49" s="737"/>
      <c r="AC49" s="737"/>
    </row>
    <row r="50" spans="1:29" ht="15.75" thickBot="1">
      <c r="A50" s="473" t="s">
        <v>2486</v>
      </c>
      <c r="B50" s="474"/>
      <c r="C50" s="1507">
        <f>R50</f>
        <v>41667</v>
      </c>
      <c r="D50" s="1507"/>
      <c r="E50" s="1507"/>
      <c r="F50" s="1507"/>
      <c r="G50" s="1507"/>
      <c r="H50" s="1507"/>
      <c r="I50" s="1507"/>
      <c r="J50" s="1507"/>
      <c r="K50" s="763"/>
      <c r="L50" s="1251"/>
      <c r="M50" s="1239"/>
      <c r="N50" s="1239"/>
      <c r="O50" s="1239"/>
      <c r="P50" s="3007" t="str">
        <f>A50</f>
        <v>估价对象XX用房的比较价值（楼面单价，元/平方米）</v>
      </c>
      <c r="Q50" s="3004"/>
      <c r="R50" s="3008">
        <f>IF(E1="售价",ROUND(AVERAGE(R49:V49),0),ROUND(AVERAGE(R49:V49),1))</f>
        <v>41667</v>
      </c>
      <c r="S50" s="3008"/>
      <c r="T50" s="3008"/>
      <c r="U50" s="3008"/>
      <c r="V50" s="3008"/>
      <c r="W50" s="300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2466</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2467</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2468</v>
      </c>
      <c r="B58" s="737"/>
      <c r="C58" s="742"/>
      <c r="D58" s="742"/>
      <c r="E58" s="742"/>
      <c r="F58" s="743"/>
      <c r="G58" s="743"/>
      <c r="H58" s="742"/>
      <c r="I58" s="742"/>
      <c r="J58" s="742"/>
      <c r="K58" s="744"/>
      <c r="L58" s="745"/>
      <c r="M58" s="742"/>
      <c r="N58" s="742"/>
      <c r="O58" s="742"/>
      <c r="P58" s="484"/>
      <c r="Q58" s="485"/>
    </row>
    <row r="59" spans="1:29" s="489" customFormat="1" ht="15">
      <c r="A59" s="486" t="s">
        <v>2350</v>
      </c>
      <c r="B59" s="487"/>
      <c r="C59" s="1673" t="str">
        <f>YEAR(C7)&amp;"-"&amp;MONTH(C7)</f>
        <v>2019-7</v>
      </c>
      <c r="D59" s="1674">
        <f>EDATE(C59,-1)</f>
        <v>43617</v>
      </c>
      <c r="E59" s="1674">
        <f t="shared" ref="E59:O59" si="16">EDATE(D59,-1)</f>
        <v>43586</v>
      </c>
      <c r="F59" s="1674">
        <f t="shared" si="16"/>
        <v>43556</v>
      </c>
      <c r="G59" s="1674">
        <f t="shared" si="16"/>
        <v>43525</v>
      </c>
      <c r="H59" s="1674">
        <f t="shared" si="16"/>
        <v>43497</v>
      </c>
      <c r="I59" s="1674">
        <f t="shared" si="16"/>
        <v>43466</v>
      </c>
      <c r="J59" s="1674">
        <f t="shared" si="16"/>
        <v>43435</v>
      </c>
      <c r="K59" s="1674">
        <f t="shared" si="16"/>
        <v>43405</v>
      </c>
      <c r="L59" s="1674">
        <f t="shared" si="16"/>
        <v>43374</v>
      </c>
      <c r="M59" s="1674">
        <f t="shared" si="16"/>
        <v>43344</v>
      </c>
      <c r="N59" s="1674">
        <f t="shared" si="16"/>
        <v>43313</v>
      </c>
      <c r="O59" s="1674">
        <f t="shared" si="16"/>
        <v>43282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2360</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2489</v>
      </c>
      <c r="C87" s="2747" t="s">
        <v>2841</v>
      </c>
      <c r="D87" s="2747" t="s">
        <v>2842</v>
      </c>
      <c r="E87" s="2747" t="s">
        <v>2843</v>
      </c>
      <c r="F87" s="2747" t="s">
        <v>2844</v>
      </c>
      <c r="G87" s="2747" t="s">
        <v>2845</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7" t="s">
        <v>2846</v>
      </c>
      <c r="D89" s="2747" t="s">
        <v>2847</v>
      </c>
      <c r="E89" s="2747" t="s">
        <v>2848</v>
      </c>
      <c r="F89" s="2427"/>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1">D90-$K27</f>
        <v>98</v>
      </c>
      <c r="F90" s="527">
        <f t="shared" si="21"/>
        <v>97</v>
      </c>
      <c r="G90" s="527">
        <f t="shared" si="21"/>
        <v>96</v>
      </c>
      <c r="H90" s="527">
        <f t="shared" si="21"/>
        <v>95</v>
      </c>
      <c r="I90" s="527">
        <f t="shared" si="21"/>
        <v>94</v>
      </c>
      <c r="J90" s="527">
        <f t="shared" si="21"/>
        <v>93</v>
      </c>
      <c r="K90" s="527">
        <f t="shared" si="21"/>
        <v>92</v>
      </c>
      <c r="L90" s="527">
        <f t="shared" si="21"/>
        <v>91</v>
      </c>
      <c r="M90" s="527">
        <f t="shared" si="21"/>
        <v>90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2746" t="s">
        <v>2831</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2416</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2417</v>
      </c>
      <c r="C106" s="2747" t="s">
        <v>2849</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2419</v>
      </c>
      <c r="C108" s="2747" t="s">
        <v>2850</v>
      </c>
      <c r="D108" s="2747" t="s">
        <v>2851</v>
      </c>
      <c r="E108" s="2747" t="s">
        <v>2852</v>
      </c>
      <c r="F108" s="2748" t="s">
        <v>2853</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2490</v>
      </c>
      <c r="C113" s="2747" t="s">
        <v>2863</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2421</v>
      </c>
      <c r="C115" s="2747" t="s">
        <v>2860</v>
      </c>
      <c r="D115" s="2747" t="s">
        <v>2861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2422</v>
      </c>
      <c r="C117" s="537" t="s">
        <v>2854</v>
      </c>
      <c r="D117" s="537" t="s">
        <v>2855</v>
      </c>
      <c r="E117" s="537" t="s">
        <v>2856</v>
      </c>
      <c r="F117" s="537" t="s">
        <v>2857</v>
      </c>
      <c r="G117" s="537" t="s">
        <v>2858</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2747" t="s">
        <v>2850</v>
      </c>
      <c r="D123" s="2747" t="s">
        <v>2851</v>
      </c>
      <c r="E123" s="2747" t="s">
        <v>2852</v>
      </c>
      <c r="F123" s="2748" t="s">
        <v>2853</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B37"/>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4219</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41182</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52" t="s">
        <v>2305</v>
      </c>
      <c r="D4" s="3053"/>
      <c r="E4" s="3053"/>
      <c r="F4" s="3053"/>
      <c r="G4" s="3053"/>
      <c r="H4" s="3053"/>
      <c r="I4" s="3053"/>
      <c r="J4" s="3053"/>
      <c r="K4" s="3053"/>
      <c r="L4" s="3053"/>
      <c r="M4" s="3053"/>
      <c r="N4" s="3053"/>
      <c r="O4" s="3053"/>
      <c r="P4" s="3053"/>
      <c r="Q4" s="3053"/>
      <c r="R4" s="3053"/>
      <c r="S4" s="3054"/>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13.5" thickTop="1">
      <c r="A8" s="1320"/>
      <c r="B8" s="1171" t="s">
        <v>2308</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2309</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2310</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2311</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2312</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2313</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2314</v>
      </c>
      <c r="B20" s="2366" t="s">
        <v>2315</v>
      </c>
      <c r="C20" s="1321" t="s">
        <v>2870</v>
      </c>
      <c r="D20" s="1322" t="s">
        <v>2865</v>
      </c>
      <c r="E20" s="1322" t="s">
        <v>2871</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99</v>
      </c>
      <c r="E21" s="1334">
        <v>98</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2316</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2317</v>
      </c>
      <c r="B23" s="308">
        <f ca="1">IF(F23="——",IF(C23="万元",T25,S25),IF(C23="万元",T25-H23,S25-H23))</f>
        <v>4219</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2318</v>
      </c>
      <c r="B24" s="308">
        <f ca="1">R25</f>
        <v>41182</v>
      </c>
      <c r="C24" s="1139"/>
      <c r="D24" s="84"/>
      <c r="E24" s="84"/>
      <c r="F24" s="84"/>
      <c r="G24" s="84"/>
      <c r="H24" s="84"/>
      <c r="I24" s="84"/>
      <c r="J24" s="84"/>
      <c r="K24" s="84"/>
      <c r="L24" s="84"/>
      <c r="M24" s="84"/>
      <c r="N24" s="84"/>
      <c r="O24" s="84"/>
      <c r="P24" s="84"/>
      <c r="Q24" s="84"/>
      <c r="R24" s="768"/>
      <c r="S24" s="14" t="s">
        <v>2319</v>
      </c>
      <c r="T24" s="1891" t="s">
        <v>2320</v>
      </c>
      <c r="U24" s="2371" t="s">
        <v>2321</v>
      </c>
      <c r="V24" s="1337"/>
      <c r="W24" s="2372" t="s">
        <v>2322</v>
      </c>
      <c r="X24" s="2371" t="s">
        <v>2323</v>
      </c>
      <c r="Y24" s="1337"/>
      <c r="Z24" s="2373" t="s">
        <v>2322</v>
      </c>
    </row>
    <row r="25" spans="1:45">
      <c r="A25" s="334" t="s">
        <v>2324</v>
      </c>
      <c r="B25" s="14">
        <f>SUM(B27:B10000)</f>
        <v>1024.48</v>
      </c>
      <c r="C25" s="3049" t="s">
        <v>45</v>
      </c>
      <c r="D25" s="3050"/>
      <c r="E25" s="3050"/>
      <c r="F25" s="3050"/>
      <c r="G25" s="3050"/>
      <c r="H25" s="3050"/>
      <c r="I25" s="3050"/>
      <c r="J25" s="3050"/>
      <c r="K25" s="3050"/>
      <c r="L25" s="3050"/>
      <c r="M25" s="3050"/>
      <c r="N25" s="3050"/>
      <c r="O25" s="3050"/>
      <c r="P25" s="3050"/>
      <c r="Q25" s="3051"/>
      <c r="R25" s="702">
        <f ca="1">IF(C23="万元",ROUND(T25*10000/B25,0),ROUND(S25/B25,0))</f>
        <v>41182</v>
      </c>
      <c r="S25" s="14">
        <f ca="1">SUM(S27:S10000)</f>
        <v>42194494</v>
      </c>
      <c r="T25" s="14">
        <f ca="1">SUM(T27:T10000)</f>
        <v>4219</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7" t="s">
        <v>2330</v>
      </c>
      <c r="V26" s="2375" t="s">
        <v>2331</v>
      </c>
      <c r="W26" s="2376" t="s">
        <v>2332</v>
      </c>
      <c r="X26" s="1877" t="s">
        <v>2330</v>
      </c>
      <c r="Y26" s="2375" t="s">
        <v>2331</v>
      </c>
      <c r="Z26" s="2376" t="s">
        <v>2332</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2887</v>
      </c>
      <c r="B27" s="705">
        <f>'数据-取费表'!E5</f>
        <v>107.22</v>
      </c>
      <c r="C27" s="705">
        <v>1</v>
      </c>
      <c r="D27" s="706"/>
      <c r="E27" s="705">
        <v>1</v>
      </c>
      <c r="F27" s="706"/>
      <c r="G27" s="705">
        <v>1</v>
      </c>
      <c r="H27" s="706"/>
      <c r="I27" s="705">
        <v>1</v>
      </c>
      <c r="J27" s="706"/>
      <c r="K27" s="705">
        <v>1</v>
      </c>
      <c r="L27" s="706"/>
      <c r="M27" s="705">
        <v>1</v>
      </c>
      <c r="N27" s="706"/>
      <c r="O27" s="705">
        <v>1</v>
      </c>
      <c r="P27" s="706"/>
      <c r="Q27" s="705">
        <v>1</v>
      </c>
      <c r="R27" s="1187">
        <f ca="1">结果表!G20</f>
        <v>41499</v>
      </c>
      <c r="S27" s="705">
        <f ca="1">ROUND(R27*B27,0)</f>
        <v>4449523</v>
      </c>
      <c r="T27" s="705">
        <f ca="1">ROUND(R27*B27/10000,0)</f>
        <v>445</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t="s">
        <v>2888</v>
      </c>
      <c r="B28" s="24">
        <v>89.85</v>
      </c>
      <c r="C28" s="14">
        <f t="shared" ref="C28:C91" si="14">IF(B28="",1,(LOOKUP(B28,$6:$6,$7:$7)-LOOKUP($B$27,$6:$6,$7:$7)+100)/100)</f>
        <v>0.99</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41084</v>
      </c>
      <c r="S28" s="334">
        <f ca="1">ROUND(R28*B28,0)</f>
        <v>3691397</v>
      </c>
      <c r="T28" s="1177">
        <f ca="1">ROUND(R28*B28/10000,0)</f>
        <v>369</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t="s">
        <v>2889</v>
      </c>
      <c r="B29" s="24">
        <v>83.75</v>
      </c>
      <c r="C29" s="14">
        <f t="shared" si="14"/>
        <v>0.99</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ca="1" si="26">IF(B29="",0,ROUND($R$27*C29*E29*G29*I29*K29*M29*O29*Q29,0))</f>
        <v>41084</v>
      </c>
      <c r="S29" s="334">
        <f t="shared" ref="S29:S92" ca="1" si="27">ROUND(R29*B29,0)</f>
        <v>3440785</v>
      </c>
      <c r="T29" s="1177">
        <f t="shared" ref="T29:T92" ca="1" si="28">ROUND(R29*B29/10000,0)</f>
        <v>344</v>
      </c>
      <c r="U29" s="1309">
        <f t="shared" si="22"/>
        <v>0</v>
      </c>
      <c r="V29" s="1309">
        <f t="shared" si="23"/>
        <v>0</v>
      </c>
      <c r="W29" s="1306"/>
      <c r="X29" s="1309">
        <f t="shared" si="24"/>
        <v>0</v>
      </c>
      <c r="Y29" s="1309">
        <f t="shared" si="25"/>
        <v>0</v>
      </c>
      <c r="Z29" s="1306"/>
    </row>
    <row r="30" spans="1:45">
      <c r="A30" s="75" t="s">
        <v>2890</v>
      </c>
      <c r="B30" s="24">
        <v>89.85</v>
      </c>
      <c r="C30" s="14">
        <f t="shared" si="14"/>
        <v>0.99</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ca="1" si="26"/>
        <v>41084</v>
      </c>
      <c r="S30" s="334">
        <f t="shared" ca="1" si="27"/>
        <v>3691397</v>
      </c>
      <c r="T30" s="1177">
        <f t="shared" ca="1" si="28"/>
        <v>369</v>
      </c>
      <c r="U30" s="1309">
        <f t="shared" si="22"/>
        <v>0</v>
      </c>
      <c r="V30" s="1309">
        <f t="shared" si="23"/>
        <v>0</v>
      </c>
      <c r="W30" s="1306"/>
      <c r="X30" s="1309">
        <f t="shared" si="24"/>
        <v>0</v>
      </c>
      <c r="Y30" s="1309">
        <f t="shared" si="25"/>
        <v>0</v>
      </c>
      <c r="Z30" s="1306"/>
    </row>
    <row r="31" spans="1:45">
      <c r="A31" s="75" t="s">
        <v>2891</v>
      </c>
      <c r="B31" s="24">
        <v>83.75</v>
      </c>
      <c r="C31" s="14">
        <f t="shared" si="14"/>
        <v>0.99</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ca="1" si="26"/>
        <v>41084</v>
      </c>
      <c r="S31" s="334">
        <f t="shared" ca="1" si="27"/>
        <v>3440785</v>
      </c>
      <c r="T31" s="1177">
        <f t="shared" ca="1" si="28"/>
        <v>344</v>
      </c>
      <c r="U31" s="1309">
        <f t="shared" si="22"/>
        <v>0</v>
      </c>
      <c r="V31" s="1309">
        <f t="shared" si="23"/>
        <v>0</v>
      </c>
      <c r="W31" s="1306"/>
      <c r="X31" s="1309">
        <f t="shared" si="24"/>
        <v>0</v>
      </c>
      <c r="Y31" s="1309">
        <f t="shared" si="25"/>
        <v>0</v>
      </c>
      <c r="Z31" s="1306"/>
    </row>
    <row r="32" spans="1:45">
      <c r="A32" s="75" t="s">
        <v>2892</v>
      </c>
      <c r="B32" s="24">
        <v>83.75</v>
      </c>
      <c r="C32" s="14">
        <f t="shared" si="14"/>
        <v>0.99</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ca="1" si="26"/>
        <v>41084</v>
      </c>
      <c r="S32" s="334">
        <f t="shared" ca="1" si="27"/>
        <v>3440785</v>
      </c>
      <c r="T32" s="1177">
        <f t="shared" ca="1" si="28"/>
        <v>344</v>
      </c>
      <c r="U32" s="1309">
        <f t="shared" si="22"/>
        <v>0</v>
      </c>
      <c r="V32" s="1309">
        <f t="shared" si="23"/>
        <v>0</v>
      </c>
      <c r="W32" s="1306"/>
      <c r="X32" s="1309">
        <f t="shared" si="24"/>
        <v>0</v>
      </c>
      <c r="Y32" s="1309">
        <f t="shared" si="25"/>
        <v>0</v>
      </c>
      <c r="Z32" s="1306"/>
    </row>
    <row r="33" spans="1:26">
      <c r="A33" s="75" t="s">
        <v>2893</v>
      </c>
      <c r="B33" s="24">
        <v>89.85</v>
      </c>
      <c r="C33" s="14">
        <f t="shared" si="14"/>
        <v>0.99</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ca="1" si="26"/>
        <v>41084</v>
      </c>
      <c r="S33" s="334">
        <f t="shared" ca="1" si="27"/>
        <v>3691397</v>
      </c>
      <c r="T33" s="1177">
        <f t="shared" ca="1" si="28"/>
        <v>369</v>
      </c>
      <c r="U33" s="1309">
        <f t="shared" si="22"/>
        <v>0</v>
      </c>
      <c r="V33" s="1309">
        <f t="shared" si="23"/>
        <v>0</v>
      </c>
      <c r="W33" s="1306"/>
      <c r="X33" s="1309">
        <f t="shared" si="24"/>
        <v>0</v>
      </c>
      <c r="Y33" s="1309">
        <f t="shared" si="25"/>
        <v>0</v>
      </c>
      <c r="Z33" s="1306"/>
    </row>
    <row r="34" spans="1:26">
      <c r="A34" s="75" t="s">
        <v>2894</v>
      </c>
      <c r="B34" s="24">
        <v>83.75</v>
      </c>
      <c r="C34" s="14">
        <f t="shared" si="14"/>
        <v>0.99</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ca="1" si="26"/>
        <v>41084</v>
      </c>
      <c r="S34" s="334">
        <f t="shared" ca="1" si="27"/>
        <v>3440785</v>
      </c>
      <c r="T34" s="1177">
        <f t="shared" ca="1" si="28"/>
        <v>344</v>
      </c>
      <c r="U34" s="1309">
        <f t="shared" si="22"/>
        <v>0</v>
      </c>
      <c r="V34" s="1309">
        <f t="shared" si="23"/>
        <v>0</v>
      </c>
      <c r="W34" s="1306"/>
      <c r="X34" s="1309">
        <f t="shared" si="24"/>
        <v>0</v>
      </c>
      <c r="Y34" s="1309">
        <f t="shared" si="25"/>
        <v>0</v>
      </c>
      <c r="Z34" s="1306"/>
    </row>
    <row r="35" spans="1:26">
      <c r="A35" s="75" t="s">
        <v>2895</v>
      </c>
      <c r="B35" s="24">
        <v>145.21</v>
      </c>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ca="1" si="26"/>
        <v>41499</v>
      </c>
      <c r="S35" s="334">
        <f t="shared" ca="1" si="27"/>
        <v>6026070</v>
      </c>
      <c r="T35" s="1177">
        <f t="shared" ca="1" si="28"/>
        <v>603</v>
      </c>
      <c r="U35" s="1309">
        <f t="shared" si="22"/>
        <v>0</v>
      </c>
      <c r="V35" s="1309">
        <f t="shared" si="23"/>
        <v>0</v>
      </c>
      <c r="W35" s="1306"/>
      <c r="X35" s="1309">
        <f t="shared" si="24"/>
        <v>0</v>
      </c>
      <c r="Y35" s="1309">
        <f t="shared" si="25"/>
        <v>0</v>
      </c>
      <c r="Z35" s="1306"/>
    </row>
    <row r="36" spans="1:26">
      <c r="A36" s="75" t="s">
        <v>2896</v>
      </c>
      <c r="B36" s="24">
        <v>83.75</v>
      </c>
      <c r="C36" s="14">
        <f t="shared" si="14"/>
        <v>0.99</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ca="1" si="26"/>
        <v>41084</v>
      </c>
      <c r="S36" s="334">
        <f t="shared" ca="1" si="27"/>
        <v>3440785</v>
      </c>
      <c r="T36" s="1177">
        <f t="shared" ca="1" si="28"/>
        <v>344</v>
      </c>
      <c r="U36" s="1309">
        <f t="shared" si="22"/>
        <v>0</v>
      </c>
      <c r="V36" s="1309">
        <f t="shared" si="23"/>
        <v>0</v>
      </c>
      <c r="W36" s="1306"/>
      <c r="X36" s="1309">
        <f t="shared" si="24"/>
        <v>0</v>
      </c>
      <c r="Y36" s="1309">
        <f t="shared" si="25"/>
        <v>0</v>
      </c>
      <c r="Z36" s="1306"/>
    </row>
    <row r="37" spans="1:26">
      <c r="A37" s="75" t="s">
        <v>2897</v>
      </c>
      <c r="B37" s="24">
        <v>83.75</v>
      </c>
      <c r="C37" s="14">
        <f t="shared" si="14"/>
        <v>0.99</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ca="1" si="26"/>
        <v>41084</v>
      </c>
      <c r="S37" s="334">
        <f t="shared" ca="1" si="27"/>
        <v>3440785</v>
      </c>
      <c r="T37" s="1177">
        <f t="shared" ca="1" si="28"/>
        <v>344</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7"/>
      <c r="E1" s="2378"/>
      <c r="F1" s="1735" t="s">
        <v>2335</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80"/>
      <c r="E2" s="1838" t="e">
        <f ca="1">SUMIF(INDIRECT("'"&amp;G2&amp;"'"&amp;"!A:A"),"承租人权益价值",INDIRECT("'"&amp;G2&amp;"'"&amp;"!c:c"))</f>
        <v>#REF!</v>
      </c>
      <c r="F2" s="2381" t="str">
        <f>C2</f>
        <v>万元</v>
      </c>
      <c r="G2" s="2382"/>
      <c r="H2" s="975"/>
      <c r="I2" s="975"/>
      <c r="J2" s="975"/>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t="e">
        <f ca="1">ROUND(IF(D2="——",C49,IF(C2="万元",B2*10000/D3,B2/D3)),0)</f>
        <v>#DIV/0!</v>
      </c>
      <c r="C3" s="379" t="s">
        <v>2336</v>
      </c>
      <c r="D3" s="378">
        <f>IF(C1="仅计算典型户型",'数据-取费表'!E5,'数据-取费表'!B5)</f>
        <v>1024.48</v>
      </c>
      <c r="E3" s="975"/>
      <c r="F3" s="2389"/>
      <c r="G3" s="975"/>
      <c r="H3" s="975"/>
      <c r="I3" s="975"/>
      <c r="J3" s="975"/>
      <c r="K3" s="2383"/>
      <c r="L3" s="2384"/>
      <c r="M3" s="2385"/>
      <c r="N3" s="2385"/>
      <c r="O3" s="2385"/>
      <c r="P3" s="2390"/>
      <c r="Q3" s="2387"/>
      <c r="R3" s="2387"/>
      <c r="S3" s="2387"/>
      <c r="T3" s="2387"/>
      <c r="U3" s="2387"/>
      <c r="V3" s="2387"/>
      <c r="W3" s="2387"/>
      <c r="X3" s="2387"/>
      <c r="Y3" s="2387"/>
      <c r="Z3" s="2387"/>
      <c r="AA3" s="2387"/>
      <c r="AB3" s="2387"/>
      <c r="AC3" s="1353"/>
    </row>
    <row r="4" spans="1:29" ht="15">
      <c r="A4" s="380" t="s">
        <v>2337</v>
      </c>
      <c r="B4" s="381"/>
      <c r="C4" s="3030" t="s">
        <v>2338</v>
      </c>
      <c r="D4" s="3031"/>
      <c r="E4" s="3032" t="s">
        <v>2339</v>
      </c>
      <c r="F4" s="3033"/>
      <c r="G4" s="3030" t="s">
        <v>2340</v>
      </c>
      <c r="H4" s="3031"/>
      <c r="I4" s="3030" t="s">
        <v>2341</v>
      </c>
      <c r="J4" s="3031"/>
      <c r="K4" s="2391"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27" t="s">
        <v>2340</v>
      </c>
      <c r="AC4" s="3027" t="s">
        <v>2341</v>
      </c>
    </row>
    <row r="5" spans="1:29" ht="15">
      <c r="A5" s="383"/>
      <c r="B5" s="384"/>
      <c r="C5" s="3041" t="s">
        <v>2344</v>
      </c>
      <c r="D5" s="3042"/>
      <c r="E5" s="3067" t="s">
        <v>2345</v>
      </c>
      <c r="F5" s="3040"/>
      <c r="G5" s="3041" t="s">
        <v>2346</v>
      </c>
      <c r="H5" s="3042"/>
      <c r="I5" s="3041" t="s">
        <v>2347</v>
      </c>
      <c r="J5" s="3042"/>
      <c r="K5" s="2392"/>
      <c r="L5" s="1238"/>
      <c r="M5" s="1239"/>
      <c r="N5" s="1239"/>
      <c r="O5" s="1239"/>
      <c r="P5" s="3065"/>
      <c r="Q5" s="3024"/>
      <c r="R5" s="3018"/>
      <c r="S5" s="3019"/>
      <c r="T5" s="3018"/>
      <c r="U5" s="3019"/>
      <c r="V5" s="3038"/>
      <c r="W5" s="3038"/>
      <c r="X5" s="1894"/>
      <c r="Y5" s="3018"/>
      <c r="Z5" s="3019"/>
      <c r="AA5" s="3028"/>
      <c r="AB5" s="3028"/>
      <c r="AC5" s="3028"/>
    </row>
    <row r="6" spans="1:29" ht="15.75" thickBot="1">
      <c r="A6" s="385"/>
      <c r="B6" s="386"/>
      <c r="C6" s="3043" t="s">
        <v>2348</v>
      </c>
      <c r="D6" s="3044"/>
      <c r="E6" s="3047" t="s">
        <v>2348</v>
      </c>
      <c r="F6" s="3048"/>
      <c r="G6" s="3043" t="s">
        <v>2348</v>
      </c>
      <c r="H6" s="3044"/>
      <c r="I6" s="3043" t="s">
        <v>2348</v>
      </c>
      <c r="J6" s="3044"/>
      <c r="K6" s="2392" t="s">
        <v>2349</v>
      </c>
      <c r="L6" s="1238"/>
      <c r="M6" s="1239"/>
      <c r="N6" s="1239"/>
      <c r="O6" s="1239"/>
      <c r="P6" s="306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391"/>
      <c r="F7" s="392">
        <f>SUMIF(58:58,YEAR(E7)&amp;"-"&amp;MONTH(E7),59:59)</f>
        <v>0</v>
      </c>
      <c r="G7" s="391"/>
      <c r="H7" s="390">
        <f>SUMIF(58:58,YEAR(G7)&amp;"-"&amp;MONTH(G7),59:59)</f>
        <v>0</v>
      </c>
      <c r="I7" s="391"/>
      <c r="J7" s="390">
        <f>SUMIF(58:58,YEAR(I7)&amp;"-"&amp;MONTH(I7),59:59)</f>
        <v>0</v>
      </c>
      <c r="K7" s="2393"/>
      <c r="L7" s="1240"/>
      <c r="M7" s="1241"/>
      <c r="N7" s="1241"/>
      <c r="O7" s="1241"/>
      <c r="P7" s="3014" t="s">
        <v>2351</v>
      </c>
      <c r="Q7" s="3022"/>
      <c r="R7" s="748" t="s">
        <v>34</v>
      </c>
      <c r="S7" s="749">
        <f t="shared" ref="S7:S15" si="0">F7</f>
        <v>0</v>
      </c>
      <c r="T7" s="748" t="s">
        <v>34</v>
      </c>
      <c r="U7" s="749">
        <f t="shared" ref="U7:U15" si="1">H7</f>
        <v>0</v>
      </c>
      <c r="V7" s="748" t="s">
        <v>34</v>
      </c>
      <c r="W7" s="749">
        <f t="shared" ref="W7:W15" si="2">J7</f>
        <v>0</v>
      </c>
      <c r="X7" s="750"/>
      <c r="Y7" s="3014" t="s">
        <v>2351</v>
      </c>
      <c r="Z7" s="3015"/>
      <c r="AA7" s="751" t="e">
        <f>D7/F7</f>
        <v>#DIV/0!</v>
      </c>
      <c r="AB7" s="751" t="e">
        <f>D7/H7</f>
        <v>#DIV/0!</v>
      </c>
      <c r="AC7" s="751" t="e">
        <f>D7/J7</f>
        <v>#DIV/0!</v>
      </c>
    </row>
    <row r="8" spans="1:29" s="35" customFormat="1" ht="15.75" thickBot="1">
      <c r="A8" s="387" t="s">
        <v>2352</v>
      </c>
      <c r="B8" s="388"/>
      <c r="C8" s="394" t="s">
        <v>2353</v>
      </c>
      <c r="D8" s="390">
        <v>100</v>
      </c>
      <c r="E8" s="2394"/>
      <c r="F8" s="392">
        <f>SUMIF(61:61,E8,62:62)-SUMIF(61:61,C8,62:62)+100</f>
        <v>0</v>
      </c>
      <c r="G8" s="394"/>
      <c r="H8" s="390">
        <f>SUMIF(61:61,G8,62:62)-SUMIF(61:61,C8,62:62)+100</f>
        <v>0</v>
      </c>
      <c r="I8" s="2394"/>
      <c r="J8" s="390">
        <f>SUMIF(61:61,I8,62:62)-SUMIF(61:61,C8,62:62)+100</f>
        <v>0</v>
      </c>
      <c r="K8" s="2393"/>
      <c r="L8" s="1240"/>
      <c r="M8" s="1241"/>
      <c r="N8" s="1241"/>
      <c r="O8" s="1241"/>
      <c r="P8" s="3014" t="s">
        <v>2354</v>
      </c>
      <c r="Q8" s="3015"/>
      <c r="R8" s="748" t="s">
        <v>34</v>
      </c>
      <c r="S8" s="749">
        <f t="shared" si="0"/>
        <v>0</v>
      </c>
      <c r="T8" s="748" t="s">
        <v>34</v>
      </c>
      <c r="U8" s="749">
        <f t="shared" si="1"/>
        <v>0</v>
      </c>
      <c r="V8" s="748" t="s">
        <v>34</v>
      </c>
      <c r="W8" s="749">
        <f t="shared" si="2"/>
        <v>0</v>
      </c>
      <c r="X8" s="750"/>
      <c r="Y8" s="3014" t="s">
        <v>2354</v>
      </c>
      <c r="Z8" s="3015"/>
      <c r="AA8" s="751" t="e">
        <f t="shared" ref="AA8:AA46" si="3">D8/F8</f>
        <v>#DIV/0!</v>
      </c>
      <c r="AB8" s="751" t="e">
        <f t="shared" ref="AB8:AB46" si="4">D8/H8</f>
        <v>#DIV/0!</v>
      </c>
      <c r="AC8" s="751"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3"/>
      <c r="L9" s="1240"/>
      <c r="M9" s="1241"/>
      <c r="N9" s="1241"/>
      <c r="O9" s="1241"/>
      <c r="P9" s="3063"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3"/>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3"/>
      <c r="Q11" s="1881" t="str">
        <f t="shared" si="6"/>
        <v>容积率</v>
      </c>
      <c r="R11" s="748" t="s">
        <v>28</v>
      </c>
      <c r="S11" s="749" t="e">
        <f t="shared" si="0"/>
        <v>#N/A</v>
      </c>
      <c r="T11" s="748" t="s">
        <v>28</v>
      </c>
      <c r="U11" s="749" t="e">
        <f t="shared" si="1"/>
        <v>#N/A</v>
      </c>
      <c r="V11" s="748" t="s">
        <v>28</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063"/>
      <c r="Q12" s="1881">
        <f t="shared" si="6"/>
        <v>111</v>
      </c>
      <c r="R12" s="748" t="s">
        <v>28</v>
      </c>
      <c r="S12" s="749">
        <f t="shared" si="0"/>
        <v>100</v>
      </c>
      <c r="T12" s="748" t="s">
        <v>28</v>
      </c>
      <c r="U12" s="749">
        <f t="shared" si="1"/>
        <v>100</v>
      </c>
      <c r="V12" s="748" t="s">
        <v>28</v>
      </c>
      <c r="W12" s="749">
        <f t="shared" si="2"/>
        <v>100</v>
      </c>
      <c r="X12" s="750"/>
      <c r="Y12" s="2842"/>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063"/>
      <c r="Q13" s="1881">
        <f t="shared" si="6"/>
        <v>111</v>
      </c>
      <c r="R13" s="748" t="s">
        <v>28</v>
      </c>
      <c r="S13" s="749">
        <f t="shared" si="0"/>
        <v>100</v>
      </c>
      <c r="T13" s="748" t="s">
        <v>28</v>
      </c>
      <c r="U13" s="749">
        <f t="shared" si="1"/>
        <v>100</v>
      </c>
      <c r="V13" s="748" t="s">
        <v>28</v>
      </c>
      <c r="W13" s="749">
        <f t="shared" si="2"/>
        <v>100</v>
      </c>
      <c r="X13" s="750"/>
      <c r="Y13" s="2842"/>
      <c r="Z13" s="23">
        <f t="shared" si="7"/>
        <v>111</v>
      </c>
      <c r="AA13" s="751">
        <f t="shared" si="3"/>
        <v>1</v>
      </c>
      <c r="AB13" s="751">
        <f t="shared" si="4"/>
        <v>1</v>
      </c>
      <c r="AC13" s="751">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063"/>
      <c r="Q14" s="1881">
        <f t="shared" si="6"/>
        <v>111</v>
      </c>
      <c r="R14" s="748" t="s">
        <v>28</v>
      </c>
      <c r="S14" s="749">
        <f t="shared" si="0"/>
        <v>100</v>
      </c>
      <c r="T14" s="748" t="s">
        <v>28</v>
      </c>
      <c r="U14" s="749">
        <f t="shared" si="1"/>
        <v>100</v>
      </c>
      <c r="V14" s="748" t="s">
        <v>28</v>
      </c>
      <c r="W14" s="749">
        <f t="shared" si="2"/>
        <v>100</v>
      </c>
      <c r="X14" s="750"/>
      <c r="Y14" s="2842"/>
      <c r="Z14" s="23">
        <f t="shared" si="7"/>
        <v>111</v>
      </c>
      <c r="AA14" s="751">
        <f t="shared" si="3"/>
        <v>1</v>
      </c>
      <c r="AB14" s="751">
        <f t="shared" si="4"/>
        <v>1</v>
      </c>
      <c r="AC14" s="751">
        <f t="shared" si="5"/>
        <v>1</v>
      </c>
    </row>
    <row r="15" spans="1:29" ht="99.75">
      <c r="A15" s="419" t="s">
        <v>2361</v>
      </c>
      <c r="B15" s="26" t="s">
        <v>1735</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58" t="s">
        <v>2362</v>
      </c>
      <c r="Q15" s="1893" t="str">
        <f t="shared" si="6"/>
        <v>居住社区成熟度</v>
      </c>
      <c r="R15" s="752" t="s">
        <v>28</v>
      </c>
      <c r="S15" s="753">
        <f t="shared" si="0"/>
        <v>100</v>
      </c>
      <c r="T15" s="752" t="s">
        <v>28</v>
      </c>
      <c r="U15" s="753">
        <f t="shared" si="1"/>
        <v>100</v>
      </c>
      <c r="V15" s="752" t="s">
        <v>28</v>
      </c>
      <c r="W15" s="753">
        <f t="shared" si="2"/>
        <v>100</v>
      </c>
      <c r="X15" s="1894"/>
      <c r="Y15" s="3025" t="s">
        <v>2362</v>
      </c>
      <c r="Z15" s="1896" t="str">
        <f t="shared" si="7"/>
        <v>居住社区成熟度</v>
      </c>
      <c r="AA15" s="1897">
        <f t="shared" si="3"/>
        <v>1</v>
      </c>
      <c r="AB15" s="1897">
        <f t="shared" si="4"/>
        <v>1</v>
      </c>
      <c r="AC15" s="1897">
        <f t="shared" si="5"/>
        <v>1</v>
      </c>
    </row>
    <row r="16" spans="1:29" ht="15">
      <c r="A16" s="408"/>
      <c r="B16" s="425"/>
      <c r="C16" s="426"/>
      <c r="D16" s="427"/>
      <c r="E16" s="428"/>
      <c r="F16" s="429"/>
      <c r="G16" s="2400"/>
      <c r="H16" s="430"/>
      <c r="I16" s="428"/>
      <c r="J16" s="427"/>
      <c r="K16" s="2401"/>
      <c r="L16" s="1248"/>
      <c r="M16" s="1239"/>
      <c r="N16" s="1239"/>
      <c r="O16" s="1239"/>
      <c r="P16" s="3059"/>
      <c r="Q16" s="1893"/>
      <c r="R16" s="752"/>
      <c r="S16" s="753"/>
      <c r="T16" s="752"/>
      <c r="U16" s="753"/>
      <c r="V16" s="752"/>
      <c r="W16" s="753"/>
      <c r="X16" s="1894"/>
      <c r="Y16" s="3026"/>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59"/>
      <c r="Q17" s="1893" t="str">
        <f>B17</f>
        <v>交通便捷度</v>
      </c>
      <c r="R17" s="752" t="s">
        <v>28</v>
      </c>
      <c r="S17" s="753">
        <f>F17</f>
        <v>100</v>
      </c>
      <c r="T17" s="752" t="s">
        <v>28</v>
      </c>
      <c r="U17" s="753">
        <f>H17</f>
        <v>100</v>
      </c>
      <c r="V17" s="752" t="s">
        <v>28</v>
      </c>
      <c r="W17" s="753">
        <f>J17</f>
        <v>100</v>
      </c>
      <c r="X17" s="1894"/>
      <c r="Y17" s="3026"/>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2401"/>
      <c r="L18" s="1248"/>
      <c r="M18" s="1239"/>
      <c r="N18" s="1239"/>
      <c r="O18" s="1239"/>
      <c r="P18" s="3059"/>
      <c r="Q18" s="1893"/>
      <c r="R18" s="752"/>
      <c r="S18" s="753"/>
      <c r="T18" s="752"/>
      <c r="U18" s="753"/>
      <c r="V18" s="752"/>
      <c r="W18" s="753"/>
      <c r="X18" s="1894"/>
      <c r="Y18" s="3026"/>
      <c r="Z18" s="1896"/>
      <c r="AA18" s="1897">
        <v>1</v>
      </c>
      <c r="AB18" s="1897">
        <v>1</v>
      </c>
      <c r="AC18" s="1897">
        <v>1</v>
      </c>
    </row>
    <row r="19" spans="1:29" ht="42.75">
      <c r="A19" s="408"/>
      <c r="B19" s="431" t="s">
        <v>1745</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59"/>
      <c r="Q19" s="1893" t="str">
        <f>B19</f>
        <v>公共配套设施</v>
      </c>
      <c r="R19" s="752" t="s">
        <v>28</v>
      </c>
      <c r="S19" s="753">
        <f>F19</f>
        <v>100</v>
      </c>
      <c r="T19" s="752" t="s">
        <v>28</v>
      </c>
      <c r="U19" s="753">
        <f>H19</f>
        <v>100</v>
      </c>
      <c r="V19" s="752" t="s">
        <v>28</v>
      </c>
      <c r="W19" s="753">
        <f>J19</f>
        <v>100</v>
      </c>
      <c r="X19" s="1894"/>
      <c r="Y19" s="3026"/>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2401"/>
      <c r="L20" s="1248"/>
      <c r="M20" s="1239"/>
      <c r="N20" s="1239"/>
      <c r="O20" s="1239"/>
      <c r="P20" s="3059"/>
      <c r="Q20" s="1893"/>
      <c r="R20" s="752"/>
      <c r="S20" s="753"/>
      <c r="T20" s="752"/>
      <c r="U20" s="753"/>
      <c r="V20" s="752"/>
      <c r="W20" s="753"/>
      <c r="X20" s="1894"/>
      <c r="Y20" s="3026"/>
      <c r="Z20" s="1896"/>
      <c r="AA20" s="1897">
        <v>1</v>
      </c>
      <c r="AB20" s="1897">
        <v>1</v>
      </c>
      <c r="AC20" s="1897">
        <v>1</v>
      </c>
    </row>
    <row r="21" spans="1:29" ht="28.5">
      <c r="A21" s="408"/>
      <c r="B21" s="2404" t="s">
        <v>1748</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59"/>
      <c r="Q21" s="1893" t="str">
        <f>B21</f>
        <v>基础设施水平</v>
      </c>
      <c r="R21" s="752" t="s">
        <v>28</v>
      </c>
      <c r="S21" s="753">
        <f>F21</f>
        <v>100</v>
      </c>
      <c r="T21" s="752" t="s">
        <v>28</v>
      </c>
      <c r="U21" s="753">
        <f>H21</f>
        <v>100</v>
      </c>
      <c r="V21" s="752" t="s">
        <v>28</v>
      </c>
      <c r="W21" s="753">
        <f>J21</f>
        <v>100</v>
      </c>
      <c r="X21" s="1894"/>
      <c r="Y21" s="3026"/>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2405"/>
      <c r="L22" s="1248"/>
      <c r="M22" s="1239"/>
      <c r="N22" s="1239"/>
      <c r="O22" s="1239"/>
      <c r="P22" s="3059"/>
      <c r="Q22" s="1893"/>
      <c r="R22" s="752"/>
      <c r="S22" s="753"/>
      <c r="T22" s="752"/>
      <c r="U22" s="753"/>
      <c r="V22" s="752"/>
      <c r="W22" s="753"/>
      <c r="X22" s="1894"/>
      <c r="Y22" s="3026"/>
      <c r="Z22" s="1896"/>
      <c r="AA22" s="1897">
        <v>1</v>
      </c>
      <c r="AB22" s="1897">
        <v>1</v>
      </c>
      <c r="AC22" s="1897">
        <v>1</v>
      </c>
    </row>
    <row r="23" spans="1:29" ht="57">
      <c r="A23" s="408"/>
      <c r="B23" s="431" t="s">
        <v>1752</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59"/>
      <c r="Q23" s="1893" t="str">
        <f>B23</f>
        <v>自然及人文环境</v>
      </c>
      <c r="R23" s="752" t="s">
        <v>28</v>
      </c>
      <c r="S23" s="753">
        <f>F23</f>
        <v>100</v>
      </c>
      <c r="T23" s="752" t="s">
        <v>28</v>
      </c>
      <c r="U23" s="753">
        <f>H23</f>
        <v>100</v>
      </c>
      <c r="V23" s="752" t="s">
        <v>28</v>
      </c>
      <c r="W23" s="753">
        <f>J23</f>
        <v>100</v>
      </c>
      <c r="X23" s="1894"/>
      <c r="Y23" s="3026"/>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2401"/>
      <c r="L24" s="1248"/>
      <c r="M24" s="1239"/>
      <c r="N24" s="1239"/>
      <c r="O24" s="1239"/>
      <c r="P24" s="3059"/>
      <c r="Q24" s="1893"/>
      <c r="R24" s="752"/>
      <c r="S24" s="753"/>
      <c r="T24" s="752"/>
      <c r="U24" s="753"/>
      <c r="V24" s="752"/>
      <c r="W24" s="753"/>
      <c r="X24" s="1894"/>
      <c r="Y24" s="3026"/>
      <c r="Z24" s="1896"/>
      <c r="AA24" s="1897">
        <v>1</v>
      </c>
      <c r="AB24" s="1897">
        <v>1</v>
      </c>
      <c r="AC24" s="1897">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059"/>
      <c r="Q25" s="1893" t="str">
        <f t="shared" ref="Q25:Q46" si="11">B25</f>
        <v>楼层-1</v>
      </c>
      <c r="R25" s="752" t="s">
        <v>28</v>
      </c>
      <c r="S25" s="753">
        <f>F25</f>
        <v>100</v>
      </c>
      <c r="T25" s="752" t="s">
        <v>28</v>
      </c>
      <c r="U25" s="753">
        <f>H25</f>
        <v>100</v>
      </c>
      <c r="V25" s="752" t="s">
        <v>28</v>
      </c>
      <c r="W25" s="753">
        <f>J25</f>
        <v>100</v>
      </c>
      <c r="X25" s="1894"/>
      <c r="Y25" s="3026"/>
      <c r="Z25" s="1896" t="str">
        <f>Q25</f>
        <v>楼层-1</v>
      </c>
      <c r="AA25" s="1897">
        <f t="shared" si="3"/>
        <v>1</v>
      </c>
      <c r="AB25" s="1897">
        <f t="shared" si="4"/>
        <v>1</v>
      </c>
      <c r="AC25" s="1897">
        <f t="shared" si="5"/>
        <v>1</v>
      </c>
    </row>
    <row r="26" spans="1:29" ht="15">
      <c r="A26" s="408"/>
      <c r="B26" s="402" t="s">
        <v>2364</v>
      </c>
      <c r="C26" s="441"/>
      <c r="D26" s="415">
        <v>100</v>
      </c>
      <c r="E26" s="2406"/>
      <c r="F26" s="442">
        <f>SUMIF(88:88,E26,89:89)-SUMIF(88:88,C26,89:89)+100</f>
        <v>100</v>
      </c>
      <c r="G26" s="2407"/>
      <c r="H26" s="415">
        <f>SUMIF(88:88,G26,89:89)-SUMIF(88:88,C26,89:89)+100</f>
        <v>100</v>
      </c>
      <c r="I26" s="2406"/>
      <c r="J26" s="415">
        <f>SUMIF(88:88,I26,89:89)-SUMIF(88:88,C26,89:89)+100</f>
        <v>100</v>
      </c>
      <c r="K26" s="406"/>
      <c r="L26" s="1248"/>
      <c r="M26" s="1239"/>
      <c r="N26" s="1239"/>
      <c r="O26" s="1239"/>
      <c r="P26" s="3059"/>
      <c r="Q26" s="1893" t="str">
        <f t="shared" si="11"/>
        <v>朝向</v>
      </c>
      <c r="R26" s="752" t="s">
        <v>28</v>
      </c>
      <c r="S26" s="753">
        <f>F26</f>
        <v>100</v>
      </c>
      <c r="T26" s="752" t="s">
        <v>28</v>
      </c>
      <c r="U26" s="753">
        <f>H26</f>
        <v>100</v>
      </c>
      <c r="V26" s="752" t="s">
        <v>28</v>
      </c>
      <c r="W26" s="753">
        <f>J26</f>
        <v>100</v>
      </c>
      <c r="X26" s="1894"/>
      <c r="Y26" s="3026"/>
      <c r="Z26" s="1896" t="str">
        <f>Q26</f>
        <v>朝向</v>
      </c>
      <c r="AA26" s="1897">
        <f t="shared" si="3"/>
        <v>1</v>
      </c>
      <c r="AB26" s="1897">
        <f t="shared" si="4"/>
        <v>1</v>
      </c>
      <c r="AC26" s="1897">
        <f t="shared" si="5"/>
        <v>1</v>
      </c>
    </row>
    <row r="27" spans="1:29" s="35" customFormat="1" ht="15">
      <c r="A27" s="411"/>
      <c r="B27" s="2395" t="s">
        <v>2365</v>
      </c>
      <c r="C27" s="412"/>
      <c r="D27" s="443">
        <v>100</v>
      </c>
      <c r="E27" s="444"/>
      <c r="F27" s="445">
        <f>SUMIF(90:90,E27,91:91)-SUMIF(90:90,C27,91:91)+100</f>
        <v>100</v>
      </c>
      <c r="G27" s="446"/>
      <c r="H27" s="443">
        <f>SUMIF(90:90,G27,91:91)-SUMIF(90:90,C27,91:91)+100</f>
        <v>100</v>
      </c>
      <c r="I27" s="444"/>
      <c r="J27" s="443">
        <f>SUMIF(90:90,I27,91:91)-SUMIF(90:90,C27,91:91)+100</f>
        <v>100</v>
      </c>
      <c r="K27" s="2396"/>
      <c r="L27" s="1240"/>
      <c r="M27" s="1241"/>
      <c r="N27" s="1241"/>
      <c r="O27" s="1241"/>
      <c r="P27" s="3059"/>
      <c r="Q27" s="1881" t="str">
        <f t="shared" si="11"/>
        <v>道路级别</v>
      </c>
      <c r="R27" s="748" t="s">
        <v>28</v>
      </c>
      <c r="S27" s="749">
        <f>F27</f>
        <v>100</v>
      </c>
      <c r="T27" s="748" t="s">
        <v>28</v>
      </c>
      <c r="U27" s="749">
        <f>H27</f>
        <v>100</v>
      </c>
      <c r="V27" s="748" t="s">
        <v>28</v>
      </c>
      <c r="W27" s="749">
        <f>J27</f>
        <v>100</v>
      </c>
      <c r="X27" s="750"/>
      <c r="Y27" s="3026"/>
      <c r="Z27" s="23" t="str">
        <f>Q27</f>
        <v>道路级别</v>
      </c>
      <c r="AA27" s="1897">
        <f>D27/F27</f>
        <v>1</v>
      </c>
      <c r="AB27" s="1897">
        <f>D27/H27</f>
        <v>1</v>
      </c>
      <c r="AC27" s="1897">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8"/>
      <c r="M28" s="1239"/>
      <c r="N28" s="1239"/>
      <c r="O28" s="1239"/>
      <c r="P28" s="3059"/>
      <c r="Q28" s="1893">
        <f t="shared" si="11"/>
        <v>111</v>
      </c>
      <c r="R28" s="752" t="s">
        <v>28</v>
      </c>
      <c r="S28" s="753">
        <f t="shared" ref="S28:S46" si="12">F28</f>
        <v>100</v>
      </c>
      <c r="T28" s="752" t="s">
        <v>28</v>
      </c>
      <c r="U28" s="753">
        <f t="shared" ref="U28:U46" si="13">H28</f>
        <v>100</v>
      </c>
      <c r="V28" s="752" t="s">
        <v>28</v>
      </c>
      <c r="W28" s="753">
        <f t="shared" ref="W28:W46" si="14">J28</f>
        <v>100</v>
      </c>
      <c r="X28" s="1894"/>
      <c r="Y28" s="3026"/>
      <c r="Z28" s="1896">
        <f t="shared" ref="Z28:Z46" si="15">Q28</f>
        <v>111</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059"/>
      <c r="Q29" s="1893">
        <f t="shared" si="11"/>
        <v>111</v>
      </c>
      <c r="R29" s="752" t="s">
        <v>28</v>
      </c>
      <c r="S29" s="753">
        <f t="shared" si="12"/>
        <v>100</v>
      </c>
      <c r="T29" s="752" t="s">
        <v>28</v>
      </c>
      <c r="U29" s="753">
        <f t="shared" si="13"/>
        <v>100</v>
      </c>
      <c r="V29" s="752" t="s">
        <v>28</v>
      </c>
      <c r="W29" s="753">
        <f t="shared" si="14"/>
        <v>100</v>
      </c>
      <c r="X29" s="1894"/>
      <c r="Y29" s="3026"/>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059"/>
      <c r="Q30" s="1893">
        <f t="shared" si="11"/>
        <v>111</v>
      </c>
      <c r="R30" s="752" t="s">
        <v>28</v>
      </c>
      <c r="S30" s="753">
        <f t="shared" si="12"/>
        <v>100</v>
      </c>
      <c r="T30" s="752" t="s">
        <v>28</v>
      </c>
      <c r="U30" s="753">
        <f t="shared" si="13"/>
        <v>100</v>
      </c>
      <c r="V30" s="752" t="s">
        <v>28</v>
      </c>
      <c r="W30" s="753">
        <f t="shared" si="14"/>
        <v>100</v>
      </c>
      <c r="X30" s="1894"/>
      <c r="Y30" s="3026"/>
      <c r="Z30" s="1896">
        <f t="shared" si="15"/>
        <v>111</v>
      </c>
      <c r="AA30" s="1897">
        <f t="shared" si="3"/>
        <v>1</v>
      </c>
      <c r="AB30" s="1897">
        <f t="shared" si="4"/>
        <v>1</v>
      </c>
      <c r="AC30" s="189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059"/>
      <c r="Q31" s="1893">
        <f t="shared" si="11"/>
        <v>111</v>
      </c>
      <c r="R31" s="752" t="s">
        <v>28</v>
      </c>
      <c r="S31" s="753">
        <f t="shared" si="12"/>
        <v>100</v>
      </c>
      <c r="T31" s="752" t="s">
        <v>28</v>
      </c>
      <c r="U31" s="753">
        <f t="shared" si="13"/>
        <v>100</v>
      </c>
      <c r="V31" s="752" t="s">
        <v>28</v>
      </c>
      <c r="W31" s="753">
        <f t="shared" si="14"/>
        <v>100</v>
      </c>
      <c r="X31" s="1894"/>
      <c r="Y31" s="3026"/>
      <c r="Z31" s="1896">
        <f t="shared" si="15"/>
        <v>111</v>
      </c>
      <c r="AA31" s="1897">
        <f t="shared" si="3"/>
        <v>1</v>
      </c>
      <c r="AB31" s="1897">
        <f t="shared" si="4"/>
        <v>1</v>
      </c>
      <c r="AC31" s="1897">
        <f t="shared" si="5"/>
        <v>1</v>
      </c>
    </row>
    <row r="32" spans="1:29" ht="15">
      <c r="A32" s="419" t="s">
        <v>2366</v>
      </c>
      <c r="B32" s="28" t="s">
        <v>2367</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8"/>
      <c r="M32" s="1239"/>
      <c r="N32" s="1239"/>
      <c r="O32" s="1239"/>
      <c r="P32" s="3060" t="s">
        <v>2368</v>
      </c>
      <c r="Q32" s="1893" t="str">
        <f t="shared" si="11"/>
        <v>建筑类型</v>
      </c>
      <c r="R32" s="752" t="s">
        <v>28</v>
      </c>
      <c r="S32" s="753">
        <f t="shared" si="12"/>
        <v>100</v>
      </c>
      <c r="T32" s="752" t="s">
        <v>28</v>
      </c>
      <c r="U32" s="753">
        <f t="shared" si="13"/>
        <v>100</v>
      </c>
      <c r="V32" s="752" t="s">
        <v>28</v>
      </c>
      <c r="W32" s="753">
        <f t="shared" si="14"/>
        <v>100</v>
      </c>
      <c r="X32" s="1894"/>
      <c r="Y32" s="3012" t="s">
        <v>2368</v>
      </c>
      <c r="Z32" s="1896" t="str">
        <f t="shared" si="15"/>
        <v>建筑类型</v>
      </c>
      <c r="AA32" s="1897">
        <f t="shared" si="3"/>
        <v>1</v>
      </c>
      <c r="AB32" s="1897">
        <f t="shared" si="4"/>
        <v>1</v>
      </c>
      <c r="AC32" s="1897">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6"/>
      <c r="M33" s="1249"/>
      <c r="N33" s="1249"/>
      <c r="O33" s="1249"/>
      <c r="P33" s="3061"/>
      <c r="Q33" s="754" t="str">
        <f t="shared" si="11"/>
        <v>项目建筑规模</v>
      </c>
      <c r="R33" s="755" t="s">
        <v>28</v>
      </c>
      <c r="S33" s="756" t="e">
        <f t="shared" si="12"/>
        <v>#N/A</v>
      </c>
      <c r="T33" s="755" t="s">
        <v>28</v>
      </c>
      <c r="U33" s="756" t="e">
        <f t="shared" si="13"/>
        <v>#N/A</v>
      </c>
      <c r="V33" s="755" t="s">
        <v>28</v>
      </c>
      <c r="W33" s="756" t="e">
        <f t="shared" si="14"/>
        <v>#N/A</v>
      </c>
      <c r="X33" s="757"/>
      <c r="Y33" s="3012"/>
      <c r="Z33" s="758" t="str">
        <f t="shared" si="15"/>
        <v>项目建筑规模</v>
      </c>
      <c r="AA33" s="1897" t="e">
        <f t="shared" si="3"/>
        <v>#N/A</v>
      </c>
      <c r="AB33" s="1897" t="e">
        <f t="shared" si="4"/>
        <v>#N/A</v>
      </c>
      <c r="AC33" s="1897"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8"/>
      <c r="M34" s="1239"/>
      <c r="N34" s="1239"/>
      <c r="O34" s="1239"/>
      <c r="P34" s="3061"/>
      <c r="Q34" s="1893" t="str">
        <f t="shared" si="11"/>
        <v>建筑结构</v>
      </c>
      <c r="R34" s="752" t="s">
        <v>28</v>
      </c>
      <c r="S34" s="753">
        <f t="shared" si="12"/>
        <v>100</v>
      </c>
      <c r="T34" s="752" t="s">
        <v>28</v>
      </c>
      <c r="U34" s="753">
        <f t="shared" si="13"/>
        <v>100</v>
      </c>
      <c r="V34" s="752" t="s">
        <v>28</v>
      </c>
      <c r="W34" s="753">
        <f t="shared" si="14"/>
        <v>100</v>
      </c>
      <c r="X34" s="1894"/>
      <c r="Y34" s="3012"/>
      <c r="Z34" s="1896" t="str">
        <f t="shared" si="15"/>
        <v>建筑结构</v>
      </c>
      <c r="AA34" s="1897">
        <f t="shared" si="3"/>
        <v>1</v>
      </c>
      <c r="AB34" s="1897">
        <f t="shared" si="4"/>
        <v>1</v>
      </c>
      <c r="AC34" s="1897">
        <f t="shared" si="5"/>
        <v>1</v>
      </c>
    </row>
    <row r="35" spans="1:29" ht="15">
      <c r="A35" s="453"/>
      <c r="B35" s="402" t="s">
        <v>2371</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8"/>
      <c r="M35" s="1239"/>
      <c r="N35" s="1239"/>
      <c r="O35" s="1239"/>
      <c r="P35" s="3061"/>
      <c r="Q35" s="1893" t="str">
        <f t="shared" si="11"/>
        <v>建筑品质</v>
      </c>
      <c r="R35" s="752" t="s">
        <v>28</v>
      </c>
      <c r="S35" s="753">
        <f t="shared" si="12"/>
        <v>100</v>
      </c>
      <c r="T35" s="752" t="s">
        <v>28</v>
      </c>
      <c r="U35" s="753">
        <f t="shared" si="13"/>
        <v>100</v>
      </c>
      <c r="V35" s="752" t="s">
        <v>28</v>
      </c>
      <c r="W35" s="753">
        <f t="shared" si="14"/>
        <v>100</v>
      </c>
      <c r="X35" s="1894"/>
      <c r="Y35" s="3012"/>
      <c r="Z35" s="1896" t="str">
        <f t="shared" si="15"/>
        <v>建筑品质</v>
      </c>
      <c r="AA35" s="1897">
        <f t="shared" si="3"/>
        <v>1</v>
      </c>
      <c r="AB35" s="1897">
        <f t="shared" si="4"/>
        <v>1</v>
      </c>
      <c r="AC35" s="1897">
        <f t="shared" si="5"/>
        <v>1</v>
      </c>
    </row>
    <row r="36" spans="1:29" ht="15">
      <c r="A36" s="453"/>
      <c r="B36" s="402" t="s">
        <v>2372</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8"/>
      <c r="M36" s="1239"/>
      <c r="N36" s="1239"/>
      <c r="O36" s="1239"/>
      <c r="P36" s="3061"/>
      <c r="Q36" s="1893" t="str">
        <f t="shared" si="11"/>
        <v>公共部分装修</v>
      </c>
      <c r="R36" s="752" t="s">
        <v>28</v>
      </c>
      <c r="S36" s="753">
        <f t="shared" si="12"/>
        <v>100</v>
      </c>
      <c r="T36" s="752" t="s">
        <v>28</v>
      </c>
      <c r="U36" s="753">
        <f t="shared" si="13"/>
        <v>100</v>
      </c>
      <c r="V36" s="752" t="s">
        <v>28</v>
      </c>
      <c r="W36" s="753">
        <f t="shared" si="14"/>
        <v>100</v>
      </c>
      <c r="X36" s="1894"/>
      <c r="Y36" s="3012"/>
      <c r="Z36" s="1896" t="str">
        <f t="shared" si="15"/>
        <v>公共部分装修</v>
      </c>
      <c r="AA36" s="1897">
        <f t="shared" si="3"/>
        <v>1</v>
      </c>
      <c r="AB36" s="1897">
        <f t="shared" si="4"/>
        <v>1</v>
      </c>
      <c r="AC36" s="1897">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1"/>
      <c r="Q37" s="1881" t="str">
        <f t="shared" si="11"/>
        <v>成新度</v>
      </c>
      <c r="R37" s="748" t="s">
        <v>28</v>
      </c>
      <c r="S37" s="749" t="e">
        <f t="shared" si="12"/>
        <v>#N/A</v>
      </c>
      <c r="T37" s="748" t="s">
        <v>28</v>
      </c>
      <c r="U37" s="749" t="e">
        <f t="shared" si="13"/>
        <v>#N/A</v>
      </c>
      <c r="V37" s="748" t="s">
        <v>28</v>
      </c>
      <c r="W37" s="749" t="e">
        <f t="shared" si="14"/>
        <v>#N/A</v>
      </c>
      <c r="X37" s="750"/>
      <c r="Y37" s="3012"/>
      <c r="Z37" s="23" t="str">
        <f t="shared" si="15"/>
        <v>成新度</v>
      </c>
      <c r="AA37" s="751" t="e">
        <f t="shared" si="3"/>
        <v>#N/A</v>
      </c>
      <c r="AB37" s="751" t="e">
        <f t="shared" si="4"/>
        <v>#N/A</v>
      </c>
      <c r="AC37" s="751" t="e">
        <f t="shared" si="5"/>
        <v>#N/A</v>
      </c>
    </row>
    <row r="38" spans="1:29" ht="15">
      <c r="A38" s="453"/>
      <c r="B38" s="402" t="s">
        <v>2374</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8"/>
      <c r="M38" s="1239"/>
      <c r="N38" s="1239"/>
      <c r="O38" s="1239"/>
      <c r="P38" s="3061" t="s">
        <v>2368</v>
      </c>
      <c r="Q38" s="1893" t="str">
        <f t="shared" si="11"/>
        <v>物业管理</v>
      </c>
      <c r="R38" s="752" t="s">
        <v>28</v>
      </c>
      <c r="S38" s="753">
        <f t="shared" si="12"/>
        <v>100</v>
      </c>
      <c r="T38" s="752" t="s">
        <v>28</v>
      </c>
      <c r="U38" s="753">
        <f t="shared" si="13"/>
        <v>100</v>
      </c>
      <c r="V38" s="752" t="s">
        <v>28</v>
      </c>
      <c r="W38" s="753">
        <f t="shared" si="14"/>
        <v>100</v>
      </c>
      <c r="X38" s="1894"/>
      <c r="Y38" s="3012" t="s">
        <v>2368</v>
      </c>
      <c r="Z38" s="1896" t="str">
        <f t="shared" si="15"/>
        <v>物业管理</v>
      </c>
      <c r="AA38" s="1897">
        <f t="shared" si="3"/>
        <v>1</v>
      </c>
      <c r="AB38" s="1897">
        <f t="shared" si="4"/>
        <v>1</v>
      </c>
      <c r="AC38" s="1897">
        <f t="shared" si="5"/>
        <v>1</v>
      </c>
    </row>
    <row r="39" spans="1:29" ht="15">
      <c r="A39" s="453"/>
      <c r="B39" s="402" t="s">
        <v>2375</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8"/>
      <c r="M39" s="1239"/>
      <c r="N39" s="1239"/>
      <c r="O39" s="1239"/>
      <c r="P39" s="3061"/>
      <c r="Q39" s="1893" t="str">
        <f t="shared" si="11"/>
        <v>市政基础设施</v>
      </c>
      <c r="R39" s="752" t="s">
        <v>28</v>
      </c>
      <c r="S39" s="753">
        <f t="shared" si="12"/>
        <v>100</v>
      </c>
      <c r="T39" s="752" t="s">
        <v>28</v>
      </c>
      <c r="U39" s="753">
        <f t="shared" si="13"/>
        <v>100</v>
      </c>
      <c r="V39" s="752" t="s">
        <v>28</v>
      </c>
      <c r="W39" s="753">
        <f t="shared" si="14"/>
        <v>100</v>
      </c>
      <c r="X39" s="1894"/>
      <c r="Y39" s="3012"/>
      <c r="Z39" s="1896" t="str">
        <f t="shared" si="15"/>
        <v>市政基础设施</v>
      </c>
      <c r="AA39" s="1897">
        <f t="shared" si="3"/>
        <v>1</v>
      </c>
      <c r="AB39" s="1897">
        <f t="shared" si="4"/>
        <v>1</v>
      </c>
      <c r="AC39" s="1897">
        <f t="shared" si="5"/>
        <v>1</v>
      </c>
    </row>
    <row r="40" spans="1:29" ht="15">
      <c r="A40" s="453"/>
      <c r="B40" s="402" t="s">
        <v>2376</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8"/>
      <c r="M40" s="1239"/>
      <c r="N40" s="1239"/>
      <c r="O40" s="1239"/>
      <c r="P40" s="3061"/>
      <c r="Q40" s="1893" t="str">
        <f t="shared" si="11"/>
        <v>房型</v>
      </c>
      <c r="R40" s="752" t="s">
        <v>28</v>
      </c>
      <c r="S40" s="753">
        <f t="shared" si="12"/>
        <v>100</v>
      </c>
      <c r="T40" s="752" t="s">
        <v>28</v>
      </c>
      <c r="U40" s="753">
        <f t="shared" si="13"/>
        <v>100</v>
      </c>
      <c r="V40" s="752" t="s">
        <v>28</v>
      </c>
      <c r="W40" s="753">
        <f t="shared" si="14"/>
        <v>100</v>
      </c>
      <c r="X40" s="1894"/>
      <c r="Y40" s="3012"/>
      <c r="Z40" s="1896" t="str">
        <f t="shared" si="15"/>
        <v>房型</v>
      </c>
      <c r="AA40" s="1897">
        <f t="shared" si="3"/>
        <v>1</v>
      </c>
      <c r="AB40" s="1897">
        <f t="shared" si="4"/>
        <v>1</v>
      </c>
      <c r="AC40" s="1897">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061"/>
      <c r="Q41" s="754" t="str">
        <f t="shared" si="11"/>
        <v>单套/主力户型建筑面积</v>
      </c>
      <c r="R41" s="755" t="s">
        <v>28</v>
      </c>
      <c r="S41" s="756">
        <f t="shared" si="12"/>
        <v>100</v>
      </c>
      <c r="T41" s="755" t="s">
        <v>28</v>
      </c>
      <c r="U41" s="756">
        <f t="shared" si="13"/>
        <v>100</v>
      </c>
      <c r="V41" s="755" t="s">
        <v>28</v>
      </c>
      <c r="W41" s="756">
        <f t="shared" si="14"/>
        <v>100</v>
      </c>
      <c r="X41" s="757"/>
      <c r="Y41" s="3012"/>
      <c r="Z41" s="758" t="str">
        <f t="shared" si="15"/>
        <v>单套/主力户型建筑面积</v>
      </c>
      <c r="AA41" s="1897">
        <f t="shared" si="3"/>
        <v>1</v>
      </c>
      <c r="AB41" s="1897">
        <f t="shared" si="4"/>
        <v>1</v>
      </c>
      <c r="AC41" s="1897">
        <f t="shared" si="5"/>
        <v>1</v>
      </c>
    </row>
    <row r="42" spans="1:29" ht="15">
      <c r="A42" s="453"/>
      <c r="B42" s="402" t="s">
        <v>2378</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8"/>
      <c r="M42" s="1239"/>
      <c r="N42" s="1239"/>
      <c r="O42" s="1239"/>
      <c r="P42" s="3061"/>
      <c r="Q42" s="1893" t="str">
        <f t="shared" si="11"/>
        <v>内部装修</v>
      </c>
      <c r="R42" s="752" t="s">
        <v>28</v>
      </c>
      <c r="S42" s="753">
        <f t="shared" si="12"/>
        <v>100</v>
      </c>
      <c r="T42" s="752" t="s">
        <v>28</v>
      </c>
      <c r="U42" s="753">
        <f t="shared" si="13"/>
        <v>100</v>
      </c>
      <c r="V42" s="752" t="s">
        <v>28</v>
      </c>
      <c r="W42" s="753">
        <f t="shared" si="14"/>
        <v>100</v>
      </c>
      <c r="X42" s="1894"/>
      <c r="Y42" s="3012"/>
      <c r="Z42" s="1896" t="str">
        <f t="shared" si="15"/>
        <v>内部装修</v>
      </c>
      <c r="AA42" s="1897">
        <f t="shared" si="3"/>
        <v>1</v>
      </c>
      <c r="AB42" s="1897">
        <f t="shared" si="4"/>
        <v>1</v>
      </c>
      <c r="AC42" s="1897">
        <f t="shared" si="5"/>
        <v>1</v>
      </c>
    </row>
    <row r="43" spans="1:29" ht="15">
      <c r="A43" s="453"/>
      <c r="B43" s="402" t="s">
        <v>2379</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8"/>
      <c r="M43" s="1239"/>
      <c r="N43" s="1239"/>
      <c r="O43" s="1239"/>
      <c r="P43" s="3061"/>
      <c r="Q43" s="1893" t="str">
        <f t="shared" si="11"/>
        <v>内部装修维护情况</v>
      </c>
      <c r="R43" s="752" t="s">
        <v>28</v>
      </c>
      <c r="S43" s="753">
        <f t="shared" si="12"/>
        <v>100</v>
      </c>
      <c r="T43" s="752" t="s">
        <v>28</v>
      </c>
      <c r="U43" s="753">
        <f t="shared" si="13"/>
        <v>100</v>
      </c>
      <c r="V43" s="752" t="s">
        <v>28</v>
      </c>
      <c r="W43" s="753">
        <f t="shared" si="14"/>
        <v>100</v>
      </c>
      <c r="X43" s="1894"/>
      <c r="Y43" s="3012"/>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0"/>
      <c r="M44" s="1241"/>
      <c r="N44" s="1241"/>
      <c r="O44" s="1241"/>
      <c r="P44" s="3061"/>
      <c r="Q44" s="1881">
        <f t="shared" si="11"/>
        <v>111</v>
      </c>
      <c r="R44" s="748" t="s">
        <v>28</v>
      </c>
      <c r="S44" s="749">
        <f t="shared" si="12"/>
        <v>100</v>
      </c>
      <c r="T44" s="748" t="s">
        <v>28</v>
      </c>
      <c r="U44" s="749">
        <f t="shared" si="13"/>
        <v>100</v>
      </c>
      <c r="V44" s="748" t="s">
        <v>28</v>
      </c>
      <c r="W44" s="749">
        <f t="shared" si="14"/>
        <v>100</v>
      </c>
      <c r="X44" s="750"/>
      <c r="Y44" s="3012"/>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061"/>
      <c r="Q45" s="1893">
        <f t="shared" si="11"/>
        <v>111</v>
      </c>
      <c r="R45" s="752" t="s">
        <v>28</v>
      </c>
      <c r="S45" s="753">
        <f t="shared" si="12"/>
        <v>100</v>
      </c>
      <c r="T45" s="752" t="s">
        <v>28</v>
      </c>
      <c r="U45" s="753">
        <f t="shared" si="13"/>
        <v>100</v>
      </c>
      <c r="V45" s="752" t="s">
        <v>28</v>
      </c>
      <c r="W45" s="753">
        <f t="shared" si="14"/>
        <v>100</v>
      </c>
      <c r="X45" s="1894"/>
      <c r="Y45" s="3012"/>
      <c r="Z45" s="1896">
        <f t="shared" si="15"/>
        <v>111</v>
      </c>
      <c r="AA45" s="1897">
        <f t="shared" si="3"/>
        <v>1</v>
      </c>
      <c r="AB45" s="1897">
        <f t="shared" si="4"/>
        <v>1</v>
      </c>
      <c r="AC45" s="189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062"/>
      <c r="Q46" s="1893">
        <f t="shared" si="11"/>
        <v>111</v>
      </c>
      <c r="R46" s="752" t="s">
        <v>27</v>
      </c>
      <c r="S46" s="753">
        <f t="shared" si="12"/>
        <v>100</v>
      </c>
      <c r="T46" s="752" t="s">
        <v>27</v>
      </c>
      <c r="U46" s="753">
        <f t="shared" si="13"/>
        <v>100</v>
      </c>
      <c r="V46" s="752" t="s">
        <v>27</v>
      </c>
      <c r="W46" s="753">
        <f t="shared" si="14"/>
        <v>100</v>
      </c>
      <c r="X46" s="1894"/>
      <c r="Y46" s="3013"/>
      <c r="Z46" s="1896">
        <f t="shared" si="15"/>
        <v>111</v>
      </c>
      <c r="AA46" s="1897">
        <f t="shared" si="3"/>
        <v>1</v>
      </c>
      <c r="AB46" s="1897">
        <f t="shared" si="4"/>
        <v>1</v>
      </c>
      <c r="AC46" s="1897">
        <f t="shared" si="5"/>
        <v>1</v>
      </c>
    </row>
    <row r="47" spans="1:29" ht="15">
      <c r="A47" s="460" t="s">
        <v>2380</v>
      </c>
      <c r="B47" s="461"/>
      <c r="C47" s="1497" t="s">
        <v>26</v>
      </c>
      <c r="D47" s="1498"/>
      <c r="E47" s="1499"/>
      <c r="F47" s="1500"/>
      <c r="G47" s="1501"/>
      <c r="H47" s="1502"/>
      <c r="I47" s="1499"/>
      <c r="J47" s="1502"/>
      <c r="K47" s="2413"/>
      <c r="L47" s="1251"/>
      <c r="M47" s="1252"/>
      <c r="N47" s="1239"/>
      <c r="O47" s="1252"/>
      <c r="P47" s="3005" t="str">
        <f>A47</f>
        <v>成交单价（元/平方米）</v>
      </c>
      <c r="Q47" s="3005"/>
      <c r="R47" s="3006">
        <f>E47</f>
        <v>0</v>
      </c>
      <c r="S47" s="3006"/>
      <c r="T47" s="3006">
        <f>G47</f>
        <v>0</v>
      </c>
      <c r="U47" s="3006"/>
      <c r="V47" s="3006">
        <f>I47</f>
        <v>0</v>
      </c>
      <c r="W47" s="3006"/>
      <c r="X47" s="737"/>
      <c r="Y47" s="759"/>
      <c r="Z47" s="737"/>
      <c r="AA47" s="737"/>
      <c r="AB47" s="737"/>
      <c r="AC47" s="737"/>
    </row>
    <row r="48" spans="1:29" ht="15.75" thickBot="1">
      <c r="A48" s="467" t="s">
        <v>2381</v>
      </c>
      <c r="B48" s="468"/>
      <c r="C48" s="1503" t="e">
        <f>R49</f>
        <v>#DIV/0!</v>
      </c>
      <c r="D48" s="1504"/>
      <c r="E48" s="1505" t="e">
        <f>R48</f>
        <v>#DIV/0!</v>
      </c>
      <c r="F48" s="1505"/>
      <c r="G48" s="1503" t="e">
        <f>T48</f>
        <v>#DIV/0!</v>
      </c>
      <c r="H48" s="1504"/>
      <c r="I48" s="1505" t="e">
        <f>V48</f>
        <v>#DIV/0!</v>
      </c>
      <c r="J48" s="1504"/>
      <c r="K48" s="2414"/>
      <c r="L48" s="1251"/>
      <c r="M48" s="1252"/>
      <c r="N48" s="1252"/>
      <c r="O48" s="1252"/>
      <c r="P48" s="3005" t="str">
        <f>A48</f>
        <v>比较价值（元/平方米）</v>
      </c>
      <c r="Q48" s="3005"/>
      <c r="R48" s="3006" t="e">
        <f>IF(E1="售价",ROUND(PRODUCT(R47,AA7:AA46),0),ROUND(PRODUCT(R47,AA7:AA46),1))</f>
        <v>#DIV/0!</v>
      </c>
      <c r="S48" s="3006"/>
      <c r="T48" s="3055" t="e">
        <f>IF(E1="售价",ROUND(PRODUCT(T47,AB7:AB46),0),ROUND(PRODUCT(T47,AB7:AB46),1))</f>
        <v>#DIV/0!</v>
      </c>
      <c r="U48" s="3056"/>
      <c r="V48" s="3006" t="e">
        <f>IF(E1="售价",ROUND(PRODUCT(V47,AC7:AC46),0),ROUND(PRODUCT(V47,AC7:AC46),1))</f>
        <v>#DIV/0!</v>
      </c>
      <c r="W48" s="3006"/>
      <c r="X48" s="737"/>
      <c r="Y48" s="737"/>
      <c r="Z48" s="737"/>
      <c r="AA48" s="737"/>
      <c r="AB48" s="737"/>
      <c r="AC48" s="737"/>
    </row>
    <row r="49" spans="1:29" ht="15.75" thickBot="1">
      <c r="A49" s="473" t="s">
        <v>2382</v>
      </c>
      <c r="B49" s="474"/>
      <c r="C49" s="1506" t="e">
        <f>R49</f>
        <v>#DIV/0!</v>
      </c>
      <c r="D49" s="1507"/>
      <c r="E49" s="1507"/>
      <c r="F49" s="1507"/>
      <c r="G49" s="1507"/>
      <c r="H49" s="1507"/>
      <c r="I49" s="1507"/>
      <c r="J49" s="1507"/>
      <c r="K49" s="2415"/>
      <c r="L49" s="1251"/>
      <c r="M49" s="1252"/>
      <c r="N49" s="1252"/>
      <c r="O49" s="1252"/>
      <c r="P49" s="3057" t="str">
        <f>A49</f>
        <v>估价对象XX用房的比较价值（楼面单价，元/平方米）</v>
      </c>
      <c r="Q49" s="3004"/>
      <c r="R49" s="3008" t="e">
        <f>IF(E1="售价",ROUND(AVERAGE(R48:V48),0),ROUND(AVERAGE(R48:V48),1))</f>
        <v>#DIV/0!</v>
      </c>
      <c r="S49" s="3008"/>
      <c r="T49" s="3008"/>
      <c r="U49" s="3008"/>
      <c r="V49" s="3008"/>
      <c r="W49" s="300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1" t="s">
        <v>2386</v>
      </c>
      <c r="B57" s="737"/>
      <c r="C57" s="742"/>
      <c r="D57" s="742"/>
      <c r="E57" s="742"/>
      <c r="F57" s="743"/>
      <c r="G57" s="743"/>
      <c r="H57" s="742"/>
      <c r="I57" s="742"/>
      <c r="J57" s="742"/>
      <c r="K57" s="744"/>
      <c r="L57" s="745"/>
      <c r="M57" s="742"/>
      <c r="N57" s="742"/>
      <c r="O57" s="742"/>
      <c r="P57" s="2418"/>
      <c r="Q57" s="485"/>
    </row>
    <row r="58" spans="1:29" s="489" customFormat="1" ht="15">
      <c r="A58" s="486" t="s">
        <v>2387</v>
      </c>
      <c r="B58" s="487"/>
      <c r="C58" s="1673" t="str">
        <f>YEAR(C7)&amp;"-"&amp;MONTH(C7)</f>
        <v>2019-7</v>
      </c>
      <c r="D58" s="1674">
        <f>EDATE(C58,-1)</f>
        <v>43617</v>
      </c>
      <c r="E58" s="1674">
        <f t="shared" ref="E58:O58" si="16">EDATE(D58,-1)</f>
        <v>43586</v>
      </c>
      <c r="F58" s="1674">
        <f t="shared" si="16"/>
        <v>43556</v>
      </c>
      <c r="G58" s="1674">
        <f t="shared" si="16"/>
        <v>43525</v>
      </c>
      <c r="H58" s="1674">
        <f t="shared" si="16"/>
        <v>43497</v>
      </c>
      <c r="I58" s="1674">
        <f t="shared" si="16"/>
        <v>43466</v>
      </c>
      <c r="J58" s="1674">
        <f t="shared" si="16"/>
        <v>43435</v>
      </c>
      <c r="K58" s="1674">
        <f t="shared" si="16"/>
        <v>43405</v>
      </c>
      <c r="L58" s="1674">
        <f t="shared" si="16"/>
        <v>43374</v>
      </c>
      <c r="M58" s="1674">
        <f t="shared" si="16"/>
        <v>43344</v>
      </c>
      <c r="N58" s="1674">
        <f t="shared" si="16"/>
        <v>43313</v>
      </c>
      <c r="O58" s="1674">
        <f t="shared" si="16"/>
        <v>43282</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2391</v>
      </c>
      <c r="B63" s="509" t="s">
        <v>2356</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1748</v>
      </c>
      <c r="C82" s="522" t="s">
        <v>2407</v>
      </c>
      <c r="D82" s="522" t="s">
        <v>2408</v>
      </c>
      <c r="E82" s="522" t="s">
        <v>2409</v>
      </c>
      <c r="F82" s="522" t="s">
        <v>2410</v>
      </c>
      <c r="G82" s="522" t="s">
        <v>2411</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2413</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2414</v>
      </c>
      <c r="C88" s="537"/>
      <c r="D88" s="537"/>
      <c r="E88" s="537"/>
      <c r="F88" s="2427"/>
      <c r="G88" s="537"/>
      <c r="H88" s="537"/>
      <c r="I88" s="537"/>
      <c r="J88" s="537"/>
      <c r="K88" s="537"/>
      <c r="L88" s="537"/>
      <c r="M88" s="565"/>
      <c r="N88" s="1261"/>
      <c r="O88" s="1261"/>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f>B28</f>
        <v>111</v>
      </c>
      <c r="C92" s="537"/>
      <c r="D92" s="537"/>
      <c r="E92" s="537"/>
      <c r="F92" s="537"/>
      <c r="G92" s="567"/>
      <c r="H92" s="567"/>
      <c r="I92" s="567"/>
      <c r="J92" s="567"/>
      <c r="K92" s="568"/>
      <c r="L92" s="569"/>
      <c r="M92" s="570"/>
      <c r="N92" s="1262"/>
      <c r="O92" s="1262"/>
      <c r="P92" s="2422"/>
      <c r="Q92" s="485"/>
    </row>
    <row r="93" spans="1:17" ht="15.75" thickBot="1">
      <c r="A93" s="516"/>
      <c r="B93" s="526"/>
      <c r="C93" s="544"/>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2366</v>
      </c>
      <c r="B100" s="509" t="s">
        <v>2415</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3"/>
      <c r="Q104" s="543"/>
    </row>
    <row r="105" spans="1:17" ht="15" thickTop="1">
      <c r="A105" s="583"/>
      <c r="B105" s="521" t="s">
        <v>2417</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2418</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2419</v>
      </c>
      <c r="C109" s="537"/>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2421</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2422</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2423</v>
      </c>
      <c r="C118" s="567"/>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2424</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0">
        <v>6</v>
      </c>
      <c r="C139" s="1128">
        <v>96</v>
      </c>
      <c r="D139" s="2440" t="s">
        <v>2435</v>
      </c>
      <c r="E139" s="1129">
        <v>100</v>
      </c>
      <c r="F139" s="1130">
        <v>102.5</v>
      </c>
      <c r="G139" s="2440" t="s">
        <v>2435</v>
      </c>
      <c r="H139" s="1131">
        <v>105</v>
      </c>
      <c r="I139" s="2441" t="s">
        <v>2436</v>
      </c>
      <c r="J139" s="1128">
        <v>20</v>
      </c>
      <c r="K139" s="1122">
        <f>C145/(J139-2)</f>
        <v>4.0555555555555553E-3</v>
      </c>
    </row>
    <row r="140" spans="1:17" ht="15">
      <c r="B140" s="1121">
        <v>5</v>
      </c>
      <c r="C140" s="1132">
        <v>100</v>
      </c>
      <c r="D140" s="1132"/>
      <c r="E140" s="1133"/>
      <c r="F140" s="1134">
        <v>102</v>
      </c>
      <c r="G140" s="1132"/>
      <c r="H140" s="1135"/>
      <c r="I140" s="2442" t="s">
        <v>2437</v>
      </c>
      <c r="J140" s="217">
        <f>ROUNDUP((J139-1)/2,0)</f>
        <v>10</v>
      </c>
      <c r="K140" s="1123">
        <v>100</v>
      </c>
    </row>
    <row r="141" spans="1:17" ht="15">
      <c r="B141" s="1121">
        <v>4</v>
      </c>
      <c r="C141" s="1132">
        <v>102</v>
      </c>
      <c r="D141" s="1132"/>
      <c r="E141" s="1133"/>
      <c r="F141" s="1134">
        <v>101.5</v>
      </c>
      <c r="G141" s="1132"/>
      <c r="H141" s="1135"/>
      <c r="I141" s="2442" t="s">
        <v>2438</v>
      </c>
      <c r="J141" s="217">
        <v>1</v>
      </c>
      <c r="K141" s="1124">
        <f>ROUND(100+(J141-J140)*K139*100,1)</f>
        <v>96.4</v>
      </c>
    </row>
    <row r="142" spans="1:17" ht="15">
      <c r="B142" s="1121">
        <v>3</v>
      </c>
      <c r="C142" s="1132">
        <v>103</v>
      </c>
      <c r="D142" s="1132"/>
      <c r="E142" s="1133"/>
      <c r="F142" s="1134">
        <v>101</v>
      </c>
      <c r="G142" s="1132"/>
      <c r="H142" s="1135"/>
      <c r="I142" s="2442" t="s">
        <v>2439</v>
      </c>
      <c r="J142" s="217">
        <f>J139</f>
        <v>20</v>
      </c>
      <c r="K142" s="1137">
        <v>95</v>
      </c>
    </row>
    <row r="143" spans="1:17" ht="15">
      <c r="B143" s="1121">
        <v>2</v>
      </c>
      <c r="C143" s="1132">
        <v>100</v>
      </c>
      <c r="D143" s="1132"/>
      <c r="E143" s="1133"/>
      <c r="F143" s="1134">
        <v>100.5</v>
      </c>
      <c r="G143" s="1132"/>
      <c r="H143" s="1135"/>
      <c r="I143" s="2442" t="s">
        <v>2440</v>
      </c>
      <c r="J143" s="1132">
        <v>15</v>
      </c>
      <c r="K143" s="1124">
        <f>ROUND(100+(J143-J140)*K139*100,1)</f>
        <v>102</v>
      </c>
    </row>
    <row r="144" spans="1:17" ht="15">
      <c r="B144" s="1121">
        <v>1</v>
      </c>
      <c r="C144" s="1132">
        <v>98</v>
      </c>
      <c r="D144" s="2443" t="s">
        <v>2441</v>
      </c>
      <c r="E144" s="1133">
        <v>102</v>
      </c>
      <c r="F144" s="1136">
        <v>100</v>
      </c>
      <c r="G144" s="2443" t="s">
        <v>2441</v>
      </c>
      <c r="H144" s="1135">
        <v>105</v>
      </c>
      <c r="I144" s="2442" t="s">
        <v>2440</v>
      </c>
      <c r="J144" s="1132">
        <v>18</v>
      </c>
      <c r="K144" s="1124">
        <f>ROUND(100+(J144-J140)*K139*100,1)</f>
        <v>103.2</v>
      </c>
    </row>
    <row r="145" spans="2:11" ht="15.75" thickBot="1">
      <c r="B145" s="2444" t="s">
        <v>2442</v>
      </c>
      <c r="C145" s="1126">
        <f>ROUND(MAX(C139:C144)/MIN(C139:C144)-1,3)</f>
        <v>7.2999999999999995E-2</v>
      </c>
      <c r="D145" s="1127"/>
      <c r="E145" s="1127"/>
      <c r="F145" s="2445" t="s">
        <v>2443</v>
      </c>
      <c r="G145" s="2446"/>
      <c r="H145" s="2447"/>
      <c r="I145" s="2448" t="s">
        <v>2440</v>
      </c>
      <c r="J145" s="1138">
        <v>8</v>
      </c>
      <c r="K145" s="1125">
        <f>ROUND(100+(J145-J140)*K139*100,1)</f>
        <v>99.2</v>
      </c>
    </row>
    <row r="147" spans="2:11">
      <c r="B147" s="2429" t="s">
        <v>2444</v>
      </c>
    </row>
    <row r="148" spans="2:11">
      <c r="B148" s="2429"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9"/>
      <c r="E1" s="2378"/>
      <c r="F1" s="1735" t="s">
        <v>2335</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76"/>
      <c r="I2" s="976"/>
      <c r="J2" s="976"/>
      <c r="K2" s="976"/>
      <c r="L2" s="1236"/>
      <c r="M2" s="1237"/>
      <c r="N2" s="1237"/>
      <c r="O2" s="1237"/>
      <c r="P2" s="2451"/>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2336</v>
      </c>
      <c r="D3" s="378">
        <f>IF(C1="仅计算典型户型",'数据-取费表'!E5,'数据-取费表'!B5)</f>
        <v>1024.48</v>
      </c>
      <c r="E3" s="2452"/>
      <c r="F3" s="977"/>
      <c r="G3" s="976"/>
      <c r="H3" s="976"/>
      <c r="I3" s="976"/>
      <c r="J3" s="976"/>
      <c r="K3" s="978"/>
      <c r="L3" s="1236"/>
      <c r="M3" s="1237"/>
      <c r="N3" s="1237"/>
      <c r="O3" s="1237"/>
      <c r="P3" s="2451"/>
      <c r="Q3" s="746"/>
      <c r="R3" s="746"/>
      <c r="S3" s="746"/>
      <c r="T3" s="746"/>
      <c r="U3" s="746"/>
      <c r="V3" s="746"/>
      <c r="W3" s="746"/>
      <c r="X3" s="746"/>
      <c r="Y3" s="746"/>
      <c r="Z3" s="746"/>
      <c r="AA3" s="746"/>
      <c r="AB3" s="746"/>
      <c r="AC3" s="760"/>
    </row>
    <row r="4" spans="1:29" ht="15">
      <c r="A4" s="380" t="s">
        <v>2337</v>
      </c>
      <c r="B4" s="381"/>
      <c r="C4" s="3030" t="s">
        <v>2338</v>
      </c>
      <c r="D4" s="3031"/>
      <c r="E4" s="3032" t="s">
        <v>2339</v>
      </c>
      <c r="F4" s="3033"/>
      <c r="G4" s="3030" t="s">
        <v>2340</v>
      </c>
      <c r="H4" s="3031"/>
      <c r="I4" s="3030" t="s">
        <v>2341</v>
      </c>
      <c r="J4" s="3031"/>
      <c r="K4" s="594"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38" t="s">
        <v>2340</v>
      </c>
      <c r="AC4" s="3027" t="s">
        <v>2341</v>
      </c>
    </row>
    <row r="5" spans="1:29" ht="15">
      <c r="A5" s="383"/>
      <c r="B5" s="384"/>
      <c r="C5" s="3041" t="s">
        <v>2344</v>
      </c>
      <c r="D5" s="3042"/>
      <c r="E5" s="3067" t="s">
        <v>2345</v>
      </c>
      <c r="F5" s="3040"/>
      <c r="G5" s="3041" t="s">
        <v>2346</v>
      </c>
      <c r="H5" s="3042"/>
      <c r="I5" s="3041" t="s">
        <v>2347</v>
      </c>
      <c r="J5" s="3042"/>
      <c r="K5" s="594"/>
      <c r="L5" s="1238"/>
      <c r="M5" s="1239"/>
      <c r="N5" s="1239"/>
      <c r="O5" s="1239"/>
      <c r="P5" s="3065"/>
      <c r="Q5" s="3024"/>
      <c r="R5" s="3018"/>
      <c r="S5" s="3019"/>
      <c r="T5" s="3018"/>
      <c r="U5" s="3019"/>
      <c r="V5" s="3038"/>
      <c r="W5" s="3038"/>
      <c r="X5" s="1894"/>
      <c r="Y5" s="3018"/>
      <c r="Z5" s="3019"/>
      <c r="AA5" s="3028"/>
      <c r="AB5" s="3038"/>
      <c r="AC5" s="3028"/>
    </row>
    <row r="6" spans="1:29" ht="15.75" thickBot="1">
      <c r="A6" s="385"/>
      <c r="B6" s="386"/>
      <c r="C6" s="3043" t="s">
        <v>2348</v>
      </c>
      <c r="D6" s="3044"/>
      <c r="E6" s="3047" t="s">
        <v>2348</v>
      </c>
      <c r="F6" s="3048"/>
      <c r="G6" s="3043" t="s">
        <v>2348</v>
      </c>
      <c r="H6" s="3044"/>
      <c r="I6" s="3043" t="s">
        <v>2348</v>
      </c>
      <c r="J6" s="3044"/>
      <c r="K6" s="594" t="s">
        <v>2349</v>
      </c>
      <c r="L6" s="1238"/>
      <c r="M6" s="1239"/>
      <c r="N6" s="1239"/>
      <c r="O6" s="1239"/>
      <c r="P6" s="3066"/>
      <c r="Q6" s="3037"/>
      <c r="R6" s="3018"/>
      <c r="S6" s="3019"/>
      <c r="T6" s="3020"/>
      <c r="U6" s="3021"/>
      <c r="V6" s="3038"/>
      <c r="W6" s="3038"/>
      <c r="X6" s="1894"/>
      <c r="Y6" s="3020"/>
      <c r="Z6" s="3021"/>
      <c r="AA6" s="3029"/>
      <c r="AB6" s="3038"/>
      <c r="AC6" s="3029"/>
    </row>
    <row r="7" spans="1:29" s="35" customFormat="1" ht="15.75" thickBot="1">
      <c r="A7" s="387" t="s">
        <v>2350</v>
      </c>
      <c r="B7" s="388"/>
      <c r="C7" s="389">
        <f>'数据-取费表'!B2</f>
        <v>43647</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14" t="s">
        <v>2351</v>
      </c>
      <c r="Q7" s="3022"/>
      <c r="R7" s="748" t="s">
        <v>25</v>
      </c>
      <c r="S7" s="749">
        <f t="shared" ref="S7:S15" si="0">F7</f>
        <v>0</v>
      </c>
      <c r="T7" s="748" t="s">
        <v>25</v>
      </c>
      <c r="U7" s="749">
        <f t="shared" ref="U7:U15" si="1">H7</f>
        <v>0</v>
      </c>
      <c r="V7" s="748" t="s">
        <v>25</v>
      </c>
      <c r="W7" s="749">
        <f t="shared" ref="W7:W15" si="2">J7</f>
        <v>0</v>
      </c>
      <c r="X7" s="750"/>
      <c r="Y7" s="3014" t="s">
        <v>2351</v>
      </c>
      <c r="Z7" s="3015"/>
      <c r="AA7" s="751" t="e">
        <f>D7/F7</f>
        <v>#DIV/0!</v>
      </c>
      <c r="AB7" s="751" t="e">
        <f>D7/H7</f>
        <v>#DIV/0!</v>
      </c>
      <c r="AC7" s="751"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14" t="s">
        <v>2354</v>
      </c>
      <c r="Q8" s="3015"/>
      <c r="R8" s="748" t="s">
        <v>25</v>
      </c>
      <c r="S8" s="749">
        <f t="shared" si="0"/>
        <v>0</v>
      </c>
      <c r="T8" s="748" t="s">
        <v>25</v>
      </c>
      <c r="U8" s="749">
        <f t="shared" si="1"/>
        <v>0</v>
      </c>
      <c r="V8" s="748" t="s">
        <v>25</v>
      </c>
      <c r="W8" s="749">
        <f t="shared" si="2"/>
        <v>0</v>
      </c>
      <c r="X8" s="750"/>
      <c r="Y8" s="3014" t="s">
        <v>2354</v>
      </c>
      <c r="Z8" s="3015"/>
      <c r="AA8" s="751" t="e">
        <f t="shared" ref="AA8:AA46" si="3">D8/F8</f>
        <v>#DIV/0!</v>
      </c>
      <c r="AB8" s="751" t="e">
        <f t="shared" ref="AB8:AB46" si="4">D8/H8</f>
        <v>#DIV/0!</v>
      </c>
      <c r="AC8" s="751"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3"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3"/>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3"/>
      <c r="Q11" s="1881"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3"/>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3"/>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3"/>
      <c r="Q14" s="1881">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71.25">
      <c r="A15" s="419" t="s">
        <v>2361</v>
      </c>
      <c r="B15" s="26" t="s">
        <v>2447</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58" t="s">
        <v>2362</v>
      </c>
      <c r="Q15" s="1893" t="str">
        <f t="shared" si="6"/>
        <v>商业繁华度</v>
      </c>
      <c r="R15" s="752" t="s">
        <v>25</v>
      </c>
      <c r="S15" s="753">
        <f t="shared" si="0"/>
        <v>100</v>
      </c>
      <c r="T15" s="752" t="s">
        <v>25</v>
      </c>
      <c r="U15" s="753">
        <f t="shared" si="1"/>
        <v>100</v>
      </c>
      <c r="V15" s="752" t="s">
        <v>25</v>
      </c>
      <c r="W15" s="753">
        <f t="shared" si="2"/>
        <v>100</v>
      </c>
      <c r="X15" s="1894"/>
      <c r="Y15" s="3025" t="s">
        <v>2362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59"/>
      <c r="Q16" s="1893"/>
      <c r="R16" s="752"/>
      <c r="S16" s="753"/>
      <c r="T16" s="752"/>
      <c r="U16" s="753"/>
      <c r="V16" s="752"/>
      <c r="W16" s="753"/>
      <c r="X16" s="1894"/>
      <c r="Y16" s="3026"/>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59"/>
      <c r="Q17" s="1893" t="str">
        <f>B17</f>
        <v>交通便捷度</v>
      </c>
      <c r="R17" s="752" t="s">
        <v>25</v>
      </c>
      <c r="S17" s="753">
        <f>F17</f>
        <v>100</v>
      </c>
      <c r="T17" s="752" t="s">
        <v>25</v>
      </c>
      <c r="U17" s="753">
        <f>H17</f>
        <v>100</v>
      </c>
      <c r="V17" s="752" t="s">
        <v>25</v>
      </c>
      <c r="W17" s="753">
        <f>J17</f>
        <v>100</v>
      </c>
      <c r="X17" s="1894"/>
      <c r="Y17" s="3026"/>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059"/>
      <c r="Q18" s="1893"/>
      <c r="R18" s="752"/>
      <c r="S18" s="753"/>
      <c r="T18" s="752"/>
      <c r="U18" s="753"/>
      <c r="V18" s="752"/>
      <c r="W18" s="753"/>
      <c r="X18" s="1894"/>
      <c r="Y18" s="3026"/>
      <c r="Z18" s="1896"/>
      <c r="AA18" s="1897">
        <v>1</v>
      </c>
      <c r="AB18" s="1897">
        <v>1</v>
      </c>
      <c r="AC18" s="1897">
        <v>1</v>
      </c>
    </row>
    <row r="19" spans="1:29" ht="42.75">
      <c r="A19" s="408"/>
      <c r="B19" s="431" t="s">
        <v>2448</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59"/>
      <c r="Q19" s="1893" t="str">
        <f>B19</f>
        <v>公共配套设施</v>
      </c>
      <c r="R19" s="752" t="s">
        <v>25</v>
      </c>
      <c r="S19" s="753">
        <f>F19</f>
        <v>100</v>
      </c>
      <c r="T19" s="752" t="s">
        <v>25</v>
      </c>
      <c r="U19" s="753">
        <f>H19</f>
        <v>100</v>
      </c>
      <c r="V19" s="752" t="s">
        <v>25</v>
      </c>
      <c r="W19" s="753">
        <f>J19</f>
        <v>100</v>
      </c>
      <c r="X19" s="1894"/>
      <c r="Y19" s="3026"/>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059"/>
      <c r="Q20" s="1893"/>
      <c r="R20" s="752"/>
      <c r="S20" s="753"/>
      <c r="T20" s="752"/>
      <c r="U20" s="753"/>
      <c r="V20" s="752"/>
      <c r="W20" s="753"/>
      <c r="X20" s="1894"/>
      <c r="Y20" s="3026"/>
      <c r="Z20" s="1896"/>
      <c r="AA20" s="1897">
        <v>1</v>
      </c>
      <c r="AB20" s="1897">
        <v>1</v>
      </c>
      <c r="AC20" s="1897">
        <v>1</v>
      </c>
    </row>
    <row r="21" spans="1:29" ht="28.5">
      <c r="A21" s="408"/>
      <c r="B21" s="2404" t="s">
        <v>2449</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59"/>
      <c r="Q21" s="1893" t="str">
        <f>B21</f>
        <v>基础设施水平</v>
      </c>
      <c r="R21" s="752" t="s">
        <v>25</v>
      </c>
      <c r="S21" s="753">
        <f>F21</f>
        <v>100</v>
      </c>
      <c r="T21" s="752" t="s">
        <v>25</v>
      </c>
      <c r="U21" s="753">
        <f>H21</f>
        <v>100</v>
      </c>
      <c r="V21" s="752" t="s">
        <v>25</v>
      </c>
      <c r="W21" s="753">
        <f>J21</f>
        <v>100</v>
      </c>
      <c r="X21" s="1894"/>
      <c r="Y21" s="3026"/>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059"/>
      <c r="Q22" s="1893"/>
      <c r="R22" s="752"/>
      <c r="S22" s="753"/>
      <c r="T22" s="752"/>
      <c r="U22" s="753"/>
      <c r="V22" s="752"/>
      <c r="W22" s="753"/>
      <c r="X22" s="1894"/>
      <c r="Y22" s="3026"/>
      <c r="Z22" s="1896"/>
      <c r="AA22" s="1897">
        <v>1</v>
      </c>
      <c r="AB22" s="1897">
        <v>1</v>
      </c>
      <c r="AC22" s="1897">
        <v>1</v>
      </c>
    </row>
    <row r="23" spans="1:29" ht="57">
      <c r="A23" s="408"/>
      <c r="B23" s="431" t="s">
        <v>1752</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59"/>
      <c r="Q23" s="1893" t="str">
        <f>B23</f>
        <v>自然及人文环境</v>
      </c>
      <c r="R23" s="752" t="s">
        <v>25</v>
      </c>
      <c r="S23" s="753">
        <f>F23</f>
        <v>100</v>
      </c>
      <c r="T23" s="752" t="s">
        <v>25</v>
      </c>
      <c r="U23" s="753">
        <f>H23</f>
        <v>100</v>
      </c>
      <c r="V23" s="752" t="s">
        <v>25</v>
      </c>
      <c r="W23" s="753">
        <f>J23</f>
        <v>100</v>
      </c>
      <c r="X23" s="1894"/>
      <c r="Y23" s="3026"/>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059"/>
      <c r="Q24" s="1893"/>
      <c r="R24" s="752"/>
      <c r="S24" s="753"/>
      <c r="T24" s="752"/>
      <c r="U24" s="753"/>
      <c r="V24" s="752"/>
      <c r="W24" s="753"/>
      <c r="X24" s="1894"/>
      <c r="Y24" s="3026"/>
      <c r="Z24" s="1896"/>
      <c r="AA24" s="1897">
        <v>1</v>
      </c>
      <c r="AB24" s="1897">
        <v>1</v>
      </c>
      <c r="AC24" s="1897">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59"/>
      <c r="Q25" s="1893" t="str">
        <f t="shared" ref="Q25:Q46" si="11">B25</f>
        <v>临街状况</v>
      </c>
      <c r="R25" s="752" t="s">
        <v>25</v>
      </c>
      <c r="S25" s="753">
        <f>F25</f>
        <v>100</v>
      </c>
      <c r="T25" s="752" t="s">
        <v>25</v>
      </c>
      <c r="U25" s="753">
        <f>H25</f>
        <v>100</v>
      </c>
      <c r="V25" s="752" t="s">
        <v>25</v>
      </c>
      <c r="W25" s="753">
        <f>J25</f>
        <v>100</v>
      </c>
      <c r="X25" s="1894"/>
      <c r="Y25" s="3026"/>
      <c r="Z25" s="1896" t="str">
        <f>Q25</f>
        <v>临街状况</v>
      </c>
      <c r="AA25" s="1897">
        <f t="shared" si="3"/>
        <v>1</v>
      </c>
      <c r="AB25" s="1897">
        <f t="shared" si="4"/>
        <v>1</v>
      </c>
      <c r="AC25" s="1897">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59"/>
      <c r="Q26" s="1893" t="str">
        <f t="shared" si="11"/>
        <v>平面位置/可视性</v>
      </c>
      <c r="R26" s="752" t="s">
        <v>25</v>
      </c>
      <c r="S26" s="753">
        <f>F26</f>
        <v>100</v>
      </c>
      <c r="T26" s="752" t="s">
        <v>25</v>
      </c>
      <c r="U26" s="753">
        <f>H26</f>
        <v>100</v>
      </c>
      <c r="V26" s="752" t="s">
        <v>25</v>
      </c>
      <c r="W26" s="753">
        <f>J26</f>
        <v>100</v>
      </c>
      <c r="X26" s="1894"/>
      <c r="Y26" s="3026"/>
      <c r="Z26" s="1896" t="str">
        <f>Q26</f>
        <v>平面位置/可视性</v>
      </c>
      <c r="AA26" s="1897">
        <f t="shared" si="3"/>
        <v>1</v>
      </c>
      <c r="AB26" s="1897">
        <f t="shared" si="4"/>
        <v>1</v>
      </c>
      <c r="AC26" s="1897">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059"/>
      <c r="Q27" s="1881" t="str">
        <f t="shared" si="11"/>
        <v>人流量</v>
      </c>
      <c r="R27" s="748" t="s">
        <v>25</v>
      </c>
      <c r="S27" s="749">
        <f>F27</f>
        <v>100</v>
      </c>
      <c r="T27" s="748" t="s">
        <v>25</v>
      </c>
      <c r="U27" s="749">
        <f>H27</f>
        <v>100</v>
      </c>
      <c r="V27" s="748" t="s">
        <v>25</v>
      </c>
      <c r="W27" s="749">
        <f>J27</f>
        <v>100</v>
      </c>
      <c r="X27" s="750"/>
      <c r="Y27" s="3026"/>
      <c r="Z27" s="23" t="str">
        <f>Q27</f>
        <v>人流量</v>
      </c>
      <c r="AA27" s="1897">
        <f>D27/F27</f>
        <v>1</v>
      </c>
      <c r="AB27" s="1897">
        <f>D27/H27</f>
        <v>1</v>
      </c>
      <c r="AC27" s="1897">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5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26"/>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59"/>
      <c r="Q29" s="1893">
        <f t="shared" si="11"/>
        <v>111</v>
      </c>
      <c r="R29" s="752" t="s">
        <v>25</v>
      </c>
      <c r="S29" s="753">
        <f t="shared" si="12"/>
        <v>100</v>
      </c>
      <c r="T29" s="752" t="s">
        <v>25</v>
      </c>
      <c r="U29" s="753">
        <f t="shared" si="13"/>
        <v>100</v>
      </c>
      <c r="V29" s="752" t="s">
        <v>25</v>
      </c>
      <c r="W29" s="753">
        <f t="shared" si="14"/>
        <v>100</v>
      </c>
      <c r="X29" s="1894"/>
      <c r="Y29" s="3026"/>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59"/>
      <c r="Q30" s="1893">
        <f t="shared" si="11"/>
        <v>111</v>
      </c>
      <c r="R30" s="752" t="s">
        <v>25</v>
      </c>
      <c r="S30" s="753">
        <f t="shared" si="12"/>
        <v>100</v>
      </c>
      <c r="T30" s="752" t="s">
        <v>25</v>
      </c>
      <c r="U30" s="753">
        <f t="shared" si="13"/>
        <v>100</v>
      </c>
      <c r="V30" s="752" t="s">
        <v>25</v>
      </c>
      <c r="W30" s="753">
        <f t="shared" si="14"/>
        <v>100</v>
      </c>
      <c r="X30" s="1894"/>
      <c r="Y30" s="3026"/>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59"/>
      <c r="Q31" s="1893">
        <f t="shared" si="11"/>
        <v>111</v>
      </c>
      <c r="R31" s="752" t="s">
        <v>25</v>
      </c>
      <c r="S31" s="753">
        <f t="shared" si="12"/>
        <v>100</v>
      </c>
      <c r="T31" s="752" t="s">
        <v>25</v>
      </c>
      <c r="U31" s="753">
        <f t="shared" si="13"/>
        <v>100</v>
      </c>
      <c r="V31" s="752" t="s">
        <v>25</v>
      </c>
      <c r="W31" s="753">
        <f t="shared" si="14"/>
        <v>100</v>
      </c>
      <c r="X31" s="1894"/>
      <c r="Y31" s="3026"/>
      <c r="Z31" s="1896">
        <f t="shared" si="15"/>
        <v>111</v>
      </c>
      <c r="AA31" s="1897">
        <f t="shared" si="3"/>
        <v>1</v>
      </c>
      <c r="AB31" s="1897">
        <f t="shared" si="4"/>
        <v>1</v>
      </c>
      <c r="AC31" s="1897">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060" t="s">
        <v>2368</v>
      </c>
      <c r="Q32" s="1893" t="str">
        <f t="shared" si="11"/>
        <v>商业类型</v>
      </c>
      <c r="R32" s="752" t="s">
        <v>25</v>
      </c>
      <c r="S32" s="753">
        <f t="shared" si="12"/>
        <v>100</v>
      </c>
      <c r="T32" s="752" t="s">
        <v>25</v>
      </c>
      <c r="U32" s="753">
        <f t="shared" si="13"/>
        <v>100</v>
      </c>
      <c r="V32" s="752" t="s">
        <v>25</v>
      </c>
      <c r="W32" s="753">
        <f t="shared" si="14"/>
        <v>100</v>
      </c>
      <c r="X32" s="1894"/>
      <c r="Y32" s="3012" t="s">
        <v>2368</v>
      </c>
      <c r="Z32" s="1896" t="str">
        <f t="shared" si="15"/>
        <v>商业类型</v>
      </c>
      <c r="AA32" s="1897">
        <f t="shared" si="3"/>
        <v>1</v>
      </c>
      <c r="AB32" s="1897">
        <f t="shared" si="4"/>
        <v>1</v>
      </c>
      <c r="AC32" s="1897">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1"/>
      <c r="Q33" s="754" t="str">
        <f t="shared" si="11"/>
        <v>项目建筑规模</v>
      </c>
      <c r="R33" s="755" t="s">
        <v>25</v>
      </c>
      <c r="S33" s="756" t="e">
        <f t="shared" si="12"/>
        <v>#N/A</v>
      </c>
      <c r="T33" s="755" t="s">
        <v>25</v>
      </c>
      <c r="U33" s="756" t="e">
        <f t="shared" si="13"/>
        <v>#N/A</v>
      </c>
      <c r="V33" s="755" t="s">
        <v>25</v>
      </c>
      <c r="W33" s="756" t="e">
        <f t="shared" si="14"/>
        <v>#N/A</v>
      </c>
      <c r="X33" s="757"/>
      <c r="Y33" s="3012"/>
      <c r="Z33" s="758" t="str">
        <f t="shared" si="15"/>
        <v>项目建筑规模</v>
      </c>
      <c r="AA33" s="1897" t="e">
        <f t="shared" si="3"/>
        <v>#N/A</v>
      </c>
      <c r="AB33" s="1897" t="e">
        <f t="shared" si="4"/>
        <v>#N/A</v>
      </c>
      <c r="AC33" s="1897"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061"/>
      <c r="Q34" s="1893" t="str">
        <f t="shared" si="11"/>
        <v>建筑结构</v>
      </c>
      <c r="R34" s="752" t="s">
        <v>25</v>
      </c>
      <c r="S34" s="753">
        <f t="shared" si="12"/>
        <v>100</v>
      </c>
      <c r="T34" s="752" t="s">
        <v>25</v>
      </c>
      <c r="U34" s="753">
        <f t="shared" si="13"/>
        <v>100</v>
      </c>
      <c r="V34" s="752" t="s">
        <v>25</v>
      </c>
      <c r="W34" s="753">
        <f t="shared" si="14"/>
        <v>100</v>
      </c>
      <c r="X34" s="1894"/>
      <c r="Y34" s="3012"/>
      <c r="Z34" s="1896" t="str">
        <f t="shared" si="15"/>
        <v>建筑结构</v>
      </c>
      <c r="AA34" s="1897">
        <f t="shared" si="3"/>
        <v>1</v>
      </c>
      <c r="AB34" s="1897">
        <f t="shared" si="4"/>
        <v>1</v>
      </c>
      <c r="AC34" s="1897">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061"/>
      <c r="Q35" s="1893" t="str">
        <f t="shared" si="11"/>
        <v>公共部分装修</v>
      </c>
      <c r="R35" s="752" t="s">
        <v>25</v>
      </c>
      <c r="S35" s="753">
        <f t="shared" si="12"/>
        <v>100</v>
      </c>
      <c r="T35" s="752" t="s">
        <v>25</v>
      </c>
      <c r="U35" s="753">
        <f t="shared" si="13"/>
        <v>100</v>
      </c>
      <c r="V35" s="752" t="s">
        <v>25</v>
      </c>
      <c r="W35" s="753">
        <f t="shared" si="14"/>
        <v>100</v>
      </c>
      <c r="X35" s="1894"/>
      <c r="Y35" s="3012"/>
      <c r="Z35" s="1896" t="str">
        <f t="shared" si="15"/>
        <v>公共部分装修</v>
      </c>
      <c r="AA35" s="1897">
        <f t="shared" si="3"/>
        <v>1</v>
      </c>
      <c r="AB35" s="1897">
        <f t="shared" si="4"/>
        <v>1</v>
      </c>
      <c r="AC35" s="1897">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1"/>
      <c r="Q36" s="1893" t="str">
        <f t="shared" si="11"/>
        <v>成新度</v>
      </c>
      <c r="R36" s="752" t="s">
        <v>25</v>
      </c>
      <c r="S36" s="753" t="e">
        <f t="shared" si="12"/>
        <v>#N/A</v>
      </c>
      <c r="T36" s="752" t="s">
        <v>25</v>
      </c>
      <c r="U36" s="753" t="e">
        <f t="shared" si="13"/>
        <v>#N/A</v>
      </c>
      <c r="V36" s="752" t="s">
        <v>25</v>
      </c>
      <c r="W36" s="753" t="e">
        <f t="shared" si="14"/>
        <v>#N/A</v>
      </c>
      <c r="X36" s="1894"/>
      <c r="Y36" s="3012"/>
      <c r="Z36" s="1896" t="str">
        <f t="shared" si="15"/>
        <v>成新度</v>
      </c>
      <c r="AA36" s="1897" t="e">
        <f t="shared" si="3"/>
        <v>#N/A</v>
      </c>
      <c r="AB36" s="1897" t="e">
        <f t="shared" si="4"/>
        <v>#N/A</v>
      </c>
      <c r="AC36" s="1897"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061"/>
      <c r="Q37" s="1881" t="str">
        <f t="shared" si="11"/>
        <v>市政基础设施</v>
      </c>
      <c r="R37" s="748" t="s">
        <v>25</v>
      </c>
      <c r="S37" s="749">
        <f t="shared" si="12"/>
        <v>100</v>
      </c>
      <c r="T37" s="748" t="s">
        <v>25</v>
      </c>
      <c r="U37" s="749">
        <f t="shared" si="13"/>
        <v>100</v>
      </c>
      <c r="V37" s="748" t="s">
        <v>25</v>
      </c>
      <c r="W37" s="749">
        <f t="shared" si="14"/>
        <v>100</v>
      </c>
      <c r="X37" s="750"/>
      <c r="Y37" s="3012"/>
      <c r="Z37" s="23" t="str">
        <f t="shared" si="15"/>
        <v>市政基础设施</v>
      </c>
      <c r="AA37" s="751">
        <f t="shared" si="3"/>
        <v>1</v>
      </c>
      <c r="AB37" s="751">
        <f t="shared" si="4"/>
        <v>1</v>
      </c>
      <c r="AC37" s="751">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061" t="s">
        <v>2368</v>
      </c>
      <c r="Q38" s="1893" t="str">
        <f t="shared" si="11"/>
        <v>业态</v>
      </c>
      <c r="R38" s="752" t="s">
        <v>25</v>
      </c>
      <c r="S38" s="753">
        <f t="shared" si="12"/>
        <v>100</v>
      </c>
      <c r="T38" s="752" t="s">
        <v>25</v>
      </c>
      <c r="U38" s="753">
        <f t="shared" si="13"/>
        <v>100</v>
      </c>
      <c r="V38" s="752" t="s">
        <v>25</v>
      </c>
      <c r="W38" s="753">
        <f t="shared" si="14"/>
        <v>100</v>
      </c>
      <c r="X38" s="1894"/>
      <c r="Y38" s="3012" t="s">
        <v>2368</v>
      </c>
      <c r="Z38" s="1896" t="str">
        <f t="shared" si="15"/>
        <v>业态</v>
      </c>
      <c r="AA38" s="1897">
        <f t="shared" si="3"/>
        <v>1</v>
      </c>
      <c r="AB38" s="1897">
        <f t="shared" si="4"/>
        <v>1</v>
      </c>
      <c r="AC38" s="1897">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061"/>
      <c r="Q39" s="1893" t="str">
        <f t="shared" si="11"/>
        <v>层高</v>
      </c>
      <c r="R39" s="752" t="s">
        <v>25</v>
      </c>
      <c r="S39" s="753">
        <f t="shared" si="12"/>
        <v>100</v>
      </c>
      <c r="T39" s="752" t="s">
        <v>25</v>
      </c>
      <c r="U39" s="753">
        <f t="shared" si="13"/>
        <v>100</v>
      </c>
      <c r="V39" s="752" t="s">
        <v>25</v>
      </c>
      <c r="W39" s="753">
        <f t="shared" si="14"/>
        <v>100</v>
      </c>
      <c r="X39" s="1894"/>
      <c r="Y39" s="3012"/>
      <c r="Z39" s="1896" t="str">
        <f t="shared" si="15"/>
        <v>层高</v>
      </c>
      <c r="AA39" s="1897">
        <f t="shared" si="3"/>
        <v>1</v>
      </c>
      <c r="AB39" s="1897">
        <f t="shared" si="4"/>
        <v>1</v>
      </c>
      <c r="AC39" s="1897">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1"/>
      <c r="Q40" s="1893" t="str">
        <f t="shared" si="11"/>
        <v>单套建筑面积</v>
      </c>
      <c r="R40" s="752" t="s">
        <v>25</v>
      </c>
      <c r="S40" s="753">
        <f t="shared" si="12"/>
        <v>100</v>
      </c>
      <c r="T40" s="752" t="s">
        <v>25</v>
      </c>
      <c r="U40" s="753">
        <f t="shared" si="13"/>
        <v>100</v>
      </c>
      <c r="V40" s="752" t="s">
        <v>25</v>
      </c>
      <c r="W40" s="753">
        <f t="shared" si="14"/>
        <v>100</v>
      </c>
      <c r="X40" s="1894"/>
      <c r="Y40" s="3012"/>
      <c r="Z40" s="1896" t="str">
        <f t="shared" si="15"/>
        <v>单套建筑面积</v>
      </c>
      <c r="AA40" s="1897">
        <f t="shared" si="3"/>
        <v>1</v>
      </c>
      <c r="AB40" s="1897">
        <f t="shared" si="4"/>
        <v>1</v>
      </c>
      <c r="AC40" s="1897">
        <f t="shared" si="5"/>
        <v>1</v>
      </c>
    </row>
    <row r="41" spans="1:29" s="452" customFormat="1" ht="15">
      <c r="A41" s="449"/>
      <c r="B41" s="1898"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1"/>
      <c r="Q41" s="754" t="str">
        <f t="shared" si="11"/>
        <v>进深比</v>
      </c>
      <c r="R41" s="755" t="s">
        <v>25</v>
      </c>
      <c r="S41" s="756">
        <f t="shared" si="12"/>
        <v>100</v>
      </c>
      <c r="T41" s="755" t="s">
        <v>25</v>
      </c>
      <c r="U41" s="756">
        <f t="shared" si="13"/>
        <v>100</v>
      </c>
      <c r="V41" s="755" t="s">
        <v>25</v>
      </c>
      <c r="W41" s="756">
        <f t="shared" si="14"/>
        <v>100</v>
      </c>
      <c r="X41" s="757"/>
      <c r="Y41" s="3012"/>
      <c r="Z41" s="758" t="str">
        <f t="shared" si="15"/>
        <v>进深比</v>
      </c>
      <c r="AA41" s="1897">
        <f t="shared" si="3"/>
        <v>1</v>
      </c>
      <c r="AB41" s="1897">
        <f t="shared" si="4"/>
        <v>1</v>
      </c>
      <c r="AC41" s="1897">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061"/>
      <c r="Q42" s="1893" t="str">
        <f t="shared" si="11"/>
        <v>内部装修</v>
      </c>
      <c r="R42" s="752" t="s">
        <v>25</v>
      </c>
      <c r="S42" s="753">
        <f t="shared" si="12"/>
        <v>100</v>
      </c>
      <c r="T42" s="752" t="s">
        <v>25</v>
      </c>
      <c r="U42" s="753">
        <f t="shared" si="13"/>
        <v>100</v>
      </c>
      <c r="V42" s="752" t="s">
        <v>25</v>
      </c>
      <c r="W42" s="753">
        <f t="shared" si="14"/>
        <v>100</v>
      </c>
      <c r="X42" s="1894"/>
      <c r="Y42" s="3012"/>
      <c r="Z42" s="1896" t="str">
        <f t="shared" si="15"/>
        <v>内部装修</v>
      </c>
      <c r="AA42" s="1897">
        <f t="shared" si="3"/>
        <v>1</v>
      </c>
      <c r="AB42" s="1897">
        <f t="shared" si="4"/>
        <v>1</v>
      </c>
      <c r="AC42" s="1897">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061"/>
      <c r="Q43" s="1893" t="str">
        <f t="shared" si="11"/>
        <v>内部装修维护情况</v>
      </c>
      <c r="R43" s="752" t="s">
        <v>25</v>
      </c>
      <c r="S43" s="753">
        <f t="shared" si="12"/>
        <v>100</v>
      </c>
      <c r="T43" s="752" t="s">
        <v>25</v>
      </c>
      <c r="U43" s="753">
        <f t="shared" si="13"/>
        <v>100</v>
      </c>
      <c r="V43" s="752" t="s">
        <v>25</v>
      </c>
      <c r="W43" s="753">
        <f t="shared" si="14"/>
        <v>100</v>
      </c>
      <c r="X43" s="1894"/>
      <c r="Y43" s="3012"/>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1"/>
      <c r="Q44" s="1881">
        <f t="shared" si="11"/>
        <v>111</v>
      </c>
      <c r="R44" s="748" t="s">
        <v>25</v>
      </c>
      <c r="S44" s="749">
        <f t="shared" si="12"/>
        <v>100</v>
      </c>
      <c r="T44" s="748" t="s">
        <v>25</v>
      </c>
      <c r="U44" s="749">
        <f t="shared" si="13"/>
        <v>100</v>
      </c>
      <c r="V44" s="748" t="s">
        <v>25</v>
      </c>
      <c r="W44" s="749">
        <f t="shared" si="14"/>
        <v>100</v>
      </c>
      <c r="X44" s="750"/>
      <c r="Y44" s="3012"/>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1"/>
      <c r="Q45" s="1893">
        <f t="shared" si="11"/>
        <v>111</v>
      </c>
      <c r="R45" s="752" t="s">
        <v>25</v>
      </c>
      <c r="S45" s="753">
        <f t="shared" si="12"/>
        <v>100</v>
      </c>
      <c r="T45" s="752" t="s">
        <v>25</v>
      </c>
      <c r="U45" s="753">
        <f t="shared" si="13"/>
        <v>100</v>
      </c>
      <c r="V45" s="752" t="s">
        <v>25</v>
      </c>
      <c r="W45" s="753">
        <f t="shared" si="14"/>
        <v>100</v>
      </c>
      <c r="X45" s="1894"/>
      <c r="Y45" s="3012"/>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2"/>
      <c r="Q46" s="1893">
        <f t="shared" si="11"/>
        <v>111</v>
      </c>
      <c r="R46" s="752" t="s">
        <v>25</v>
      </c>
      <c r="S46" s="753">
        <f t="shared" si="12"/>
        <v>100</v>
      </c>
      <c r="T46" s="752" t="s">
        <v>25</v>
      </c>
      <c r="U46" s="753">
        <f t="shared" si="13"/>
        <v>100</v>
      </c>
      <c r="V46" s="752" t="s">
        <v>25</v>
      </c>
      <c r="W46" s="753">
        <f t="shared" si="14"/>
        <v>100</v>
      </c>
      <c r="X46" s="1894"/>
      <c r="Y46" s="3013"/>
      <c r="Z46" s="1896">
        <f t="shared" si="15"/>
        <v>111</v>
      </c>
      <c r="AA46" s="1897">
        <f t="shared" si="3"/>
        <v>1</v>
      </c>
      <c r="AB46" s="1897">
        <f t="shared" si="4"/>
        <v>1</v>
      </c>
      <c r="AC46" s="1897">
        <f t="shared" si="5"/>
        <v>1</v>
      </c>
    </row>
    <row r="47" spans="1:29" ht="15">
      <c r="A47" s="460" t="s">
        <v>2380</v>
      </c>
      <c r="B47" s="461"/>
      <c r="C47" s="1497" t="s">
        <v>1</v>
      </c>
      <c r="D47" s="1498"/>
      <c r="E47" s="1499"/>
      <c r="F47" s="1500"/>
      <c r="G47" s="1501"/>
      <c r="H47" s="1502"/>
      <c r="I47" s="1499"/>
      <c r="J47" s="1502"/>
      <c r="K47" s="761"/>
      <c r="L47" s="1251"/>
      <c r="M47" s="1252"/>
      <c r="N47" s="1239"/>
      <c r="O47" s="1252"/>
      <c r="P47" s="3005" t="str">
        <f>A47</f>
        <v>成交单价（元/平方米）</v>
      </c>
      <c r="Q47" s="3005"/>
      <c r="R47" s="3006">
        <f>E47</f>
        <v>0</v>
      </c>
      <c r="S47" s="3006"/>
      <c r="T47" s="3006">
        <f>G47</f>
        <v>0</v>
      </c>
      <c r="U47" s="3006"/>
      <c r="V47" s="3006">
        <f>I47</f>
        <v>0</v>
      </c>
      <c r="W47" s="3006"/>
      <c r="X47" s="737"/>
      <c r="Y47" s="759"/>
      <c r="Z47" s="737"/>
      <c r="AA47" s="737"/>
      <c r="AB47" s="737"/>
      <c r="AC47" s="737"/>
    </row>
    <row r="48" spans="1:29" ht="15.75" thickBot="1">
      <c r="A48" s="467" t="s">
        <v>2463</v>
      </c>
      <c r="B48" s="468"/>
      <c r="C48" s="1503" t="e">
        <f>R49</f>
        <v>#DIV/0!</v>
      </c>
      <c r="D48" s="1504"/>
      <c r="E48" s="1505" t="e">
        <f>R48</f>
        <v>#DIV/0!</v>
      </c>
      <c r="F48" s="1505"/>
      <c r="G48" s="1503" t="e">
        <f>T48</f>
        <v>#DIV/0!</v>
      </c>
      <c r="H48" s="1504"/>
      <c r="I48" s="1505" t="e">
        <f>V48</f>
        <v>#DIV/0!</v>
      </c>
      <c r="J48" s="1504"/>
      <c r="K48" s="762"/>
      <c r="L48" s="1251"/>
      <c r="M48" s="1252"/>
      <c r="N48" s="1239"/>
      <c r="O48" s="1252"/>
      <c r="P48" s="3005" t="str">
        <f>A48</f>
        <v>比较价值（元/平方米）</v>
      </c>
      <c r="Q48" s="3005"/>
      <c r="R48" s="3006" t="e">
        <f>IF(E1="售价",ROUND(PRODUCT(R47,AA7:AA46),0),ROUND(PRODUCT(R47,AA7:AA46),1))</f>
        <v>#DIV/0!</v>
      </c>
      <c r="S48" s="3006"/>
      <c r="T48" s="3006" t="e">
        <f>IF(E1="售价",ROUND(PRODUCT(T47,AB7:AB46),0),ROUND(PRODUCT(T47,AB7:AB46),1))</f>
        <v>#DIV/0!</v>
      </c>
      <c r="U48" s="3006"/>
      <c r="V48" s="3006" t="e">
        <f>IF(E1="售价",ROUND(PRODUCT(V47,AC7:AC46),0),ROUND(PRODUCT(V47,AC7:AC46),1))</f>
        <v>#DIV/0!</v>
      </c>
      <c r="W48" s="3006"/>
      <c r="X48" s="737"/>
      <c r="Y48" s="737"/>
      <c r="Z48" s="737"/>
      <c r="AA48" s="737"/>
      <c r="AB48" s="737"/>
      <c r="AC48" s="737"/>
    </row>
    <row r="49" spans="1:29" ht="15.75" thickBot="1">
      <c r="A49" s="473" t="s">
        <v>2464</v>
      </c>
      <c r="B49" s="474"/>
      <c r="C49" s="1507" t="e">
        <f>R49</f>
        <v>#DIV/0!</v>
      </c>
      <c r="D49" s="1507"/>
      <c r="E49" s="1507"/>
      <c r="F49" s="1507"/>
      <c r="G49" s="1507"/>
      <c r="H49" s="1507"/>
      <c r="I49" s="1507"/>
      <c r="J49" s="1507"/>
      <c r="K49" s="763"/>
      <c r="L49" s="1251"/>
      <c r="M49" s="1252"/>
      <c r="N49" s="1239"/>
      <c r="O49" s="1252"/>
      <c r="P49" s="3057" t="str">
        <f>A49</f>
        <v>估价对象XX用房的比较价值（楼面单价，元/平方米）</v>
      </c>
      <c r="Q49" s="3004"/>
      <c r="R49" s="3008" t="e">
        <f>IF(E1="售价",ROUND(AVERAGE(R48:V48),0),ROUND(AVERAGE(R48:V48),1))</f>
        <v>#DIV/0!</v>
      </c>
      <c r="S49" s="3008"/>
      <c r="T49" s="3008"/>
      <c r="U49" s="3008"/>
      <c r="V49" s="3008"/>
      <c r="W49" s="300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1" t="s">
        <v>2468</v>
      </c>
      <c r="B57" s="737"/>
      <c r="C57" s="742"/>
      <c r="D57" s="742"/>
      <c r="E57" s="742"/>
      <c r="F57" s="743"/>
      <c r="G57" s="743"/>
      <c r="H57" s="742"/>
      <c r="I57" s="742"/>
      <c r="J57" s="742"/>
      <c r="K57" s="744"/>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2019-7</v>
      </c>
      <c r="D58" s="1674">
        <f>EDATE(C58,-1)</f>
        <v>43617</v>
      </c>
      <c r="E58" s="1674">
        <f t="shared" ref="E58:O58" si="16">EDATE(D58,-1)</f>
        <v>43586</v>
      </c>
      <c r="F58" s="1674">
        <f t="shared" si="16"/>
        <v>43556</v>
      </c>
      <c r="G58" s="1674">
        <f t="shared" si="16"/>
        <v>43525</v>
      </c>
      <c r="H58" s="1674">
        <f t="shared" si="16"/>
        <v>43497</v>
      </c>
      <c r="I58" s="1674">
        <f t="shared" si="16"/>
        <v>43466</v>
      </c>
      <c r="J58" s="1674">
        <f t="shared" si="16"/>
        <v>43435</v>
      </c>
      <c r="K58" s="1674">
        <f t="shared" si="16"/>
        <v>43405</v>
      </c>
      <c r="L58" s="1674">
        <f t="shared" si="16"/>
        <v>43374</v>
      </c>
      <c r="M58" s="1674">
        <f t="shared" si="16"/>
        <v>43344</v>
      </c>
      <c r="N58" s="1674">
        <f t="shared" si="16"/>
        <v>43313</v>
      </c>
      <c r="O58" s="1674">
        <f t="shared" si="16"/>
        <v>43282</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2391</v>
      </c>
      <c r="B63" s="509" t="s">
        <v>2356</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2469</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2366</v>
      </c>
      <c r="B100" s="509" t="s">
        <v>2470</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2417</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2419</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2471</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2472</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2473</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2424</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8"/>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2336</v>
      </c>
      <c r="D3" s="378">
        <f>IF(C1="仅计算典型户型",'数据-取费表'!E5,'数据-取费表'!B5)</f>
        <v>1024.48</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2337</v>
      </c>
      <c r="B4" s="381"/>
      <c r="C4" s="3030" t="s">
        <v>2338</v>
      </c>
      <c r="D4" s="3031"/>
      <c r="E4" s="3032" t="s">
        <v>2339</v>
      </c>
      <c r="F4" s="3033"/>
      <c r="G4" s="3030" t="s">
        <v>2340</v>
      </c>
      <c r="H4" s="3031"/>
      <c r="I4" s="3030" t="s">
        <v>2341</v>
      </c>
      <c r="J4" s="3031"/>
      <c r="K4" s="594"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28" t="s">
        <v>2340</v>
      </c>
      <c r="AC4" s="3027" t="s">
        <v>2341</v>
      </c>
    </row>
    <row r="5" spans="1:29" ht="15">
      <c r="A5" s="383"/>
      <c r="B5" s="384"/>
      <c r="C5" s="3041" t="s">
        <v>2344</v>
      </c>
      <c r="D5" s="3042"/>
      <c r="E5" s="3067" t="s">
        <v>2345</v>
      </c>
      <c r="F5" s="3040"/>
      <c r="G5" s="3041" t="s">
        <v>2346</v>
      </c>
      <c r="H5" s="3042"/>
      <c r="I5" s="3041" t="s">
        <v>2347</v>
      </c>
      <c r="J5" s="3042"/>
      <c r="K5" s="594"/>
      <c r="L5" s="1238"/>
      <c r="M5" s="1239"/>
      <c r="N5" s="1239"/>
      <c r="O5" s="1239"/>
      <c r="P5" s="3065"/>
      <c r="Q5" s="3024"/>
      <c r="R5" s="3018"/>
      <c r="S5" s="3019"/>
      <c r="T5" s="3018"/>
      <c r="U5" s="3019"/>
      <c r="V5" s="3038"/>
      <c r="W5" s="3038"/>
      <c r="X5" s="1894"/>
      <c r="Y5" s="3018"/>
      <c r="Z5" s="3019"/>
      <c r="AA5" s="3028"/>
      <c r="AB5" s="3028"/>
      <c r="AC5" s="3028"/>
    </row>
    <row r="6" spans="1:29" ht="15.75" thickBot="1">
      <c r="A6" s="385"/>
      <c r="B6" s="386"/>
      <c r="C6" s="3043" t="s">
        <v>2348</v>
      </c>
      <c r="D6" s="3044"/>
      <c r="E6" s="3047" t="s">
        <v>2348</v>
      </c>
      <c r="F6" s="3048"/>
      <c r="G6" s="3043" t="s">
        <v>2348</v>
      </c>
      <c r="H6" s="3044"/>
      <c r="I6" s="3043" t="s">
        <v>2348</v>
      </c>
      <c r="J6" s="3044"/>
      <c r="K6" s="594" t="s">
        <v>2349</v>
      </c>
      <c r="L6" s="1238"/>
      <c r="M6" s="1239"/>
      <c r="N6" s="1239"/>
      <c r="O6" s="1239"/>
      <c r="P6" s="306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14" t="s">
        <v>2351</v>
      </c>
      <c r="Q7" s="3022"/>
      <c r="R7" s="748" t="s">
        <v>25</v>
      </c>
      <c r="S7" s="749">
        <f t="shared" ref="S7:S15" si="0">F7</f>
        <v>0</v>
      </c>
      <c r="T7" s="748" t="s">
        <v>25</v>
      </c>
      <c r="U7" s="749">
        <f t="shared" ref="U7:U15" si="1">H7</f>
        <v>0</v>
      </c>
      <c r="V7" s="748" t="s">
        <v>25</v>
      </c>
      <c r="W7" s="749">
        <f t="shared" ref="W7:W15" si="2">J7</f>
        <v>0</v>
      </c>
      <c r="X7" s="750"/>
      <c r="Y7" s="3014" t="s">
        <v>2351</v>
      </c>
      <c r="Z7" s="3015"/>
      <c r="AA7" s="751" t="e">
        <f>D7/F7</f>
        <v>#DIV/0!</v>
      </c>
      <c r="AB7" s="751" t="e">
        <f>D7/H7</f>
        <v>#DIV/0!</v>
      </c>
      <c r="AC7" s="751"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14" t="s">
        <v>2354</v>
      </c>
      <c r="Q8" s="3015"/>
      <c r="R8" s="748" t="s">
        <v>25</v>
      </c>
      <c r="S8" s="749">
        <f t="shared" si="0"/>
        <v>100</v>
      </c>
      <c r="T8" s="748" t="s">
        <v>25</v>
      </c>
      <c r="U8" s="749">
        <f t="shared" si="1"/>
        <v>100</v>
      </c>
      <c r="V8" s="748" t="s">
        <v>25</v>
      </c>
      <c r="W8" s="749">
        <f t="shared" si="2"/>
        <v>100</v>
      </c>
      <c r="X8" s="750"/>
      <c r="Y8" s="3014" t="s">
        <v>2354</v>
      </c>
      <c r="Z8" s="3015"/>
      <c r="AA8" s="751">
        <f t="shared" ref="AA8:AA40" si="3">D8/F8</f>
        <v>1</v>
      </c>
      <c r="AB8" s="751">
        <f t="shared" ref="AB8:AB40" si="4">D8/H8</f>
        <v>1</v>
      </c>
      <c r="AC8" s="751">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05"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05"/>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05"/>
      <c r="Q11" s="1881"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005"/>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005"/>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005"/>
      <c r="Q14" s="1881">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25" t="s">
        <v>2362</v>
      </c>
      <c r="Q15" s="1893" t="str">
        <f t="shared" si="6"/>
        <v>产业集聚程度</v>
      </c>
      <c r="R15" s="752" t="s">
        <v>25</v>
      </c>
      <c r="S15" s="753">
        <f t="shared" si="0"/>
        <v>100</v>
      </c>
      <c r="T15" s="752" t="s">
        <v>25</v>
      </c>
      <c r="U15" s="753">
        <f t="shared" si="1"/>
        <v>100</v>
      </c>
      <c r="V15" s="752" t="s">
        <v>25</v>
      </c>
      <c r="W15" s="753">
        <f t="shared" si="2"/>
        <v>100</v>
      </c>
      <c r="X15" s="1894"/>
      <c r="Y15" s="3025" t="s">
        <v>2362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26"/>
      <c r="Q16" s="1893"/>
      <c r="R16" s="752"/>
      <c r="S16" s="753"/>
      <c r="T16" s="752"/>
      <c r="U16" s="753"/>
      <c r="V16" s="752"/>
      <c r="W16" s="753"/>
      <c r="X16" s="1894"/>
      <c r="Y16" s="3026"/>
      <c r="Z16" s="1896"/>
      <c r="AA16" s="1897">
        <v>1</v>
      </c>
      <c r="AB16" s="1897">
        <v>1</v>
      </c>
      <c r="AC16" s="1897">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26"/>
      <c r="Q17" s="1893" t="str">
        <f>B17</f>
        <v>交通便捷度</v>
      </c>
      <c r="R17" s="752" t="s">
        <v>25</v>
      </c>
      <c r="S17" s="753">
        <f>F17</f>
        <v>100</v>
      </c>
      <c r="T17" s="752" t="s">
        <v>25</v>
      </c>
      <c r="U17" s="753">
        <f>H17</f>
        <v>100</v>
      </c>
      <c r="V17" s="752" t="s">
        <v>25</v>
      </c>
      <c r="W17" s="753">
        <f>J17</f>
        <v>100</v>
      </c>
      <c r="X17" s="1894"/>
      <c r="Y17" s="3026"/>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026"/>
      <c r="Q18" s="1893"/>
      <c r="R18" s="752"/>
      <c r="S18" s="753"/>
      <c r="T18" s="752"/>
      <c r="U18" s="753"/>
      <c r="V18" s="752"/>
      <c r="W18" s="753"/>
      <c r="X18" s="1894"/>
      <c r="Y18" s="3026"/>
      <c r="Z18" s="1896"/>
      <c r="AA18" s="1897">
        <v>1</v>
      </c>
      <c r="AB18" s="1897">
        <v>1</v>
      </c>
      <c r="AC18" s="1897">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26"/>
      <c r="Q19" s="1893" t="str">
        <f>B19</f>
        <v>公共配套设施</v>
      </c>
      <c r="R19" s="752" t="s">
        <v>25</v>
      </c>
      <c r="S19" s="753">
        <f>F19</f>
        <v>100</v>
      </c>
      <c r="T19" s="752" t="s">
        <v>25</v>
      </c>
      <c r="U19" s="753">
        <f>H19</f>
        <v>100</v>
      </c>
      <c r="V19" s="752" t="s">
        <v>25</v>
      </c>
      <c r="W19" s="753">
        <f>J19</f>
        <v>100</v>
      </c>
      <c r="X19" s="1894"/>
      <c r="Y19" s="3026"/>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026"/>
      <c r="Q20" s="1893"/>
      <c r="R20" s="752"/>
      <c r="S20" s="753"/>
      <c r="T20" s="752"/>
      <c r="U20" s="753"/>
      <c r="V20" s="752"/>
      <c r="W20" s="753"/>
      <c r="X20" s="1894"/>
      <c r="Y20" s="3026"/>
      <c r="Z20" s="1896"/>
      <c r="AA20" s="1897">
        <v>1</v>
      </c>
      <c r="AB20" s="1897">
        <v>1</v>
      </c>
      <c r="AC20" s="1897">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26"/>
      <c r="Q21" s="1893" t="str">
        <f>B21</f>
        <v>基础设施水平</v>
      </c>
      <c r="R21" s="752" t="s">
        <v>25</v>
      </c>
      <c r="S21" s="753">
        <f>F21</f>
        <v>100</v>
      </c>
      <c r="T21" s="752" t="s">
        <v>25</v>
      </c>
      <c r="U21" s="753">
        <f>H21</f>
        <v>100</v>
      </c>
      <c r="V21" s="752" t="s">
        <v>25</v>
      </c>
      <c r="W21" s="753">
        <f>J21</f>
        <v>100</v>
      </c>
      <c r="X21" s="1894"/>
      <c r="Y21" s="3026"/>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026"/>
      <c r="Q22" s="1893"/>
      <c r="R22" s="752"/>
      <c r="S22" s="753"/>
      <c r="T22" s="752"/>
      <c r="U22" s="753"/>
      <c r="V22" s="752"/>
      <c r="W22" s="753"/>
      <c r="X22" s="1894"/>
      <c r="Y22" s="3026"/>
      <c r="Z22" s="1896"/>
      <c r="AA22" s="1897">
        <v>1</v>
      </c>
      <c r="AB22" s="1897">
        <v>1</v>
      </c>
      <c r="AC22" s="1897">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26"/>
      <c r="Q23" s="1893" t="str">
        <f>B23</f>
        <v>环境质量</v>
      </c>
      <c r="R23" s="752" t="s">
        <v>25</v>
      </c>
      <c r="S23" s="753">
        <f>F23</f>
        <v>100</v>
      </c>
      <c r="T23" s="752" t="s">
        <v>25</v>
      </c>
      <c r="U23" s="753">
        <f>H23</f>
        <v>100</v>
      </c>
      <c r="V23" s="752" t="s">
        <v>25</v>
      </c>
      <c r="W23" s="753">
        <f>J23</f>
        <v>100</v>
      </c>
      <c r="X23" s="1894"/>
      <c r="Y23" s="3026"/>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026"/>
      <c r="Q24" s="1893"/>
      <c r="R24" s="752"/>
      <c r="S24" s="753"/>
      <c r="T24" s="752"/>
      <c r="U24" s="753"/>
      <c r="V24" s="752"/>
      <c r="W24" s="753"/>
      <c r="X24" s="1894"/>
      <c r="Y24" s="3026"/>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26"/>
      <c r="Q25" s="1893">
        <f>B25</f>
        <v>111</v>
      </c>
      <c r="R25" s="752" t="s">
        <v>25</v>
      </c>
      <c r="S25" s="753">
        <f>F25</f>
        <v>100</v>
      </c>
      <c r="T25" s="752" t="s">
        <v>25</v>
      </c>
      <c r="U25" s="753">
        <f>H25</f>
        <v>100</v>
      </c>
      <c r="V25" s="752" t="s">
        <v>25</v>
      </c>
      <c r="W25" s="753">
        <f>J25</f>
        <v>100</v>
      </c>
      <c r="X25" s="1894"/>
      <c r="Y25" s="3026"/>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26"/>
      <c r="Q26" s="1893">
        <f t="shared" ref="Q26:Q40" si="11">B26</f>
        <v>111</v>
      </c>
      <c r="R26" s="752" t="s">
        <v>25</v>
      </c>
      <c r="S26" s="753">
        <f>F26</f>
        <v>100</v>
      </c>
      <c r="T26" s="752" t="s">
        <v>25</v>
      </c>
      <c r="U26" s="753">
        <f>H26</f>
        <v>100</v>
      </c>
      <c r="V26" s="752" t="s">
        <v>25</v>
      </c>
      <c r="W26" s="753">
        <f>J26</f>
        <v>100</v>
      </c>
      <c r="X26" s="1894"/>
      <c r="Y26" s="3026"/>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26"/>
      <c r="Q27" s="1881">
        <f t="shared" si="11"/>
        <v>111</v>
      </c>
      <c r="R27" s="748" t="s">
        <v>25</v>
      </c>
      <c r="S27" s="749">
        <f>F27</f>
        <v>100</v>
      </c>
      <c r="T27" s="748" t="s">
        <v>25</v>
      </c>
      <c r="U27" s="749">
        <f>H27</f>
        <v>100</v>
      </c>
      <c r="V27" s="748" t="s">
        <v>25</v>
      </c>
      <c r="W27" s="749">
        <f>J27</f>
        <v>100</v>
      </c>
      <c r="X27" s="750"/>
      <c r="Y27" s="3026"/>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26"/>
      <c r="Q28" s="1893">
        <f t="shared" si="11"/>
        <v>111</v>
      </c>
      <c r="R28" s="752" t="s">
        <v>25</v>
      </c>
      <c r="S28" s="753">
        <f t="shared" ref="S28:S40" si="12">F28</f>
        <v>100</v>
      </c>
      <c r="T28" s="752" t="s">
        <v>25</v>
      </c>
      <c r="U28" s="753">
        <f t="shared" ref="U28:U40" si="13">H28</f>
        <v>100</v>
      </c>
      <c r="V28" s="752" t="s">
        <v>25</v>
      </c>
      <c r="W28" s="753">
        <f t="shared" ref="W28:W40" si="14">J28</f>
        <v>100</v>
      </c>
      <c r="X28" s="1894"/>
      <c r="Y28" s="3026"/>
      <c r="Z28" s="1896">
        <f t="shared" ref="Z28:Z40" si="15">Q28</f>
        <v>111</v>
      </c>
      <c r="AA28" s="1897">
        <f t="shared" si="3"/>
        <v>1</v>
      </c>
      <c r="AB28" s="1897">
        <f t="shared" si="4"/>
        <v>1</v>
      </c>
      <c r="AC28" s="1897">
        <f t="shared" si="5"/>
        <v>1</v>
      </c>
    </row>
    <row r="29" spans="1:29" ht="28.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068" t="s">
        <v>2368</v>
      </c>
      <c r="Q29" s="1893" t="str">
        <f t="shared" si="11"/>
        <v>建筑类型</v>
      </c>
      <c r="R29" s="752" t="s">
        <v>25</v>
      </c>
      <c r="S29" s="753">
        <f t="shared" si="12"/>
        <v>100</v>
      </c>
      <c r="T29" s="752" t="s">
        <v>25</v>
      </c>
      <c r="U29" s="753">
        <f t="shared" si="13"/>
        <v>100</v>
      </c>
      <c r="V29" s="752" t="s">
        <v>25</v>
      </c>
      <c r="W29" s="753">
        <f t="shared" si="14"/>
        <v>100</v>
      </c>
      <c r="X29" s="1894"/>
      <c r="Y29" s="3012" t="s">
        <v>2368</v>
      </c>
      <c r="Z29" s="1896" t="str">
        <f t="shared" si="15"/>
        <v>建筑类型</v>
      </c>
      <c r="AA29" s="1897">
        <f t="shared" si="3"/>
        <v>1</v>
      </c>
      <c r="AB29" s="1897">
        <f t="shared" si="4"/>
        <v>1</v>
      </c>
      <c r="AC29" s="1897">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12"/>
      <c r="Q30" s="754" t="str">
        <f t="shared" si="11"/>
        <v>项目建筑规模</v>
      </c>
      <c r="R30" s="755" t="s">
        <v>25</v>
      </c>
      <c r="S30" s="756" t="e">
        <f t="shared" si="12"/>
        <v>#N/A</v>
      </c>
      <c r="T30" s="755" t="s">
        <v>25</v>
      </c>
      <c r="U30" s="756" t="e">
        <f t="shared" si="13"/>
        <v>#N/A</v>
      </c>
      <c r="V30" s="755" t="s">
        <v>25</v>
      </c>
      <c r="W30" s="756" t="e">
        <f t="shared" si="14"/>
        <v>#N/A</v>
      </c>
      <c r="X30" s="757"/>
      <c r="Y30" s="3012"/>
      <c r="Z30" s="758" t="str">
        <f t="shared" si="15"/>
        <v>项目建筑规模</v>
      </c>
      <c r="AA30" s="1897" t="e">
        <f t="shared" si="3"/>
        <v>#N/A</v>
      </c>
      <c r="AB30" s="1897" t="e">
        <f t="shared" si="4"/>
        <v>#N/A</v>
      </c>
      <c r="AC30" s="1897"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12"/>
      <c r="Q31" s="1893" t="str">
        <f t="shared" si="11"/>
        <v>建筑结构</v>
      </c>
      <c r="R31" s="752" t="s">
        <v>25</v>
      </c>
      <c r="S31" s="753">
        <f t="shared" si="12"/>
        <v>100</v>
      </c>
      <c r="T31" s="752" t="s">
        <v>25</v>
      </c>
      <c r="U31" s="753">
        <f t="shared" si="13"/>
        <v>100</v>
      </c>
      <c r="V31" s="752" t="s">
        <v>25</v>
      </c>
      <c r="W31" s="753">
        <f t="shared" si="14"/>
        <v>100</v>
      </c>
      <c r="X31" s="1894"/>
      <c r="Y31" s="3012"/>
      <c r="Z31" s="1896" t="str">
        <f t="shared" si="15"/>
        <v>建筑结构</v>
      </c>
      <c r="AA31" s="1897">
        <f t="shared" si="3"/>
        <v>1</v>
      </c>
      <c r="AB31" s="1897">
        <f t="shared" si="4"/>
        <v>1</v>
      </c>
      <c r="AC31" s="1897">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12"/>
      <c r="Q32" s="1893" t="str">
        <f t="shared" si="11"/>
        <v>公共部分装修</v>
      </c>
      <c r="R32" s="752" t="s">
        <v>25</v>
      </c>
      <c r="S32" s="753">
        <f t="shared" si="12"/>
        <v>100</v>
      </c>
      <c r="T32" s="752" t="s">
        <v>25</v>
      </c>
      <c r="U32" s="753">
        <f t="shared" si="13"/>
        <v>100</v>
      </c>
      <c r="V32" s="752" t="s">
        <v>25</v>
      </c>
      <c r="W32" s="753">
        <f t="shared" si="14"/>
        <v>100</v>
      </c>
      <c r="X32" s="1894"/>
      <c r="Y32" s="3012"/>
      <c r="Z32" s="1896" t="str">
        <f t="shared" si="15"/>
        <v>公共部分装修</v>
      </c>
      <c r="AA32" s="1897">
        <f t="shared" si="3"/>
        <v>1</v>
      </c>
      <c r="AB32" s="1897">
        <f t="shared" si="4"/>
        <v>1</v>
      </c>
      <c r="AC32" s="1897">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12"/>
      <c r="Q33" s="1893" t="str">
        <f t="shared" si="11"/>
        <v>成新度</v>
      </c>
      <c r="R33" s="752" t="s">
        <v>25</v>
      </c>
      <c r="S33" s="753" t="e">
        <f t="shared" si="12"/>
        <v>#N/A</v>
      </c>
      <c r="T33" s="752" t="s">
        <v>25</v>
      </c>
      <c r="U33" s="753" t="e">
        <f t="shared" si="13"/>
        <v>#N/A</v>
      </c>
      <c r="V33" s="752" t="s">
        <v>25</v>
      </c>
      <c r="W33" s="753" t="e">
        <f t="shared" si="14"/>
        <v>#N/A</v>
      </c>
      <c r="X33" s="1894"/>
      <c r="Y33" s="3012"/>
      <c r="Z33" s="1896" t="str">
        <f t="shared" si="15"/>
        <v>成新度</v>
      </c>
      <c r="AA33" s="1897" t="e">
        <f t="shared" si="3"/>
        <v>#N/A</v>
      </c>
      <c r="AB33" s="1897" t="e">
        <f t="shared" si="4"/>
        <v>#N/A</v>
      </c>
      <c r="AC33" s="1897"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12"/>
      <c r="Q34" s="1881" t="str">
        <f t="shared" si="11"/>
        <v>物业管理</v>
      </c>
      <c r="R34" s="748" t="s">
        <v>25</v>
      </c>
      <c r="S34" s="749">
        <f t="shared" si="12"/>
        <v>100</v>
      </c>
      <c r="T34" s="748" t="s">
        <v>25</v>
      </c>
      <c r="U34" s="749">
        <f t="shared" si="13"/>
        <v>100</v>
      </c>
      <c r="V34" s="748" t="s">
        <v>25</v>
      </c>
      <c r="W34" s="749">
        <f t="shared" si="14"/>
        <v>100</v>
      </c>
      <c r="X34" s="750"/>
      <c r="Y34" s="3012"/>
      <c r="Z34" s="23" t="str">
        <f t="shared" si="15"/>
        <v>物业管理</v>
      </c>
      <c r="AA34" s="751">
        <f t="shared" si="3"/>
        <v>1</v>
      </c>
      <c r="AB34" s="751">
        <f t="shared" si="4"/>
        <v>1</v>
      </c>
      <c r="AC34" s="751">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12" t="s">
        <v>2368</v>
      </c>
      <c r="Q35" s="1893" t="str">
        <f t="shared" si="11"/>
        <v>市政基础设施</v>
      </c>
      <c r="R35" s="752" t="s">
        <v>25</v>
      </c>
      <c r="S35" s="753">
        <f t="shared" si="12"/>
        <v>100</v>
      </c>
      <c r="T35" s="752" t="s">
        <v>25</v>
      </c>
      <c r="U35" s="753">
        <f t="shared" si="13"/>
        <v>100</v>
      </c>
      <c r="V35" s="752" t="s">
        <v>25</v>
      </c>
      <c r="W35" s="753">
        <f t="shared" si="14"/>
        <v>100</v>
      </c>
      <c r="X35" s="1894"/>
      <c r="Y35" s="3012" t="s">
        <v>2368</v>
      </c>
      <c r="Z35" s="1896" t="str">
        <f t="shared" si="15"/>
        <v>市政基础设施</v>
      </c>
      <c r="AA35" s="1897">
        <f t="shared" si="3"/>
        <v>1</v>
      </c>
      <c r="AB35" s="1897">
        <f t="shared" si="4"/>
        <v>1</v>
      </c>
      <c r="AC35" s="1897">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12"/>
      <c r="Q36" s="1893" t="str">
        <f t="shared" si="11"/>
        <v>内部装修</v>
      </c>
      <c r="R36" s="752" t="s">
        <v>25</v>
      </c>
      <c r="S36" s="753">
        <f t="shared" si="12"/>
        <v>100</v>
      </c>
      <c r="T36" s="752" t="s">
        <v>25</v>
      </c>
      <c r="U36" s="753">
        <f t="shared" si="13"/>
        <v>100</v>
      </c>
      <c r="V36" s="752" t="s">
        <v>25</v>
      </c>
      <c r="W36" s="753">
        <f t="shared" si="14"/>
        <v>100</v>
      </c>
      <c r="X36" s="1894"/>
      <c r="Y36" s="3012"/>
      <c r="Z36" s="1896" t="str">
        <f t="shared" si="15"/>
        <v>内部装修</v>
      </c>
      <c r="AA36" s="1897">
        <f t="shared" si="3"/>
        <v>1</v>
      </c>
      <c r="AB36" s="1897">
        <f t="shared" si="4"/>
        <v>1</v>
      </c>
      <c r="AC36" s="1897">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12"/>
      <c r="Q37" s="1893" t="str">
        <f t="shared" si="11"/>
        <v>内部装修状况</v>
      </c>
      <c r="R37" s="752" t="s">
        <v>25</v>
      </c>
      <c r="S37" s="753">
        <f t="shared" si="12"/>
        <v>0</v>
      </c>
      <c r="T37" s="752" t="s">
        <v>25</v>
      </c>
      <c r="U37" s="753">
        <f t="shared" si="13"/>
        <v>0</v>
      </c>
      <c r="V37" s="752" t="s">
        <v>25</v>
      </c>
      <c r="W37" s="753">
        <f t="shared" si="14"/>
        <v>0</v>
      </c>
      <c r="X37" s="1894"/>
      <c r="Y37" s="3012"/>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12"/>
      <c r="Q38" s="754">
        <f t="shared" si="11"/>
        <v>111</v>
      </c>
      <c r="R38" s="755" t="s">
        <v>25</v>
      </c>
      <c r="S38" s="756">
        <f t="shared" si="12"/>
        <v>100</v>
      </c>
      <c r="T38" s="755" t="s">
        <v>25</v>
      </c>
      <c r="U38" s="756">
        <f t="shared" si="13"/>
        <v>100</v>
      </c>
      <c r="V38" s="755" t="s">
        <v>25</v>
      </c>
      <c r="W38" s="756">
        <f t="shared" si="14"/>
        <v>100</v>
      </c>
      <c r="X38" s="757"/>
      <c r="Y38" s="3012"/>
      <c r="Z38" s="758">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12"/>
      <c r="Q39" s="1893">
        <f t="shared" si="11"/>
        <v>111</v>
      </c>
      <c r="R39" s="752" t="s">
        <v>25</v>
      </c>
      <c r="S39" s="753">
        <f t="shared" si="12"/>
        <v>100</v>
      </c>
      <c r="T39" s="752" t="s">
        <v>25</v>
      </c>
      <c r="U39" s="753">
        <f t="shared" si="13"/>
        <v>100</v>
      </c>
      <c r="V39" s="752" t="s">
        <v>25</v>
      </c>
      <c r="W39" s="753">
        <f t="shared" si="14"/>
        <v>100</v>
      </c>
      <c r="X39" s="1894"/>
      <c r="Y39" s="3012"/>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13"/>
      <c r="Q40" s="1893">
        <f t="shared" si="11"/>
        <v>111</v>
      </c>
      <c r="R40" s="752" t="s">
        <v>25</v>
      </c>
      <c r="S40" s="753">
        <f t="shared" si="12"/>
        <v>100</v>
      </c>
      <c r="T40" s="752" t="s">
        <v>25</v>
      </c>
      <c r="U40" s="753">
        <f t="shared" si="13"/>
        <v>100</v>
      </c>
      <c r="V40" s="752" t="s">
        <v>25</v>
      </c>
      <c r="W40" s="753">
        <f t="shared" si="14"/>
        <v>100</v>
      </c>
      <c r="X40" s="1894"/>
      <c r="Y40" s="3013"/>
      <c r="Z40" s="1896">
        <f t="shared" si="15"/>
        <v>111</v>
      </c>
      <c r="AA40" s="1897">
        <f t="shared" si="3"/>
        <v>1</v>
      </c>
      <c r="AB40" s="1897">
        <f t="shared" si="4"/>
        <v>1</v>
      </c>
      <c r="AC40" s="1897">
        <f t="shared" si="5"/>
        <v>1</v>
      </c>
    </row>
    <row r="41" spans="1:29" ht="15">
      <c r="A41" s="460" t="s">
        <v>2380</v>
      </c>
      <c r="B41" s="461"/>
      <c r="C41" s="1497" t="s">
        <v>1</v>
      </c>
      <c r="D41" s="1498"/>
      <c r="E41" s="1499"/>
      <c r="F41" s="1500"/>
      <c r="G41" s="1501"/>
      <c r="H41" s="1502"/>
      <c r="I41" s="1499"/>
      <c r="J41" s="1502"/>
      <c r="K41" s="761"/>
      <c r="L41" s="1251"/>
      <c r="M41" s="1252"/>
      <c r="N41" s="1239"/>
      <c r="O41" s="1252"/>
      <c r="P41" s="3005" t="str">
        <f>A41</f>
        <v>成交单价（元/平方米）</v>
      </c>
      <c r="Q41" s="3005"/>
      <c r="R41" s="3006">
        <f>E41</f>
        <v>0</v>
      </c>
      <c r="S41" s="3006"/>
      <c r="T41" s="3006">
        <f>G41</f>
        <v>0</v>
      </c>
      <c r="U41" s="3006"/>
      <c r="V41" s="3006">
        <f>I41</f>
        <v>0</v>
      </c>
      <c r="W41" s="3006"/>
      <c r="X41" s="737"/>
      <c r="Y41" s="759"/>
      <c r="Z41" s="737"/>
      <c r="AA41" s="737"/>
      <c r="AB41" s="737"/>
      <c r="AC41" s="737"/>
    </row>
    <row r="42" spans="1:29" ht="15.75" thickBot="1">
      <c r="A42" s="467" t="s">
        <v>2463</v>
      </c>
      <c r="B42" s="468"/>
      <c r="C42" s="1503" t="e">
        <f>R43</f>
        <v>#DIV/0!</v>
      </c>
      <c r="D42" s="1504"/>
      <c r="E42" s="1505" t="e">
        <f>R42</f>
        <v>#DIV/0!</v>
      </c>
      <c r="F42" s="1505"/>
      <c r="G42" s="1503" t="e">
        <f>T42</f>
        <v>#DIV/0!</v>
      </c>
      <c r="H42" s="1504"/>
      <c r="I42" s="1505" t="e">
        <f>V42</f>
        <v>#DIV/0!</v>
      </c>
      <c r="J42" s="1504"/>
      <c r="K42" s="762"/>
      <c r="L42" s="1251"/>
      <c r="M42" s="1252"/>
      <c r="N42" s="1239"/>
      <c r="O42" s="1252"/>
      <c r="P42" s="3005" t="str">
        <f>A42</f>
        <v>比较价值（元/平方米）</v>
      </c>
      <c r="Q42" s="3005"/>
      <c r="R42" s="3006" t="e">
        <f>IF(E1="售价",ROUND(PRODUCT(R41,AA7:AA40),0),ROUND(PRODUCT(R41,AA7:AA40),1))</f>
        <v>#DIV/0!</v>
      </c>
      <c r="S42" s="3006"/>
      <c r="T42" s="3006" t="e">
        <f>IF(E1="售价",ROUND(PRODUCT(T41,AB7:AB40),0),ROUND(PRODUCT(T41,AB7:AB40),1))</f>
        <v>#DIV/0!</v>
      </c>
      <c r="U42" s="3006"/>
      <c r="V42" s="3006" t="e">
        <f>IF(E1="售价",ROUND(PRODUCT(V41,AC7:AC40),0),ROUND(PRODUCT(V41,AC7:AC40),1))</f>
        <v>#DIV/0!</v>
      </c>
      <c r="W42" s="3006"/>
      <c r="X42" s="737"/>
      <c r="Y42" s="737"/>
      <c r="Z42" s="737"/>
      <c r="AA42" s="737"/>
      <c r="AB42" s="737"/>
      <c r="AC42" s="737"/>
    </row>
    <row r="43" spans="1:29" ht="15.75" thickBot="1">
      <c r="A43" s="473" t="s">
        <v>2486</v>
      </c>
      <c r="B43" s="474"/>
      <c r="C43" s="1507" t="e">
        <f>R43</f>
        <v>#DIV/0!</v>
      </c>
      <c r="D43" s="1507"/>
      <c r="E43" s="1507"/>
      <c r="F43" s="1507"/>
      <c r="G43" s="1507"/>
      <c r="H43" s="1507"/>
      <c r="I43" s="1507"/>
      <c r="J43" s="1507"/>
      <c r="K43" s="763"/>
      <c r="L43" s="1251"/>
      <c r="M43" s="1252"/>
      <c r="N43" s="1252"/>
      <c r="O43" s="1252"/>
      <c r="P43" s="3057" t="str">
        <f>A43</f>
        <v>估价对象XX用房的比较价值（楼面单价，元/平方米）</v>
      </c>
      <c r="Q43" s="3004"/>
      <c r="R43" s="3008" t="e">
        <f>IF(E1="售价",ROUND(AVERAGE(R42:V42),0),ROUND(AVERAGE(R42:V42),1))</f>
        <v>#DIV/0!</v>
      </c>
      <c r="S43" s="3008"/>
      <c r="T43" s="3008"/>
      <c r="U43" s="3008"/>
      <c r="V43" s="3008"/>
      <c r="W43" s="300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2468</v>
      </c>
      <c r="B51" s="737"/>
      <c r="C51" s="742"/>
      <c r="D51" s="742"/>
      <c r="E51" s="742"/>
      <c r="F51" s="743"/>
      <c r="G51" s="743"/>
      <c r="H51" s="742"/>
      <c r="I51" s="742"/>
      <c r="J51" s="742"/>
      <c r="K51" s="744"/>
      <c r="L51" s="745"/>
      <c r="M51" s="742"/>
      <c r="N51" s="742"/>
      <c r="O51" s="742"/>
      <c r="P51" s="484"/>
      <c r="Q51" s="485"/>
    </row>
    <row r="52" spans="1:17" s="489" customFormat="1" ht="15">
      <c r="A52" s="486" t="s">
        <v>2350</v>
      </c>
      <c r="B52" s="487"/>
      <c r="C52" s="1673" t="str">
        <f>YEAR(C7)&amp;"-"&amp;MONTH(C7)</f>
        <v>2019-7</v>
      </c>
      <c r="D52" s="1674">
        <f>EDATE(C52,-1)</f>
        <v>43617</v>
      </c>
      <c r="E52" s="1675">
        <f t="shared" ref="E52:O52" si="16">EDATE(D52,-1)</f>
        <v>43586</v>
      </c>
      <c r="F52" s="1675">
        <f t="shared" si="16"/>
        <v>43556</v>
      </c>
      <c r="G52" s="1675">
        <f t="shared" si="16"/>
        <v>43525</v>
      </c>
      <c r="H52" s="1675">
        <f t="shared" si="16"/>
        <v>43497</v>
      </c>
      <c r="I52" s="1675">
        <f t="shared" si="16"/>
        <v>43466</v>
      </c>
      <c r="J52" s="1675">
        <f t="shared" si="16"/>
        <v>43435</v>
      </c>
      <c r="K52" s="1675">
        <f t="shared" si="16"/>
        <v>43405</v>
      </c>
      <c r="L52" s="1675">
        <f t="shared" si="16"/>
        <v>43374</v>
      </c>
      <c r="M52" s="1675">
        <f t="shared" si="16"/>
        <v>43344</v>
      </c>
      <c r="N52" s="1675">
        <f t="shared" si="16"/>
        <v>43313</v>
      </c>
      <c r="O52" s="1675">
        <f t="shared" si="16"/>
        <v>43282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6"/>
      <c r="C1" s="1724"/>
      <c r="D1" s="1725"/>
      <c r="E1" s="2378"/>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80"/>
      <c r="E2" s="1209" t="e">
        <f ca="1">SUMIF(INDIRECT("'"&amp;G2&amp;"'"&amp;"!A:A"),"承租人权益价值",INDIRECT("'"&amp;G2&amp;"'"&amp;"!c:c"))</f>
        <v>#REF!</v>
      </c>
      <c r="F2" s="2381" t="str">
        <f>C2</f>
        <v>万元</v>
      </c>
      <c r="G2" s="2382"/>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2336</v>
      </c>
      <c r="D3" s="378">
        <f>IF(C1="仅计算典型户型",'数据-取费表'!E5,'数据-取费表'!B5)</f>
        <v>1024.48</v>
      </c>
      <c r="E3" s="1087" t="s">
        <v>2504</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2337</v>
      </c>
      <c r="B4" s="381"/>
      <c r="C4" s="3030" t="s">
        <v>2338</v>
      </c>
      <c r="D4" s="3031"/>
      <c r="E4" s="3032" t="s">
        <v>2339</v>
      </c>
      <c r="F4" s="3033"/>
      <c r="G4" s="3030" t="s">
        <v>2340</v>
      </c>
      <c r="H4" s="3031"/>
      <c r="I4" s="3030" t="s">
        <v>2341</v>
      </c>
      <c r="J4" s="3031"/>
      <c r="K4" s="594" t="s">
        <v>2342</v>
      </c>
      <c r="L4" s="1509"/>
      <c r="M4" s="425"/>
      <c r="N4" s="425"/>
      <c r="O4" s="425"/>
      <c r="P4" s="3064" t="s">
        <v>2343</v>
      </c>
      <c r="Q4" s="3023"/>
      <c r="R4" s="3016" t="s">
        <v>2339</v>
      </c>
      <c r="S4" s="3017"/>
      <c r="T4" s="3016" t="s">
        <v>2340</v>
      </c>
      <c r="U4" s="3017"/>
      <c r="V4" s="3038" t="s">
        <v>2341</v>
      </c>
      <c r="W4" s="3038"/>
      <c r="X4" s="1894"/>
      <c r="Y4" s="3016" t="s">
        <v>2343</v>
      </c>
      <c r="Z4" s="3017"/>
      <c r="AA4" s="3027" t="s">
        <v>2339</v>
      </c>
      <c r="AB4" s="3028" t="s">
        <v>2340</v>
      </c>
      <c r="AC4" s="3027" t="s">
        <v>2341</v>
      </c>
    </row>
    <row r="5" spans="1:29" ht="15">
      <c r="A5" s="383"/>
      <c r="B5" s="384"/>
      <c r="C5" s="3041" t="s">
        <v>2344</v>
      </c>
      <c r="D5" s="3042"/>
      <c r="E5" s="3067" t="s">
        <v>2345</v>
      </c>
      <c r="F5" s="3040"/>
      <c r="G5" s="3041" t="s">
        <v>2346</v>
      </c>
      <c r="H5" s="3042"/>
      <c r="I5" s="3041" t="s">
        <v>2347</v>
      </c>
      <c r="J5" s="3042"/>
      <c r="K5" s="594"/>
      <c r="L5" s="1509"/>
      <c r="M5" s="425"/>
      <c r="N5" s="425"/>
      <c r="O5" s="425"/>
      <c r="P5" s="3065"/>
      <c r="Q5" s="3024"/>
      <c r="R5" s="3018"/>
      <c r="S5" s="3019"/>
      <c r="T5" s="3018"/>
      <c r="U5" s="3019"/>
      <c r="V5" s="3038"/>
      <c r="W5" s="3038"/>
      <c r="X5" s="1894"/>
      <c r="Y5" s="3018"/>
      <c r="Z5" s="3019"/>
      <c r="AA5" s="3028"/>
      <c r="AB5" s="3028"/>
      <c r="AC5" s="3028"/>
    </row>
    <row r="6" spans="1:29" ht="15.75" thickBot="1">
      <c r="A6" s="385"/>
      <c r="B6" s="386"/>
      <c r="C6" s="3043" t="s">
        <v>2348</v>
      </c>
      <c r="D6" s="3044"/>
      <c r="E6" s="3047" t="s">
        <v>2348</v>
      </c>
      <c r="F6" s="3048"/>
      <c r="G6" s="3043" t="s">
        <v>2348</v>
      </c>
      <c r="H6" s="3044"/>
      <c r="I6" s="3043" t="s">
        <v>2348</v>
      </c>
      <c r="J6" s="3044"/>
      <c r="K6" s="594" t="s">
        <v>2349</v>
      </c>
      <c r="L6" s="1509"/>
      <c r="M6" s="425"/>
      <c r="N6" s="425"/>
      <c r="O6" s="425"/>
      <c r="P6" s="306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14" t="s">
        <v>2351</v>
      </c>
      <c r="Q7" s="3022"/>
      <c r="R7" s="748" t="s">
        <v>25</v>
      </c>
      <c r="S7" s="749">
        <f t="shared" ref="S7:S14" si="0">F7</f>
        <v>0</v>
      </c>
      <c r="T7" s="748" t="s">
        <v>25</v>
      </c>
      <c r="U7" s="749">
        <f t="shared" ref="U7:U14" si="1">H7</f>
        <v>0</v>
      </c>
      <c r="V7" s="748" t="s">
        <v>25</v>
      </c>
      <c r="W7" s="749">
        <f t="shared" ref="W7:W14" si="2">J7</f>
        <v>0</v>
      </c>
      <c r="X7" s="750"/>
      <c r="Y7" s="3014" t="s">
        <v>2351</v>
      </c>
      <c r="Z7" s="3015"/>
      <c r="AA7" s="751" t="e">
        <f>D7/F7</f>
        <v>#DIV/0!</v>
      </c>
      <c r="AB7" s="751" t="e">
        <f>D7/H7</f>
        <v>#DIV/0!</v>
      </c>
      <c r="AC7" s="751"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14" t="s">
        <v>2354</v>
      </c>
      <c r="Q8" s="3015"/>
      <c r="R8" s="748" t="s">
        <v>25</v>
      </c>
      <c r="S8" s="749">
        <f t="shared" si="0"/>
        <v>0</v>
      </c>
      <c r="T8" s="748" t="s">
        <v>25</v>
      </c>
      <c r="U8" s="749">
        <f t="shared" si="1"/>
        <v>0</v>
      </c>
      <c r="V8" s="748" t="s">
        <v>25</v>
      </c>
      <c r="W8" s="749">
        <f t="shared" si="2"/>
        <v>0</v>
      </c>
      <c r="X8" s="750"/>
      <c r="Y8" s="3014" t="s">
        <v>2354</v>
      </c>
      <c r="Z8" s="3015"/>
      <c r="AA8" s="751" t="e">
        <f t="shared" ref="AA8:AA36" si="3">D8/F8</f>
        <v>#DIV/0!</v>
      </c>
      <c r="AB8" s="751" t="e">
        <f t="shared" ref="AB8:AB36" si="4">D8/H8</f>
        <v>#DIV/0!</v>
      </c>
      <c r="AC8" s="751"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05" t="s">
        <v>2357</v>
      </c>
      <c r="Q9" s="1881" t="str">
        <f t="shared" ref="Q9:Q14" si="6">B9</f>
        <v>用途</v>
      </c>
      <c r="R9" s="748" t="s">
        <v>25</v>
      </c>
      <c r="S9" s="749">
        <f t="shared" si="0"/>
        <v>100</v>
      </c>
      <c r="T9" s="748" t="s">
        <v>25</v>
      </c>
      <c r="U9" s="749">
        <f t="shared" si="1"/>
        <v>100</v>
      </c>
      <c r="V9" s="748" t="s">
        <v>25</v>
      </c>
      <c r="W9" s="749">
        <f t="shared" si="2"/>
        <v>100</v>
      </c>
      <c r="X9" s="750"/>
      <c r="Y9" s="2842" t="s">
        <v>2358</v>
      </c>
      <c r="Z9" s="23" t="str">
        <f t="shared" ref="Z9:Z14" si="7">Q9</f>
        <v>用途</v>
      </c>
      <c r="AA9" s="751">
        <f t="shared" si="3"/>
        <v>1</v>
      </c>
      <c r="AB9" s="751">
        <f t="shared" si="4"/>
        <v>1</v>
      </c>
      <c r="AC9" s="751">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05"/>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05"/>
      <c r="Q11" s="1881">
        <f t="shared" si="6"/>
        <v>111</v>
      </c>
      <c r="R11" s="748" t="s">
        <v>25</v>
      </c>
      <c r="S11" s="749">
        <f t="shared" si="0"/>
        <v>100</v>
      </c>
      <c r="T11" s="748" t="s">
        <v>25</v>
      </c>
      <c r="U11" s="749">
        <f t="shared" si="1"/>
        <v>100</v>
      </c>
      <c r="V11" s="748" t="s">
        <v>25</v>
      </c>
      <c r="W11" s="749">
        <f t="shared" si="2"/>
        <v>100</v>
      </c>
      <c r="X11" s="750"/>
      <c r="Y11" s="284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05"/>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05"/>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25" t="s">
        <v>2362</v>
      </c>
      <c r="Q14" s="1893" t="str">
        <f t="shared" si="6"/>
        <v>交通便捷度</v>
      </c>
      <c r="R14" s="752" t="s">
        <v>25</v>
      </c>
      <c r="S14" s="753">
        <f t="shared" si="0"/>
        <v>100</v>
      </c>
      <c r="T14" s="752" t="s">
        <v>25</v>
      </c>
      <c r="U14" s="753">
        <f t="shared" si="1"/>
        <v>100</v>
      </c>
      <c r="V14" s="752" t="s">
        <v>25</v>
      </c>
      <c r="W14" s="753">
        <f t="shared" si="2"/>
        <v>100</v>
      </c>
      <c r="X14" s="1894"/>
      <c r="Y14" s="3025" t="s">
        <v>2362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26"/>
      <c r="Q15" s="1893"/>
      <c r="R15" s="752"/>
      <c r="S15" s="753"/>
      <c r="T15" s="752"/>
      <c r="U15" s="753"/>
      <c r="V15" s="752"/>
      <c r="W15" s="753"/>
      <c r="X15" s="1894"/>
      <c r="Y15" s="3026"/>
      <c r="Z15" s="1896"/>
      <c r="AA15" s="1897">
        <v>1</v>
      </c>
      <c r="AB15" s="1897">
        <v>1</v>
      </c>
      <c r="AC15" s="1897">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26"/>
      <c r="Q16" s="1893" t="str">
        <f>B16</f>
        <v>公共配套设施</v>
      </c>
      <c r="R16" s="752" t="s">
        <v>25</v>
      </c>
      <c r="S16" s="753">
        <f>F16</f>
        <v>100</v>
      </c>
      <c r="T16" s="752" t="s">
        <v>25</v>
      </c>
      <c r="U16" s="753">
        <f>H16</f>
        <v>100</v>
      </c>
      <c r="V16" s="752" t="s">
        <v>25</v>
      </c>
      <c r="W16" s="753">
        <f>J16</f>
        <v>100</v>
      </c>
      <c r="X16" s="1894"/>
      <c r="Y16" s="3026"/>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26"/>
      <c r="Q17" s="1893"/>
      <c r="R17" s="752"/>
      <c r="S17" s="753"/>
      <c r="T17" s="752"/>
      <c r="U17" s="753"/>
      <c r="V17" s="752"/>
      <c r="W17" s="753"/>
      <c r="X17" s="1894"/>
      <c r="Y17" s="3026"/>
      <c r="Z17" s="1896"/>
      <c r="AA17" s="1897">
        <v>1</v>
      </c>
      <c r="AB17" s="1897">
        <v>1</v>
      </c>
      <c r="AC17" s="1897">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26"/>
      <c r="Q18" s="1893" t="str">
        <f>B18</f>
        <v>基础设施水平</v>
      </c>
      <c r="R18" s="752" t="s">
        <v>25</v>
      </c>
      <c r="S18" s="753">
        <f>F18</f>
        <v>100</v>
      </c>
      <c r="T18" s="752" t="s">
        <v>25</v>
      </c>
      <c r="U18" s="753">
        <f>H18</f>
        <v>100</v>
      </c>
      <c r="V18" s="752" t="s">
        <v>25</v>
      </c>
      <c r="W18" s="753">
        <f>J18</f>
        <v>100</v>
      </c>
      <c r="X18" s="1894"/>
      <c r="Y18" s="3026"/>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26"/>
      <c r="Q19" s="1893"/>
      <c r="R19" s="752"/>
      <c r="S19" s="753"/>
      <c r="T19" s="752"/>
      <c r="U19" s="753"/>
      <c r="V19" s="752"/>
      <c r="W19" s="753"/>
      <c r="X19" s="1894"/>
      <c r="Y19" s="3026"/>
      <c r="Z19" s="1896"/>
      <c r="AA19" s="1897">
        <v>1</v>
      </c>
      <c r="AB19" s="1897">
        <v>1</v>
      </c>
      <c r="AC19" s="1897">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26"/>
      <c r="Q20" s="1893" t="str">
        <f>B20</f>
        <v>自然及人文环境</v>
      </c>
      <c r="R20" s="752" t="s">
        <v>25</v>
      </c>
      <c r="S20" s="753">
        <f>F20</f>
        <v>100</v>
      </c>
      <c r="T20" s="752" t="s">
        <v>25</v>
      </c>
      <c r="U20" s="753">
        <f>H20</f>
        <v>100</v>
      </c>
      <c r="V20" s="752" t="s">
        <v>25</v>
      </c>
      <c r="W20" s="753">
        <f>J20</f>
        <v>100</v>
      </c>
      <c r="X20" s="1894"/>
      <c r="Y20" s="3026"/>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26"/>
      <c r="Q21" s="1893"/>
      <c r="R21" s="752"/>
      <c r="S21" s="753"/>
      <c r="T21" s="752"/>
      <c r="U21" s="753"/>
      <c r="V21" s="752"/>
      <c r="W21" s="753"/>
      <c r="X21" s="1894"/>
      <c r="Y21" s="3026"/>
      <c r="Z21" s="1896"/>
      <c r="AA21" s="1897">
        <v>1</v>
      </c>
      <c r="AB21" s="1897">
        <v>1</v>
      </c>
      <c r="AC21" s="1897">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26"/>
      <c r="Q22" s="1893" t="str">
        <f>B22</f>
        <v>楼层</v>
      </c>
      <c r="R22" s="752" t="s">
        <v>25</v>
      </c>
      <c r="S22" s="753">
        <f>F22</f>
        <v>100</v>
      </c>
      <c r="T22" s="752" t="s">
        <v>25</v>
      </c>
      <c r="U22" s="753">
        <f>H22</f>
        <v>100</v>
      </c>
      <c r="V22" s="752" t="s">
        <v>25</v>
      </c>
      <c r="W22" s="753">
        <f>J22</f>
        <v>100</v>
      </c>
      <c r="X22" s="1894"/>
      <c r="Y22" s="3026"/>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26"/>
      <c r="Q23" s="1893">
        <f>B23</f>
        <v>111</v>
      </c>
      <c r="R23" s="752" t="s">
        <v>25</v>
      </c>
      <c r="S23" s="753">
        <f>F23</f>
        <v>100</v>
      </c>
      <c r="T23" s="752" t="s">
        <v>25</v>
      </c>
      <c r="U23" s="753">
        <f>H23</f>
        <v>100</v>
      </c>
      <c r="V23" s="752" t="s">
        <v>25</v>
      </c>
      <c r="W23" s="753">
        <f>J23</f>
        <v>100</v>
      </c>
      <c r="X23" s="1894"/>
      <c r="Y23" s="3026"/>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26"/>
      <c r="Q24" s="1893">
        <f t="shared" ref="Q24:Q36" si="11">B24</f>
        <v>111</v>
      </c>
      <c r="R24" s="752" t="s">
        <v>25</v>
      </c>
      <c r="S24" s="753">
        <f>F24</f>
        <v>100</v>
      </c>
      <c r="T24" s="752" t="s">
        <v>25</v>
      </c>
      <c r="U24" s="753">
        <f>H24</f>
        <v>100</v>
      </c>
      <c r="V24" s="752" t="s">
        <v>25</v>
      </c>
      <c r="W24" s="753">
        <f>J24</f>
        <v>100</v>
      </c>
      <c r="X24" s="1894"/>
      <c r="Y24" s="3026"/>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26"/>
      <c r="Q25" s="1881">
        <f t="shared" si="11"/>
        <v>111</v>
      </c>
      <c r="R25" s="748" t="s">
        <v>25</v>
      </c>
      <c r="S25" s="749">
        <f>F25</f>
        <v>100</v>
      </c>
      <c r="T25" s="748" t="s">
        <v>25</v>
      </c>
      <c r="U25" s="749">
        <f>H25</f>
        <v>100</v>
      </c>
      <c r="V25" s="748" t="s">
        <v>25</v>
      </c>
      <c r="W25" s="749">
        <f>J25</f>
        <v>100</v>
      </c>
      <c r="X25" s="750"/>
      <c r="Y25" s="3026"/>
      <c r="Z25" s="23">
        <f>Q25</f>
        <v>111</v>
      </c>
      <c r="AA25" s="1897">
        <f>D25/F25</f>
        <v>1</v>
      </c>
      <c r="AB25" s="1897">
        <f>D25/H25</f>
        <v>1</v>
      </c>
      <c r="AC25" s="1897">
        <f>D25/J25</f>
        <v>1</v>
      </c>
    </row>
    <row r="26" spans="1:29" ht="28.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8" t="s">
        <v>2368</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12" t="s">
        <v>2368</v>
      </c>
      <c r="Z26" s="1896" t="str">
        <f t="shared" ref="Z26:Z36" si="15">Q26</f>
        <v>配套类型</v>
      </c>
      <c r="AA26" s="1897">
        <f t="shared" si="3"/>
        <v>1</v>
      </c>
      <c r="AB26" s="1897">
        <f t="shared" si="4"/>
        <v>1</v>
      </c>
      <c r="AC26" s="1897">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12"/>
      <c r="Q27" s="754" t="str">
        <f t="shared" si="11"/>
        <v>项目停车位配比</v>
      </c>
      <c r="R27" s="755" t="s">
        <v>25</v>
      </c>
      <c r="S27" s="756">
        <f t="shared" si="12"/>
        <v>100</v>
      </c>
      <c r="T27" s="755" t="s">
        <v>25</v>
      </c>
      <c r="U27" s="756">
        <f t="shared" si="13"/>
        <v>100</v>
      </c>
      <c r="V27" s="755" t="s">
        <v>25</v>
      </c>
      <c r="W27" s="756">
        <f t="shared" si="14"/>
        <v>100</v>
      </c>
      <c r="X27" s="757"/>
      <c r="Y27" s="3012"/>
      <c r="Z27" s="758" t="str">
        <f t="shared" si="15"/>
        <v>项目停车位配比</v>
      </c>
      <c r="AA27" s="1897">
        <f t="shared" si="3"/>
        <v>1</v>
      </c>
      <c r="AB27" s="1897">
        <f t="shared" si="4"/>
        <v>1</v>
      </c>
      <c r="AC27" s="1897">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12"/>
      <c r="Q28" s="1893" t="str">
        <f t="shared" si="11"/>
        <v>公共部分装修</v>
      </c>
      <c r="R28" s="752" t="s">
        <v>25</v>
      </c>
      <c r="S28" s="753">
        <f t="shared" si="12"/>
        <v>100</v>
      </c>
      <c r="T28" s="752" t="s">
        <v>25</v>
      </c>
      <c r="U28" s="753">
        <f t="shared" si="13"/>
        <v>100</v>
      </c>
      <c r="V28" s="752" t="s">
        <v>25</v>
      </c>
      <c r="W28" s="753">
        <f t="shared" si="14"/>
        <v>100</v>
      </c>
      <c r="X28" s="1894"/>
      <c r="Y28" s="3012"/>
      <c r="Z28" s="1896" t="str">
        <f t="shared" si="15"/>
        <v>公共部分装修</v>
      </c>
      <c r="AA28" s="1897">
        <f t="shared" si="3"/>
        <v>1</v>
      </c>
      <c r="AB28" s="1897">
        <f t="shared" si="4"/>
        <v>1</v>
      </c>
      <c r="AC28" s="1897">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12"/>
      <c r="Q29" s="1893" t="str">
        <f t="shared" si="11"/>
        <v>成新率</v>
      </c>
      <c r="R29" s="752" t="s">
        <v>25</v>
      </c>
      <c r="S29" s="753" t="e">
        <f t="shared" si="12"/>
        <v>#N/A</v>
      </c>
      <c r="T29" s="752" t="s">
        <v>25</v>
      </c>
      <c r="U29" s="753" t="e">
        <f t="shared" si="13"/>
        <v>#N/A</v>
      </c>
      <c r="V29" s="752" t="s">
        <v>25</v>
      </c>
      <c r="W29" s="753" t="e">
        <f t="shared" si="14"/>
        <v>#N/A</v>
      </c>
      <c r="X29" s="1894"/>
      <c r="Y29" s="3012"/>
      <c r="Z29" s="1896" t="str">
        <f t="shared" si="15"/>
        <v>成新率</v>
      </c>
      <c r="AA29" s="1897" t="e">
        <f t="shared" si="3"/>
        <v>#N/A</v>
      </c>
      <c r="AB29" s="1897" t="e">
        <f t="shared" si="4"/>
        <v>#N/A</v>
      </c>
      <c r="AC29" s="1897" t="e">
        <f t="shared" si="5"/>
        <v>#N/A</v>
      </c>
    </row>
    <row r="30" spans="1:29" ht="15">
      <c r="A30" s="639"/>
      <c r="B30" s="637" t="s">
        <v>2512</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12"/>
      <c r="Q30" s="1893" t="str">
        <f t="shared" si="11"/>
        <v>物业等级</v>
      </c>
      <c r="R30" s="752" t="s">
        <v>25</v>
      </c>
      <c r="S30" s="753">
        <f t="shared" si="12"/>
        <v>100</v>
      </c>
      <c r="T30" s="752" t="s">
        <v>25</v>
      </c>
      <c r="U30" s="753">
        <f t="shared" si="13"/>
        <v>100</v>
      </c>
      <c r="V30" s="752" t="s">
        <v>25</v>
      </c>
      <c r="W30" s="753">
        <f t="shared" si="14"/>
        <v>100</v>
      </c>
      <c r="X30" s="1894"/>
      <c r="Y30" s="3012"/>
      <c r="Z30" s="1896" t="str">
        <f t="shared" si="15"/>
        <v>物业等级</v>
      </c>
      <c r="AA30" s="1897">
        <f t="shared" si="3"/>
        <v>1</v>
      </c>
      <c r="AB30" s="1897">
        <f t="shared" si="4"/>
        <v>1</v>
      </c>
      <c r="AC30" s="1897">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12"/>
      <c r="Q31" s="1881" t="str">
        <f t="shared" si="11"/>
        <v>停车位面积</v>
      </c>
      <c r="R31" s="748" t="s">
        <v>25</v>
      </c>
      <c r="S31" s="749" t="e">
        <f t="shared" si="12"/>
        <v>#N/A</v>
      </c>
      <c r="T31" s="748" t="s">
        <v>25</v>
      </c>
      <c r="U31" s="749" t="e">
        <f t="shared" si="13"/>
        <v>#N/A</v>
      </c>
      <c r="V31" s="748" t="s">
        <v>25</v>
      </c>
      <c r="W31" s="749" t="e">
        <f t="shared" si="14"/>
        <v>#N/A</v>
      </c>
      <c r="X31" s="750"/>
      <c r="Y31" s="3012"/>
      <c r="Z31" s="23" t="str">
        <f t="shared" si="15"/>
        <v>停车位面积</v>
      </c>
      <c r="AA31" s="751" t="e">
        <f t="shared" si="3"/>
        <v>#N/A</v>
      </c>
      <c r="AB31" s="751" t="e">
        <f t="shared" si="4"/>
        <v>#N/A</v>
      </c>
      <c r="AC31" s="751"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12" t="s">
        <v>2368</v>
      </c>
      <c r="Q32" s="1893" t="str">
        <f t="shared" si="11"/>
        <v>车位类型</v>
      </c>
      <c r="R32" s="752" t="s">
        <v>25</v>
      </c>
      <c r="S32" s="753">
        <f t="shared" si="12"/>
        <v>100</v>
      </c>
      <c r="T32" s="752" t="s">
        <v>25</v>
      </c>
      <c r="U32" s="753">
        <f t="shared" si="13"/>
        <v>100</v>
      </c>
      <c r="V32" s="752" t="s">
        <v>25</v>
      </c>
      <c r="W32" s="753">
        <f t="shared" si="14"/>
        <v>100</v>
      </c>
      <c r="X32" s="1894"/>
      <c r="Y32" s="3012" t="s">
        <v>2368</v>
      </c>
      <c r="Z32" s="1896" t="str">
        <f t="shared" si="15"/>
        <v>车位类型</v>
      </c>
      <c r="AA32" s="1897">
        <f t="shared" si="3"/>
        <v>1</v>
      </c>
      <c r="AB32" s="1897">
        <f t="shared" si="4"/>
        <v>1</v>
      </c>
      <c r="AC32" s="1897">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12"/>
      <c r="Q33" s="1893" t="str">
        <f t="shared" si="11"/>
        <v>是否直接入户</v>
      </c>
      <c r="R33" s="752" t="s">
        <v>25</v>
      </c>
      <c r="S33" s="753">
        <f t="shared" si="12"/>
        <v>100</v>
      </c>
      <c r="T33" s="752" t="s">
        <v>25</v>
      </c>
      <c r="U33" s="753">
        <f t="shared" si="13"/>
        <v>100</v>
      </c>
      <c r="V33" s="752" t="s">
        <v>25</v>
      </c>
      <c r="W33" s="753">
        <f t="shared" si="14"/>
        <v>100</v>
      </c>
      <c r="X33" s="1894"/>
      <c r="Y33" s="3012"/>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12"/>
      <c r="Q34" s="1893">
        <f t="shared" si="11"/>
        <v>111</v>
      </c>
      <c r="R34" s="752" t="s">
        <v>25</v>
      </c>
      <c r="S34" s="753">
        <f t="shared" si="12"/>
        <v>100</v>
      </c>
      <c r="T34" s="752" t="s">
        <v>25</v>
      </c>
      <c r="U34" s="753">
        <f t="shared" si="13"/>
        <v>100</v>
      </c>
      <c r="V34" s="752" t="s">
        <v>25</v>
      </c>
      <c r="W34" s="753">
        <f t="shared" si="14"/>
        <v>100</v>
      </c>
      <c r="X34" s="1894"/>
      <c r="Y34" s="3012"/>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12"/>
      <c r="Q35" s="754">
        <f t="shared" si="11"/>
        <v>111</v>
      </c>
      <c r="R35" s="755" t="s">
        <v>25</v>
      </c>
      <c r="S35" s="756">
        <f t="shared" si="12"/>
        <v>100</v>
      </c>
      <c r="T35" s="755" t="s">
        <v>25</v>
      </c>
      <c r="U35" s="756">
        <f t="shared" si="13"/>
        <v>100</v>
      </c>
      <c r="V35" s="755" t="s">
        <v>25</v>
      </c>
      <c r="W35" s="756">
        <f t="shared" si="14"/>
        <v>100</v>
      </c>
      <c r="X35" s="757"/>
      <c r="Y35" s="3012"/>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12"/>
      <c r="Q36" s="1893">
        <f t="shared" si="11"/>
        <v>111</v>
      </c>
      <c r="R36" s="752" t="s">
        <v>25</v>
      </c>
      <c r="S36" s="753">
        <f t="shared" si="12"/>
        <v>100</v>
      </c>
      <c r="T36" s="752" t="s">
        <v>25</v>
      </c>
      <c r="U36" s="753">
        <f t="shared" si="13"/>
        <v>100</v>
      </c>
      <c r="V36" s="752" t="s">
        <v>25</v>
      </c>
      <c r="W36" s="753">
        <f t="shared" si="14"/>
        <v>100</v>
      </c>
      <c r="X36" s="1894"/>
      <c r="Y36" s="3012"/>
      <c r="Z36" s="1896">
        <f t="shared" si="15"/>
        <v>111</v>
      </c>
      <c r="AA36" s="1897">
        <f t="shared" si="3"/>
        <v>1</v>
      </c>
      <c r="AB36" s="1897">
        <f t="shared" si="4"/>
        <v>1</v>
      </c>
      <c r="AC36" s="1897">
        <f t="shared" si="5"/>
        <v>1</v>
      </c>
    </row>
    <row r="37" spans="1:29" ht="15">
      <c r="A37" s="460" t="s">
        <v>2516</v>
      </c>
      <c r="B37" s="1088" t="s">
        <v>2517</v>
      </c>
      <c r="C37" s="1497" t="s">
        <v>1</v>
      </c>
      <c r="D37" s="1498"/>
      <c r="E37" s="1499"/>
      <c r="F37" s="1500"/>
      <c r="G37" s="1501"/>
      <c r="H37" s="1502"/>
      <c r="I37" s="1499"/>
      <c r="J37" s="1502"/>
      <c r="K37" s="603"/>
      <c r="L37" s="1520"/>
      <c r="M37" s="737"/>
      <c r="N37" s="425"/>
      <c r="O37" s="737"/>
      <c r="P37" s="3005" t="str">
        <f>A37</f>
        <v>成交单价</v>
      </c>
      <c r="Q37" s="3005"/>
      <c r="R37" s="3006">
        <f>E37</f>
        <v>0</v>
      </c>
      <c r="S37" s="3006"/>
      <c r="T37" s="3006">
        <f>G37</f>
        <v>0</v>
      </c>
      <c r="U37" s="3006"/>
      <c r="V37" s="3006">
        <f>I37</f>
        <v>0</v>
      </c>
      <c r="W37" s="3006"/>
      <c r="X37" s="737"/>
      <c r="Y37" s="759"/>
      <c r="Z37" s="737"/>
      <c r="AA37" s="737"/>
      <c r="AB37" s="737"/>
      <c r="AC37" s="737"/>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05" t="str">
        <f>A38</f>
        <v>比较价值</v>
      </c>
      <c r="Q38" s="3005"/>
      <c r="R38" s="3006" t="e">
        <f>IF(E1="售价",ROUND(PRODUCT(R37,AA7:AA36),0),ROUND(PRODUCT(R37,AA7:AA36),1))</f>
        <v>#DIV/0!</v>
      </c>
      <c r="S38" s="3006"/>
      <c r="T38" s="3006" t="e">
        <f>IF(E1="售价",ROUND(PRODUCT(T37,AB7:AB36),0),ROUND(PRODUCT(T37,AB7:AB36),1))</f>
        <v>#DIV/0!</v>
      </c>
      <c r="U38" s="3006"/>
      <c r="V38" s="3006" t="e">
        <f>IF(E1="售价",ROUND(PRODUCT(V37,AC7:AC36),0),ROUND(PRODUCT(V37,AC7:AC36),1))</f>
        <v>#DIV/0!</v>
      </c>
      <c r="W38" s="3006"/>
      <c r="X38" s="737"/>
      <c r="Y38" s="737"/>
      <c r="Z38" s="737"/>
      <c r="AA38" s="737"/>
      <c r="AB38" s="737"/>
      <c r="AC38" s="737"/>
    </row>
    <row r="39" spans="1:29" ht="15.75" thickBot="1">
      <c r="A39" s="473" t="s">
        <v>2519</v>
      </c>
      <c r="B39" s="474"/>
      <c r="C39" s="1507" t="e">
        <f>R39</f>
        <v>#DIV/0!</v>
      </c>
      <c r="D39" s="1507"/>
      <c r="E39" s="1507"/>
      <c r="F39" s="1507"/>
      <c r="G39" s="1507"/>
      <c r="H39" s="1507"/>
      <c r="I39" s="1507"/>
      <c r="J39" s="1507"/>
      <c r="K39" s="605"/>
      <c r="L39" s="1520"/>
      <c r="M39" s="737"/>
      <c r="N39" s="737"/>
      <c r="O39" s="737"/>
      <c r="P39" s="3057" t="str">
        <f>A39</f>
        <v>估价对象XX用房的比较价值（楼面单价，元/平方米）</v>
      </c>
      <c r="Q39" s="3004"/>
      <c r="R39" s="3008" t="e">
        <f>IF(E1="售价",ROUND(AVERAGE(R38:V38),0),ROUND(AVERAGE(R38:V38),1))</f>
        <v>#DIV/0!</v>
      </c>
      <c r="S39" s="3008"/>
      <c r="T39" s="3008"/>
      <c r="U39" s="3008"/>
      <c r="V39" s="3008"/>
      <c r="W39" s="300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2523</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2524</v>
      </c>
      <c r="B48" s="487"/>
      <c r="C48" s="1673" t="str">
        <f>YEAR(C7)&amp;"-"&amp;MONTH(C7)</f>
        <v>2019-7</v>
      </c>
      <c r="D48" s="1674">
        <f>EDATE(C48,-1)</f>
        <v>43617</v>
      </c>
      <c r="E48" s="1674">
        <f t="shared" ref="E48:O48" si="16">EDATE(D48,-1)</f>
        <v>43586</v>
      </c>
      <c r="F48" s="1674">
        <f t="shared" si="16"/>
        <v>43556</v>
      </c>
      <c r="G48" s="1674">
        <f t="shared" si="16"/>
        <v>43525</v>
      </c>
      <c r="H48" s="1674">
        <f t="shared" si="16"/>
        <v>43497</v>
      </c>
      <c r="I48" s="1674">
        <f t="shared" si="16"/>
        <v>43466</v>
      </c>
      <c r="J48" s="1674">
        <f t="shared" si="16"/>
        <v>43435</v>
      </c>
      <c r="K48" s="1674">
        <f t="shared" si="16"/>
        <v>43405</v>
      </c>
      <c r="L48" s="1674">
        <f t="shared" si="16"/>
        <v>43374</v>
      </c>
      <c r="M48" s="1674">
        <f t="shared" si="16"/>
        <v>43344</v>
      </c>
      <c r="N48" s="1674">
        <f t="shared" si="16"/>
        <v>43313</v>
      </c>
      <c r="O48" s="1674">
        <f t="shared" si="16"/>
        <v>43282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6"/>
      <c r="C1" s="1724"/>
      <c r="D1" s="1734"/>
      <c r="E1" s="2378"/>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80"/>
      <c r="E2" s="1733" t="e">
        <f ca="1">SUMIF(INDIRECT("'"&amp;G2&amp;"'"&amp;"!A:A"),"承租人权益价值",INDIRECT("'"&amp;G2&amp;"'"&amp;"!c:c"))</f>
        <v>#REF!</v>
      </c>
      <c r="F2" s="2381" t="str">
        <f>C2</f>
        <v>万元</v>
      </c>
      <c r="G2" s="2382"/>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2336</v>
      </c>
      <c r="D3" s="378">
        <f>IF(C1="仅计算典型户型",'数据-取费表'!E5,'数据-取费表'!B5)</f>
        <v>1024.48</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2337</v>
      </c>
      <c r="B4" s="381"/>
      <c r="C4" s="3030" t="s">
        <v>2338</v>
      </c>
      <c r="D4" s="3031"/>
      <c r="E4" s="3032" t="s">
        <v>2339</v>
      </c>
      <c r="F4" s="3033"/>
      <c r="G4" s="3030" t="s">
        <v>2340</v>
      </c>
      <c r="H4" s="3031"/>
      <c r="I4" s="3030" t="s">
        <v>2341</v>
      </c>
      <c r="J4" s="3031"/>
      <c r="K4" s="594"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28" t="s">
        <v>2340</v>
      </c>
      <c r="AC4" s="3027" t="s">
        <v>2341</v>
      </c>
    </row>
    <row r="5" spans="1:29" ht="15">
      <c r="A5" s="383"/>
      <c r="B5" s="384"/>
      <c r="C5" s="3041" t="s">
        <v>2344</v>
      </c>
      <c r="D5" s="3042"/>
      <c r="E5" s="3067" t="s">
        <v>2345</v>
      </c>
      <c r="F5" s="3040"/>
      <c r="G5" s="3041" t="s">
        <v>2346</v>
      </c>
      <c r="H5" s="3042"/>
      <c r="I5" s="3041" t="s">
        <v>2347</v>
      </c>
      <c r="J5" s="3042"/>
      <c r="K5" s="594"/>
      <c r="L5" s="1238"/>
      <c r="M5" s="1239"/>
      <c r="N5" s="1239"/>
      <c r="O5" s="1239"/>
      <c r="P5" s="3065"/>
      <c r="Q5" s="3024"/>
      <c r="R5" s="3018"/>
      <c r="S5" s="3019"/>
      <c r="T5" s="3018"/>
      <c r="U5" s="3019"/>
      <c r="V5" s="3038"/>
      <c r="W5" s="3038"/>
      <c r="X5" s="1894"/>
      <c r="Y5" s="3018"/>
      <c r="Z5" s="3019"/>
      <c r="AA5" s="3028"/>
      <c r="AB5" s="3028"/>
      <c r="AC5" s="3028"/>
    </row>
    <row r="6" spans="1:29" ht="15.75" thickBot="1">
      <c r="A6" s="385"/>
      <c r="B6" s="386"/>
      <c r="C6" s="3043" t="s">
        <v>2348</v>
      </c>
      <c r="D6" s="3044"/>
      <c r="E6" s="3047" t="s">
        <v>2348</v>
      </c>
      <c r="F6" s="3048"/>
      <c r="G6" s="3043" t="s">
        <v>2348</v>
      </c>
      <c r="H6" s="3044"/>
      <c r="I6" s="3043" t="s">
        <v>2348</v>
      </c>
      <c r="J6" s="3044"/>
      <c r="K6" s="594" t="s">
        <v>2349</v>
      </c>
      <c r="L6" s="1238"/>
      <c r="M6" s="1239"/>
      <c r="N6" s="1239"/>
      <c r="O6" s="1239"/>
      <c r="P6" s="306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014" t="s">
        <v>2351</v>
      </c>
      <c r="Q7" s="3022"/>
      <c r="R7" s="748" t="s">
        <v>25</v>
      </c>
      <c r="S7" s="749">
        <f t="shared" ref="S7:S14" si="0">F7</f>
        <v>0</v>
      </c>
      <c r="T7" s="748" t="s">
        <v>25</v>
      </c>
      <c r="U7" s="749">
        <f t="shared" ref="U7:U14" si="1">H7</f>
        <v>0</v>
      </c>
      <c r="V7" s="748" t="s">
        <v>25</v>
      </c>
      <c r="W7" s="749">
        <f t="shared" ref="W7:W14" si="2">J7</f>
        <v>0</v>
      </c>
      <c r="X7" s="750"/>
      <c r="Y7" s="3014" t="s">
        <v>2351</v>
      </c>
      <c r="Z7" s="3015"/>
      <c r="AA7" s="751" t="e">
        <f>D7/F7</f>
        <v>#DIV/0!</v>
      </c>
      <c r="AB7" s="751" t="e">
        <f>D7/H7</f>
        <v>#DIV/0!</v>
      </c>
      <c r="AC7" s="751"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14" t="s">
        <v>2354</v>
      </c>
      <c r="Q8" s="3015"/>
      <c r="R8" s="748" t="s">
        <v>25</v>
      </c>
      <c r="S8" s="749">
        <f t="shared" si="0"/>
        <v>0</v>
      </c>
      <c r="T8" s="748" t="s">
        <v>25</v>
      </c>
      <c r="U8" s="749">
        <f t="shared" si="1"/>
        <v>0</v>
      </c>
      <c r="V8" s="748" t="s">
        <v>25</v>
      </c>
      <c r="W8" s="749">
        <f t="shared" si="2"/>
        <v>0</v>
      </c>
      <c r="X8" s="750"/>
      <c r="Y8" s="3014" t="s">
        <v>2354</v>
      </c>
      <c r="Z8" s="3015"/>
      <c r="AA8" s="751" t="e">
        <f t="shared" ref="AA8:AA34" si="3">D8/F8</f>
        <v>#DIV/0!</v>
      </c>
      <c r="AB8" s="751" t="e">
        <f t="shared" ref="AB8:AB34" si="4">D8/H8</f>
        <v>#DIV/0!</v>
      </c>
      <c r="AC8" s="751"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05" t="s">
        <v>2357</v>
      </c>
      <c r="Q9" s="1881" t="str">
        <f t="shared" ref="Q9:Q14" si="6">B9</f>
        <v>用途</v>
      </c>
      <c r="R9" s="748" t="s">
        <v>25</v>
      </c>
      <c r="S9" s="749">
        <f t="shared" si="0"/>
        <v>100</v>
      </c>
      <c r="T9" s="748" t="s">
        <v>25</v>
      </c>
      <c r="U9" s="749">
        <f t="shared" si="1"/>
        <v>100</v>
      </c>
      <c r="V9" s="748" t="s">
        <v>25</v>
      </c>
      <c r="W9" s="749">
        <f t="shared" si="2"/>
        <v>100</v>
      </c>
      <c r="X9" s="750"/>
      <c r="Y9" s="2842" t="s">
        <v>2358</v>
      </c>
      <c r="Z9" s="23" t="str">
        <f t="shared" ref="Z9:Z14" si="7">Q9</f>
        <v>用途</v>
      </c>
      <c r="AA9" s="751">
        <f t="shared" si="3"/>
        <v>1</v>
      </c>
      <c r="AB9" s="751">
        <f t="shared" si="4"/>
        <v>1</v>
      </c>
      <c r="AC9" s="751">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05"/>
      <c r="Q10" s="1881"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05"/>
      <c r="Q11" s="1881">
        <f t="shared" si="6"/>
        <v>111</v>
      </c>
      <c r="R11" s="748" t="s">
        <v>25</v>
      </c>
      <c r="S11" s="749">
        <f t="shared" si="0"/>
        <v>100</v>
      </c>
      <c r="T11" s="748" t="s">
        <v>25</v>
      </c>
      <c r="U11" s="749">
        <f t="shared" si="1"/>
        <v>100</v>
      </c>
      <c r="V11" s="748" t="s">
        <v>25</v>
      </c>
      <c r="W11" s="749">
        <f t="shared" si="2"/>
        <v>100</v>
      </c>
      <c r="X11" s="750"/>
      <c r="Y11" s="2842"/>
      <c r="Z11" s="23">
        <f t="shared" si="7"/>
        <v>111</v>
      </c>
      <c r="AA11" s="751">
        <f t="shared" si="3"/>
        <v>1</v>
      </c>
      <c r="AB11" s="751">
        <f t="shared" si="4"/>
        <v>1</v>
      </c>
      <c r="AC11" s="751">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05"/>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05"/>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85.5">
      <c r="A14" s="419" t="s">
        <v>2361</v>
      </c>
      <c r="B14" s="26" t="s">
        <v>2505</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25" t="s">
        <v>2362</v>
      </c>
      <c r="Q14" s="1893" t="str">
        <f t="shared" si="6"/>
        <v>交通便捷度</v>
      </c>
      <c r="R14" s="752" t="s">
        <v>25</v>
      </c>
      <c r="S14" s="753">
        <f t="shared" si="0"/>
        <v>100</v>
      </c>
      <c r="T14" s="752" t="s">
        <v>25</v>
      </c>
      <c r="U14" s="753">
        <f t="shared" si="1"/>
        <v>100</v>
      </c>
      <c r="V14" s="752" t="s">
        <v>25</v>
      </c>
      <c r="W14" s="753">
        <f t="shared" si="2"/>
        <v>100</v>
      </c>
      <c r="X14" s="1894"/>
      <c r="Y14" s="3025" t="s">
        <v>2362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26"/>
      <c r="Q15" s="1893"/>
      <c r="R15" s="752"/>
      <c r="S15" s="753"/>
      <c r="T15" s="752"/>
      <c r="U15" s="753"/>
      <c r="V15" s="752"/>
      <c r="W15" s="753"/>
      <c r="X15" s="1894"/>
      <c r="Y15" s="3026"/>
      <c r="Z15" s="1896"/>
      <c r="AA15" s="1897">
        <v>1</v>
      </c>
      <c r="AB15" s="1897">
        <v>1</v>
      </c>
      <c r="AC15" s="1897">
        <v>1</v>
      </c>
    </row>
    <row r="16" spans="1:29" ht="42.75">
      <c r="A16" s="408"/>
      <c r="B16" s="615" t="s">
        <v>2477</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26"/>
      <c r="Q16" s="1893" t="str">
        <f>B16</f>
        <v>公共配套设施</v>
      </c>
      <c r="R16" s="752" t="s">
        <v>25</v>
      </c>
      <c r="S16" s="753">
        <f>F16</f>
        <v>100</v>
      </c>
      <c r="T16" s="752" t="s">
        <v>25</v>
      </c>
      <c r="U16" s="753">
        <f>H16</f>
        <v>100</v>
      </c>
      <c r="V16" s="752" t="s">
        <v>25</v>
      </c>
      <c r="W16" s="753">
        <f>J16</f>
        <v>100</v>
      </c>
      <c r="X16" s="1894"/>
      <c r="Y16" s="3026"/>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26"/>
      <c r="Q17" s="1893"/>
      <c r="R17" s="752"/>
      <c r="S17" s="753"/>
      <c r="T17" s="752"/>
      <c r="U17" s="753"/>
      <c r="V17" s="752"/>
      <c r="W17" s="753"/>
      <c r="X17" s="1894"/>
      <c r="Y17" s="3026"/>
      <c r="Z17" s="1896"/>
      <c r="AA17" s="1897">
        <v>1</v>
      </c>
      <c r="AB17" s="1897">
        <v>1</v>
      </c>
      <c r="AC17" s="1897">
        <v>1</v>
      </c>
    </row>
    <row r="18" spans="1:29" ht="28.5">
      <c r="A18" s="408"/>
      <c r="B18" s="617" t="s">
        <v>2478</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26"/>
      <c r="Q18" s="1893" t="str">
        <f>B18</f>
        <v>基础设施水平</v>
      </c>
      <c r="R18" s="752" t="s">
        <v>25</v>
      </c>
      <c r="S18" s="753">
        <f>F18</f>
        <v>100</v>
      </c>
      <c r="T18" s="752" t="s">
        <v>25</v>
      </c>
      <c r="U18" s="753">
        <f>H18</f>
        <v>100</v>
      </c>
      <c r="V18" s="752" t="s">
        <v>25</v>
      </c>
      <c r="W18" s="753">
        <f>J18</f>
        <v>100</v>
      </c>
      <c r="X18" s="1894"/>
      <c r="Y18" s="3026"/>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26"/>
      <c r="Q19" s="1893"/>
      <c r="R19" s="752"/>
      <c r="S19" s="753"/>
      <c r="T19" s="752"/>
      <c r="U19" s="753"/>
      <c r="V19" s="752"/>
      <c r="W19" s="753"/>
      <c r="X19" s="1894"/>
      <c r="Y19" s="3026"/>
      <c r="Z19" s="1896"/>
      <c r="AA19" s="1897">
        <v>1</v>
      </c>
      <c r="AB19" s="1897">
        <v>1</v>
      </c>
      <c r="AC19" s="1897">
        <v>1</v>
      </c>
    </row>
    <row r="20" spans="1:29" ht="57">
      <c r="A20" s="408"/>
      <c r="B20" s="431" t="s">
        <v>2506</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26"/>
      <c r="Q20" s="1893" t="str">
        <f>B20</f>
        <v>自然及人文环境</v>
      </c>
      <c r="R20" s="752" t="s">
        <v>25</v>
      </c>
      <c r="S20" s="753">
        <f>F20</f>
        <v>100</v>
      </c>
      <c r="T20" s="752" t="s">
        <v>25</v>
      </c>
      <c r="U20" s="753">
        <f>H20</f>
        <v>100</v>
      </c>
      <c r="V20" s="752" t="s">
        <v>25</v>
      </c>
      <c r="W20" s="753">
        <f>J20</f>
        <v>100</v>
      </c>
      <c r="X20" s="1894"/>
      <c r="Y20" s="3026"/>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26"/>
      <c r="Q21" s="1893"/>
      <c r="R21" s="752"/>
      <c r="S21" s="753"/>
      <c r="T21" s="752"/>
      <c r="U21" s="753"/>
      <c r="V21" s="752"/>
      <c r="W21" s="753"/>
      <c r="X21" s="1894"/>
      <c r="Y21" s="3026"/>
      <c r="Z21" s="1896"/>
      <c r="AA21" s="1897">
        <v>1</v>
      </c>
      <c r="AB21" s="1897">
        <v>1</v>
      </c>
      <c r="AC21" s="1897">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26"/>
      <c r="Q22" s="1893" t="str">
        <f>B22</f>
        <v>楼层</v>
      </c>
      <c r="R22" s="752" t="s">
        <v>25</v>
      </c>
      <c r="S22" s="753">
        <f>F22</f>
        <v>100</v>
      </c>
      <c r="T22" s="752" t="s">
        <v>25</v>
      </c>
      <c r="U22" s="753">
        <f>H22</f>
        <v>100</v>
      </c>
      <c r="V22" s="752" t="s">
        <v>25</v>
      </c>
      <c r="W22" s="753">
        <f>J22</f>
        <v>100</v>
      </c>
      <c r="X22" s="1894"/>
      <c r="Y22" s="3026"/>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26"/>
      <c r="Q23" s="1893">
        <f>B23</f>
        <v>111</v>
      </c>
      <c r="R23" s="752" t="s">
        <v>25</v>
      </c>
      <c r="S23" s="753">
        <f>F23</f>
        <v>100</v>
      </c>
      <c r="T23" s="752" t="s">
        <v>25</v>
      </c>
      <c r="U23" s="753">
        <f>H23</f>
        <v>100</v>
      </c>
      <c r="V23" s="752" t="s">
        <v>25</v>
      </c>
      <c r="W23" s="753">
        <f>J23</f>
        <v>100</v>
      </c>
      <c r="X23" s="1894"/>
      <c r="Y23" s="3026"/>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26"/>
      <c r="Q24" s="1893">
        <f t="shared" ref="Q24:Q34" si="11">B24</f>
        <v>111</v>
      </c>
      <c r="R24" s="752" t="s">
        <v>25</v>
      </c>
      <c r="S24" s="753">
        <f>F24</f>
        <v>100</v>
      </c>
      <c r="T24" s="752" t="s">
        <v>25</v>
      </c>
      <c r="U24" s="753">
        <f>H24</f>
        <v>100</v>
      </c>
      <c r="V24" s="752" t="s">
        <v>25</v>
      </c>
      <c r="W24" s="753">
        <f>J24</f>
        <v>100</v>
      </c>
      <c r="X24" s="1894"/>
      <c r="Y24" s="3026"/>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026"/>
      <c r="Q25" s="1881">
        <f t="shared" si="11"/>
        <v>111</v>
      </c>
      <c r="R25" s="748" t="s">
        <v>25</v>
      </c>
      <c r="S25" s="749">
        <f>F25</f>
        <v>100</v>
      </c>
      <c r="T25" s="748" t="s">
        <v>25</v>
      </c>
      <c r="U25" s="749">
        <f>H25</f>
        <v>100</v>
      </c>
      <c r="V25" s="748" t="s">
        <v>25</v>
      </c>
      <c r="W25" s="749">
        <f>J25</f>
        <v>100</v>
      </c>
      <c r="X25" s="750"/>
      <c r="Y25" s="3026"/>
      <c r="Z25" s="23">
        <f>Q25</f>
        <v>111</v>
      </c>
      <c r="AA25" s="1897">
        <f>D25/F25</f>
        <v>1</v>
      </c>
      <c r="AB25" s="1897">
        <f>D25/H25</f>
        <v>1</v>
      </c>
      <c r="AC25" s="1897">
        <f>D25/J25</f>
        <v>1</v>
      </c>
    </row>
    <row r="26" spans="1:29" ht="28.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068" t="s">
        <v>2368</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12" t="s">
        <v>2368</v>
      </c>
      <c r="Z26" s="1896" t="str">
        <f t="shared" ref="Z26:Z34" si="15">Q26</f>
        <v>公共部分装修</v>
      </c>
      <c r="AA26" s="1897">
        <f t="shared" si="3"/>
        <v>1</v>
      </c>
      <c r="AB26" s="1897">
        <f t="shared" si="4"/>
        <v>1</v>
      </c>
      <c r="AC26" s="1897">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12"/>
      <c r="Q27" s="754" t="str">
        <f t="shared" si="11"/>
        <v>成新率</v>
      </c>
      <c r="R27" s="755" t="s">
        <v>25</v>
      </c>
      <c r="S27" s="756" t="e">
        <f t="shared" si="12"/>
        <v>#N/A</v>
      </c>
      <c r="T27" s="755" t="s">
        <v>25</v>
      </c>
      <c r="U27" s="756" t="e">
        <f t="shared" si="13"/>
        <v>#N/A</v>
      </c>
      <c r="V27" s="755" t="s">
        <v>25</v>
      </c>
      <c r="W27" s="756" t="e">
        <f t="shared" si="14"/>
        <v>#N/A</v>
      </c>
      <c r="X27" s="757"/>
      <c r="Y27" s="3012"/>
      <c r="Z27" s="758" t="str">
        <f t="shared" si="15"/>
        <v>成新率</v>
      </c>
      <c r="AA27" s="1897" t="e">
        <f t="shared" si="3"/>
        <v>#N/A</v>
      </c>
      <c r="AB27" s="1897" t="e">
        <f t="shared" si="4"/>
        <v>#N/A</v>
      </c>
      <c r="AC27" s="1897"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12"/>
      <c r="Q28" s="1893" t="str">
        <f t="shared" si="11"/>
        <v>物业等级</v>
      </c>
      <c r="R28" s="752" t="s">
        <v>25</v>
      </c>
      <c r="S28" s="753">
        <f t="shared" si="12"/>
        <v>100</v>
      </c>
      <c r="T28" s="752" t="s">
        <v>25</v>
      </c>
      <c r="U28" s="753">
        <f t="shared" si="13"/>
        <v>100</v>
      </c>
      <c r="V28" s="752" t="s">
        <v>25</v>
      </c>
      <c r="W28" s="753">
        <f t="shared" si="14"/>
        <v>100</v>
      </c>
      <c r="X28" s="1894"/>
      <c r="Y28" s="3012"/>
      <c r="Z28" s="1896" t="str">
        <f t="shared" si="15"/>
        <v>物业等级</v>
      </c>
      <c r="AA28" s="1897">
        <f t="shared" si="3"/>
        <v>1</v>
      </c>
      <c r="AB28" s="1897">
        <f t="shared" si="4"/>
        <v>1</v>
      </c>
      <c r="AC28" s="1897">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12"/>
      <c r="Q29" s="1893" t="str">
        <f t="shared" si="11"/>
        <v>有无电梯</v>
      </c>
      <c r="R29" s="752" t="s">
        <v>25</v>
      </c>
      <c r="S29" s="753">
        <f t="shared" si="12"/>
        <v>100</v>
      </c>
      <c r="T29" s="752" t="s">
        <v>25</v>
      </c>
      <c r="U29" s="753">
        <f t="shared" si="13"/>
        <v>100</v>
      </c>
      <c r="V29" s="752" t="s">
        <v>25</v>
      </c>
      <c r="W29" s="753">
        <f t="shared" si="14"/>
        <v>100</v>
      </c>
      <c r="X29" s="1894"/>
      <c r="Y29" s="3012"/>
      <c r="Z29" s="1896" t="str">
        <f t="shared" si="15"/>
        <v>有无电梯</v>
      </c>
      <c r="AA29" s="1897">
        <f t="shared" si="3"/>
        <v>1</v>
      </c>
      <c r="AB29" s="1897">
        <f t="shared" si="4"/>
        <v>1</v>
      </c>
      <c r="AC29" s="1897">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12"/>
      <c r="Q30" s="1893" t="str">
        <f t="shared" si="11"/>
        <v>建筑面积</v>
      </c>
      <c r="R30" s="752" t="s">
        <v>25</v>
      </c>
      <c r="S30" s="753" t="e">
        <f t="shared" si="12"/>
        <v>#N/A</v>
      </c>
      <c r="T30" s="752" t="s">
        <v>25</v>
      </c>
      <c r="U30" s="753" t="e">
        <f t="shared" si="13"/>
        <v>#N/A</v>
      </c>
      <c r="V30" s="752" t="s">
        <v>25</v>
      </c>
      <c r="W30" s="753" t="e">
        <f t="shared" si="14"/>
        <v>#N/A</v>
      </c>
      <c r="X30" s="1894"/>
      <c r="Y30" s="3012"/>
      <c r="Z30" s="1896" t="str">
        <f t="shared" si="15"/>
        <v>建筑面积</v>
      </c>
      <c r="AA30" s="1897" t="e">
        <f t="shared" si="3"/>
        <v>#N/A</v>
      </c>
      <c r="AB30" s="1897" t="e">
        <f t="shared" si="4"/>
        <v>#N/A</v>
      </c>
      <c r="AC30" s="1897"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12"/>
      <c r="Q31" s="1881" t="str">
        <f t="shared" si="11"/>
        <v>是否封闭</v>
      </c>
      <c r="R31" s="748" t="s">
        <v>25</v>
      </c>
      <c r="S31" s="749">
        <f t="shared" si="12"/>
        <v>100</v>
      </c>
      <c r="T31" s="748" t="s">
        <v>25</v>
      </c>
      <c r="U31" s="749">
        <f t="shared" si="13"/>
        <v>100</v>
      </c>
      <c r="V31" s="748" t="s">
        <v>25</v>
      </c>
      <c r="W31" s="749">
        <f t="shared" si="14"/>
        <v>100</v>
      </c>
      <c r="X31" s="750"/>
      <c r="Y31" s="3012"/>
      <c r="Z31" s="23" t="str">
        <f t="shared" si="15"/>
        <v>是否封闭</v>
      </c>
      <c r="AA31" s="751">
        <f t="shared" si="3"/>
        <v>1</v>
      </c>
      <c r="AB31" s="751">
        <f t="shared" si="4"/>
        <v>1</v>
      </c>
      <c r="AC31" s="751">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12" t="s">
        <v>2368</v>
      </c>
      <c r="Q32" s="1893">
        <f t="shared" si="11"/>
        <v>111</v>
      </c>
      <c r="R32" s="752" t="s">
        <v>25</v>
      </c>
      <c r="S32" s="753">
        <f t="shared" si="12"/>
        <v>100</v>
      </c>
      <c r="T32" s="752" t="s">
        <v>25</v>
      </c>
      <c r="U32" s="753">
        <f t="shared" si="13"/>
        <v>100</v>
      </c>
      <c r="V32" s="752" t="s">
        <v>25</v>
      </c>
      <c r="W32" s="753">
        <f t="shared" si="14"/>
        <v>100</v>
      </c>
      <c r="X32" s="1894"/>
      <c r="Y32" s="3012" t="s">
        <v>2368</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12"/>
      <c r="Q33" s="1893">
        <f t="shared" si="11"/>
        <v>111</v>
      </c>
      <c r="R33" s="752" t="s">
        <v>25</v>
      </c>
      <c r="S33" s="753">
        <f t="shared" si="12"/>
        <v>100</v>
      </c>
      <c r="T33" s="752" t="s">
        <v>25</v>
      </c>
      <c r="U33" s="753">
        <f t="shared" si="13"/>
        <v>100</v>
      </c>
      <c r="V33" s="752" t="s">
        <v>25</v>
      </c>
      <c r="W33" s="753">
        <f t="shared" si="14"/>
        <v>100</v>
      </c>
      <c r="X33" s="1894"/>
      <c r="Y33" s="3012"/>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012"/>
      <c r="Q34" s="1893">
        <f t="shared" si="11"/>
        <v>111</v>
      </c>
      <c r="R34" s="752" t="s">
        <v>25</v>
      </c>
      <c r="S34" s="753">
        <f t="shared" si="12"/>
        <v>100</v>
      </c>
      <c r="T34" s="752" t="s">
        <v>25</v>
      </c>
      <c r="U34" s="753">
        <f t="shared" si="13"/>
        <v>100</v>
      </c>
      <c r="V34" s="752" t="s">
        <v>25</v>
      </c>
      <c r="W34" s="753">
        <f t="shared" si="14"/>
        <v>100</v>
      </c>
      <c r="X34" s="1894"/>
      <c r="Y34" s="3012"/>
      <c r="Z34" s="1896">
        <f t="shared" si="15"/>
        <v>111</v>
      </c>
      <c r="AA34" s="1897">
        <f t="shared" si="3"/>
        <v>1</v>
      </c>
      <c r="AB34" s="1897">
        <f t="shared" si="4"/>
        <v>1</v>
      </c>
      <c r="AC34" s="1897">
        <f t="shared" si="5"/>
        <v>1</v>
      </c>
    </row>
    <row r="35" spans="1:29" ht="15">
      <c r="A35" s="460" t="s">
        <v>2380</v>
      </c>
      <c r="B35" s="461"/>
      <c r="C35" s="1497" t="s">
        <v>1</v>
      </c>
      <c r="D35" s="1498"/>
      <c r="E35" s="1499"/>
      <c r="F35" s="1500"/>
      <c r="G35" s="1501"/>
      <c r="H35" s="1502"/>
      <c r="I35" s="1499"/>
      <c r="J35" s="1502"/>
      <c r="K35" s="761"/>
      <c r="L35" s="1251"/>
      <c r="M35" s="1252"/>
      <c r="N35" s="1239"/>
      <c r="O35" s="1252"/>
      <c r="P35" s="3005" t="str">
        <f>A35</f>
        <v>成交单价（元/平方米）</v>
      </c>
      <c r="Q35" s="3005"/>
      <c r="R35" s="3006">
        <f>E35</f>
        <v>0</v>
      </c>
      <c r="S35" s="3006"/>
      <c r="T35" s="3006">
        <f>G35</f>
        <v>0</v>
      </c>
      <c r="U35" s="3006"/>
      <c r="V35" s="3006">
        <f>I35</f>
        <v>0</v>
      </c>
      <c r="W35" s="3006"/>
      <c r="X35" s="737"/>
      <c r="Y35" s="759"/>
      <c r="Z35" s="737"/>
      <c r="AA35" s="737"/>
      <c r="AB35" s="737"/>
      <c r="AC35" s="737"/>
    </row>
    <row r="36" spans="1:29" ht="15.75" thickBot="1">
      <c r="A36" s="467" t="s">
        <v>2463</v>
      </c>
      <c r="B36" s="468"/>
      <c r="C36" s="1503" t="e">
        <f>R37</f>
        <v>#DIV/0!</v>
      </c>
      <c r="D36" s="1504"/>
      <c r="E36" s="1505" t="e">
        <f>R36</f>
        <v>#DIV/0!</v>
      </c>
      <c r="F36" s="1505"/>
      <c r="G36" s="1503" t="e">
        <f>T36</f>
        <v>#DIV/0!</v>
      </c>
      <c r="H36" s="1504"/>
      <c r="I36" s="1505" t="e">
        <f>V36</f>
        <v>#DIV/0!</v>
      </c>
      <c r="J36" s="1504"/>
      <c r="K36" s="762"/>
      <c r="L36" s="1251"/>
      <c r="M36" s="1252"/>
      <c r="N36" s="1239"/>
      <c r="O36" s="1252"/>
      <c r="P36" s="3005" t="str">
        <f>A36</f>
        <v>比较价值（元/平方米）</v>
      </c>
      <c r="Q36" s="3005"/>
      <c r="R36" s="3006" t="e">
        <f>IF(E1="售价",ROUND(PRODUCT(R35,AA7:AA34),0),ROUND(PRODUCT(R35,AA7:AA34),1))</f>
        <v>#DIV/0!</v>
      </c>
      <c r="S36" s="3006"/>
      <c r="T36" s="3006" t="e">
        <f>IF(E1="售价",ROUND(PRODUCT(T35,AB7:AB34),0),ROUND(PRODUCT(T35,AB7:AB34),1))</f>
        <v>#DIV/0!</v>
      </c>
      <c r="U36" s="3006"/>
      <c r="V36" s="3006" t="e">
        <f>IF(E1="售价",ROUND(PRODUCT(V35,AC7:AC34),0),ROUND(PRODUCT(V35,AC7:AC34),1))</f>
        <v>#DIV/0!</v>
      </c>
      <c r="W36" s="3006"/>
      <c r="X36" s="737"/>
      <c r="Y36" s="737"/>
      <c r="Z36" s="737"/>
      <c r="AA36" s="737"/>
      <c r="AB36" s="737"/>
      <c r="AC36" s="737"/>
    </row>
    <row r="37" spans="1:29" ht="15.75" thickBot="1">
      <c r="A37" s="473" t="s">
        <v>2486</v>
      </c>
      <c r="B37" s="474"/>
      <c r="C37" s="1507" t="e">
        <f>R37</f>
        <v>#DIV/0!</v>
      </c>
      <c r="D37" s="1507"/>
      <c r="E37" s="1507"/>
      <c r="F37" s="1507"/>
      <c r="G37" s="1507"/>
      <c r="H37" s="1507"/>
      <c r="I37" s="1507"/>
      <c r="J37" s="1507"/>
      <c r="K37" s="763"/>
      <c r="L37" s="1251"/>
      <c r="M37" s="1252"/>
      <c r="N37" s="1252"/>
      <c r="O37" s="1252"/>
      <c r="P37" s="3057" t="str">
        <f>A37</f>
        <v>估价对象XX用房的比较价值（楼面单价，元/平方米）</v>
      </c>
      <c r="Q37" s="3004"/>
      <c r="R37" s="3008" t="e">
        <f>IF(E1="售价",ROUND(AVERAGE(R36:V36),0),ROUND(AVERAGE(R36:V36),1))</f>
        <v>#DIV/0!</v>
      </c>
      <c r="S37" s="3008"/>
      <c r="T37" s="3008"/>
      <c r="U37" s="3008"/>
      <c r="V37" s="3008"/>
      <c r="W37" s="300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2468</v>
      </c>
      <c r="B45" s="737"/>
      <c r="C45" s="742"/>
      <c r="D45" s="742"/>
      <c r="E45" s="742"/>
      <c r="F45" s="743"/>
      <c r="G45" s="743"/>
      <c r="H45" s="742"/>
      <c r="I45" s="742"/>
      <c r="J45" s="742"/>
      <c r="K45" s="744"/>
      <c r="L45" s="745"/>
      <c r="M45" s="742"/>
      <c r="N45" s="742"/>
      <c r="O45" s="742"/>
      <c r="P45" s="484"/>
      <c r="Q45" s="485"/>
    </row>
    <row r="46" spans="1:29" s="489" customFormat="1" ht="15">
      <c r="A46" s="486" t="s">
        <v>2350</v>
      </c>
      <c r="B46" s="487"/>
      <c r="C46" s="1673" t="str">
        <f>YEAR(C7)&amp;"-"&amp;MONTH(C7)</f>
        <v>2019-7</v>
      </c>
      <c r="D46" s="1674">
        <f>EDATE(C46,-1)</f>
        <v>43617</v>
      </c>
      <c r="E46" s="1674">
        <f t="shared" ref="E46:O46" si="16">EDATE(D46,-1)</f>
        <v>43586</v>
      </c>
      <c r="F46" s="1674">
        <f t="shared" si="16"/>
        <v>43556</v>
      </c>
      <c r="G46" s="1674">
        <f t="shared" si="16"/>
        <v>43525</v>
      </c>
      <c r="H46" s="1674">
        <f t="shared" si="16"/>
        <v>43497</v>
      </c>
      <c r="I46" s="1674">
        <f t="shared" si="16"/>
        <v>43466</v>
      </c>
      <c r="J46" s="1674">
        <f t="shared" si="16"/>
        <v>43435</v>
      </c>
      <c r="K46" s="1674">
        <f t="shared" si="16"/>
        <v>43405</v>
      </c>
      <c r="L46" s="1674">
        <f t="shared" si="16"/>
        <v>43374</v>
      </c>
      <c r="M46" s="1674">
        <f t="shared" si="16"/>
        <v>43344</v>
      </c>
      <c r="N46" s="1674">
        <f t="shared" si="16"/>
        <v>43313</v>
      </c>
      <c r="O46" s="1674">
        <f t="shared" si="16"/>
        <v>43282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3"/>
      <c r="E1" s="733"/>
      <c r="F1" s="732" t="s">
        <v>2335</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2541</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2337</v>
      </c>
      <c r="B4" s="381"/>
      <c r="C4" s="3030" t="s">
        <v>2338</v>
      </c>
      <c r="D4" s="3031"/>
      <c r="E4" s="3032" t="s">
        <v>2339</v>
      </c>
      <c r="F4" s="3033"/>
      <c r="G4" s="3030" t="s">
        <v>2340</v>
      </c>
      <c r="H4" s="3031"/>
      <c r="I4" s="3030" t="s">
        <v>2341</v>
      </c>
      <c r="J4" s="3031"/>
      <c r="K4" s="594"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28" t="s">
        <v>2340</v>
      </c>
      <c r="AC4" s="3027" t="s">
        <v>2341</v>
      </c>
    </row>
    <row r="5" spans="1:30" ht="15">
      <c r="A5" s="383"/>
      <c r="B5" s="384"/>
      <c r="C5" s="3041" t="s">
        <v>2344</v>
      </c>
      <c r="D5" s="3042"/>
      <c r="E5" s="3067" t="s">
        <v>2345</v>
      </c>
      <c r="F5" s="3040"/>
      <c r="G5" s="3041" t="s">
        <v>2346</v>
      </c>
      <c r="H5" s="3042"/>
      <c r="I5" s="3041" t="s">
        <v>2347</v>
      </c>
      <c r="J5" s="3042"/>
      <c r="K5" s="594"/>
      <c r="L5" s="1238"/>
      <c r="M5" s="1239"/>
      <c r="N5" s="1239"/>
      <c r="O5" s="1239"/>
      <c r="P5" s="3065"/>
      <c r="Q5" s="3024"/>
      <c r="R5" s="3018"/>
      <c r="S5" s="3019"/>
      <c r="T5" s="3018"/>
      <c r="U5" s="3019"/>
      <c r="V5" s="3038"/>
      <c r="W5" s="3038"/>
      <c r="X5" s="1894"/>
      <c r="Y5" s="3018"/>
      <c r="Z5" s="3019"/>
      <c r="AA5" s="3028"/>
      <c r="AB5" s="3028"/>
      <c r="AC5" s="3028"/>
    </row>
    <row r="6" spans="1:30" ht="15.75" thickBot="1">
      <c r="A6" s="385"/>
      <c r="B6" s="386"/>
      <c r="C6" s="3043" t="s">
        <v>2348</v>
      </c>
      <c r="D6" s="3044"/>
      <c r="E6" s="3047" t="s">
        <v>2348</v>
      </c>
      <c r="F6" s="3048"/>
      <c r="G6" s="3043" t="s">
        <v>2348</v>
      </c>
      <c r="H6" s="3044"/>
      <c r="I6" s="3043" t="s">
        <v>2348</v>
      </c>
      <c r="J6" s="3044"/>
      <c r="K6" s="594" t="s">
        <v>2349</v>
      </c>
      <c r="L6" s="1238"/>
      <c r="M6" s="1239"/>
      <c r="N6" s="1239"/>
      <c r="O6" s="1239"/>
      <c r="P6" s="3066"/>
      <c r="Q6" s="3037"/>
      <c r="R6" s="3018"/>
      <c r="S6" s="3019"/>
      <c r="T6" s="3020"/>
      <c r="U6" s="3021"/>
      <c r="V6" s="3038"/>
      <c r="W6" s="3038"/>
      <c r="X6" s="1894"/>
      <c r="Y6" s="3020"/>
      <c r="Z6" s="3021"/>
      <c r="AA6" s="3029"/>
      <c r="AB6" s="3029"/>
      <c r="AC6" s="3029"/>
    </row>
    <row r="7" spans="1:30" s="35" customFormat="1" ht="15.75" thickBot="1">
      <c r="A7" s="387" t="s">
        <v>2350</v>
      </c>
      <c r="B7" s="388"/>
      <c r="C7" s="389">
        <f>'数据-取费表'!B2</f>
        <v>43647</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014" t="s">
        <v>2351</v>
      </c>
      <c r="Q7" s="3022"/>
      <c r="R7" s="748" t="s">
        <v>25</v>
      </c>
      <c r="S7" s="749">
        <f t="shared" ref="S7:S15" si="0">F7</f>
        <v>0</v>
      </c>
      <c r="T7" s="748" t="s">
        <v>25</v>
      </c>
      <c r="U7" s="749">
        <f t="shared" ref="U7:U15" si="1">H7</f>
        <v>0</v>
      </c>
      <c r="V7" s="748" t="s">
        <v>25</v>
      </c>
      <c r="W7" s="749">
        <f t="shared" ref="W7:W15" si="2">J7</f>
        <v>0</v>
      </c>
      <c r="X7" s="750"/>
      <c r="Y7" s="3014" t="s">
        <v>2351</v>
      </c>
      <c r="Z7" s="3015"/>
      <c r="AA7" s="751" t="e">
        <f>D7/F7</f>
        <v>#DIV/0!</v>
      </c>
      <c r="AB7" s="751" t="e">
        <f>D7/H7</f>
        <v>#DIV/0!</v>
      </c>
      <c r="AC7" s="751"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14" t="s">
        <v>2354</v>
      </c>
      <c r="Q8" s="3015"/>
      <c r="R8" s="748" t="s">
        <v>25</v>
      </c>
      <c r="S8" s="749">
        <f t="shared" si="0"/>
        <v>0</v>
      </c>
      <c r="T8" s="748" t="s">
        <v>25</v>
      </c>
      <c r="U8" s="749">
        <f t="shared" si="1"/>
        <v>0</v>
      </c>
      <c r="V8" s="748" t="s">
        <v>25</v>
      </c>
      <c r="W8" s="749">
        <f t="shared" si="2"/>
        <v>0</v>
      </c>
      <c r="X8" s="750"/>
      <c r="Y8" s="3014" t="s">
        <v>2354</v>
      </c>
      <c r="Z8" s="3015"/>
      <c r="AA8" s="751" t="e">
        <f t="shared" ref="AA8:AA45" si="3">D8/F8</f>
        <v>#DIV/0!</v>
      </c>
      <c r="AB8" s="751" t="e">
        <f t="shared" ref="AB8:AB45" si="4">D8/H8</f>
        <v>#DIV/0!</v>
      </c>
      <c r="AC8" s="751"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005"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30" s="407" customFormat="1" ht="27">
      <c r="A10" s="401"/>
      <c r="B10" s="402" t="s">
        <v>2359</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05"/>
      <c r="Q10" s="1881" t="str">
        <f t="shared" si="6"/>
        <v>土地使用年限（年）</v>
      </c>
      <c r="R10" s="748" t="s">
        <v>25</v>
      </c>
      <c r="S10" s="749">
        <f t="shared" si="0"/>
        <v>134</v>
      </c>
      <c r="T10" s="748" t="s">
        <v>25</v>
      </c>
      <c r="U10" s="749">
        <f t="shared" si="1"/>
        <v>134</v>
      </c>
      <c r="V10" s="748" t="s">
        <v>25</v>
      </c>
      <c r="W10" s="749">
        <f t="shared" si="2"/>
        <v>134</v>
      </c>
      <c r="X10" s="750"/>
      <c r="Y10" s="2842"/>
      <c r="Z10" s="23" t="str">
        <f t="shared" si="7"/>
        <v>土地使用年限（年）</v>
      </c>
      <c r="AA10" s="751">
        <f t="shared" si="3"/>
        <v>0.74626865671641796</v>
      </c>
      <c r="AB10" s="751">
        <f t="shared" si="4"/>
        <v>0.74626865671641796</v>
      </c>
      <c r="AC10" s="751">
        <f t="shared" si="5"/>
        <v>0.74626865671641796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05"/>
      <c r="Q11" s="1881"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05"/>
      <c r="Q12" s="1881" t="str">
        <f t="shared" si="6"/>
        <v>配建</v>
      </c>
      <c r="R12" s="748" t="s">
        <v>25</v>
      </c>
      <c r="S12" s="749">
        <f t="shared" si="0"/>
        <v>100</v>
      </c>
      <c r="T12" s="748" t="s">
        <v>25</v>
      </c>
      <c r="U12" s="749">
        <f t="shared" si="1"/>
        <v>100</v>
      </c>
      <c r="V12" s="748" t="s">
        <v>25</v>
      </c>
      <c r="W12" s="749">
        <f t="shared" si="2"/>
        <v>100</v>
      </c>
      <c r="X12" s="750"/>
      <c r="Y12" s="2842"/>
      <c r="Z12" s="23" t="str">
        <f t="shared" si="7"/>
        <v>配建</v>
      </c>
      <c r="AA12" s="751">
        <f>D12/F12</f>
        <v>1</v>
      </c>
      <c r="AB12" s="751">
        <f>D12/H12</f>
        <v>1</v>
      </c>
      <c r="AC12" s="751">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05"/>
      <c r="Q13" s="1881">
        <f t="shared" si="6"/>
        <v>111</v>
      </c>
      <c r="R13" s="748" t="s">
        <v>25</v>
      </c>
      <c r="S13" s="749">
        <f t="shared" si="0"/>
        <v>100</v>
      </c>
      <c r="T13" s="748" t="s">
        <v>25</v>
      </c>
      <c r="U13" s="749">
        <f t="shared" si="1"/>
        <v>100</v>
      </c>
      <c r="V13" s="748" t="s">
        <v>25</v>
      </c>
      <c r="W13" s="749">
        <f t="shared" si="2"/>
        <v>100</v>
      </c>
      <c r="X13" s="750"/>
      <c r="Y13" s="2842"/>
      <c r="Z13" s="23">
        <f t="shared" si="7"/>
        <v>111</v>
      </c>
      <c r="AA13" s="751">
        <f>D13/F13</f>
        <v>1</v>
      </c>
      <c r="AB13" s="751">
        <f>D13/H13</f>
        <v>1</v>
      </c>
      <c r="AC13" s="751">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05"/>
      <c r="Q14" s="1881">
        <f t="shared" si="6"/>
        <v>111</v>
      </c>
      <c r="R14" s="748" t="s">
        <v>25</v>
      </c>
      <c r="S14" s="749">
        <f t="shared" si="0"/>
        <v>100</v>
      </c>
      <c r="T14" s="748" t="s">
        <v>25</v>
      </c>
      <c r="U14" s="749">
        <f t="shared" si="1"/>
        <v>100</v>
      </c>
      <c r="V14" s="748" t="s">
        <v>25</v>
      </c>
      <c r="W14" s="749">
        <f t="shared" si="2"/>
        <v>100</v>
      </c>
      <c r="X14" s="750"/>
      <c r="Y14" s="2842"/>
      <c r="Z14" s="23">
        <f t="shared" si="7"/>
        <v>111</v>
      </c>
      <c r="AA14" s="751">
        <f>D14/F14</f>
        <v>1</v>
      </c>
      <c r="AB14" s="751">
        <f>D14/H14</f>
        <v>1</v>
      </c>
      <c r="AC14" s="751">
        <f>D14/J14</f>
        <v>1</v>
      </c>
    </row>
    <row r="15" spans="1:30" ht="99.75">
      <c r="A15" s="380" t="s">
        <v>2361</v>
      </c>
      <c r="B15" s="1482" t="s">
        <v>1735</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25" t="s">
        <v>2362</v>
      </c>
      <c r="Q15" s="1893" t="str">
        <f t="shared" si="6"/>
        <v>居住社区成熟度</v>
      </c>
      <c r="R15" s="752" t="s">
        <v>25</v>
      </c>
      <c r="S15" s="753">
        <f t="shared" si="0"/>
        <v>100</v>
      </c>
      <c r="T15" s="752" t="s">
        <v>25</v>
      </c>
      <c r="U15" s="753">
        <f t="shared" si="1"/>
        <v>100</v>
      </c>
      <c r="V15" s="752" t="s">
        <v>25</v>
      </c>
      <c r="W15" s="753">
        <f t="shared" si="2"/>
        <v>100</v>
      </c>
      <c r="X15" s="1894"/>
      <c r="Y15" s="3025" t="s">
        <v>2362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026"/>
      <c r="Q16" s="1893"/>
      <c r="R16" s="752"/>
      <c r="S16" s="753"/>
      <c r="T16" s="752"/>
      <c r="U16" s="753"/>
      <c r="V16" s="752"/>
      <c r="W16" s="753"/>
      <c r="X16" s="1894"/>
      <c r="Y16" s="3026"/>
      <c r="Z16" s="1896"/>
      <c r="AA16" s="1897">
        <v>1</v>
      </c>
      <c r="AB16" s="1897">
        <v>1</v>
      </c>
      <c r="AC16" s="1897">
        <v>1</v>
      </c>
    </row>
    <row r="17" spans="1:29" ht="71.25">
      <c r="A17" s="383"/>
      <c r="B17" s="1484" t="s">
        <v>2447</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26"/>
      <c r="Q17" s="1893" t="str">
        <f>B17</f>
        <v>商业繁华度</v>
      </c>
      <c r="R17" s="752" t="s">
        <v>25</v>
      </c>
      <c r="S17" s="753">
        <f>F17</f>
        <v>100</v>
      </c>
      <c r="T17" s="752" t="s">
        <v>25</v>
      </c>
      <c r="U17" s="753">
        <f>H17</f>
        <v>100</v>
      </c>
      <c r="V17" s="752" t="s">
        <v>25</v>
      </c>
      <c r="W17" s="753">
        <f>J17</f>
        <v>100</v>
      </c>
      <c r="X17" s="1894"/>
      <c r="Y17" s="3026"/>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026"/>
      <c r="Q18" s="1893"/>
      <c r="R18" s="752"/>
      <c r="S18" s="753"/>
      <c r="T18" s="752"/>
      <c r="U18" s="753"/>
      <c r="V18" s="752"/>
      <c r="W18" s="753"/>
      <c r="X18" s="1894"/>
      <c r="Y18" s="3026"/>
      <c r="Z18" s="1896"/>
      <c r="AA18" s="1897">
        <v>1</v>
      </c>
      <c r="AB18" s="1897">
        <v>1</v>
      </c>
      <c r="AC18" s="1897">
        <v>1</v>
      </c>
    </row>
    <row r="19" spans="1:29" ht="71.25">
      <c r="A19" s="383"/>
      <c r="B19" s="1484" t="s">
        <v>2476</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26"/>
      <c r="Q19" s="1893" t="str">
        <f>B19</f>
        <v>办公集聚程度</v>
      </c>
      <c r="R19" s="752" t="s">
        <v>25</v>
      </c>
      <c r="S19" s="753">
        <f>F19</f>
        <v>100</v>
      </c>
      <c r="T19" s="752" t="s">
        <v>25</v>
      </c>
      <c r="U19" s="753">
        <f>H19</f>
        <v>100</v>
      </c>
      <c r="V19" s="752" t="s">
        <v>25</v>
      </c>
      <c r="W19" s="753">
        <f>J19</f>
        <v>100</v>
      </c>
      <c r="X19" s="1894"/>
      <c r="Y19" s="3026"/>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026"/>
      <c r="Q20" s="1893"/>
      <c r="R20" s="752"/>
      <c r="S20" s="753"/>
      <c r="T20" s="752"/>
      <c r="U20" s="753"/>
      <c r="V20" s="752"/>
      <c r="W20" s="753"/>
      <c r="X20" s="1894"/>
      <c r="Y20" s="3026"/>
      <c r="Z20" s="1896"/>
      <c r="AA20" s="1897">
        <v>1</v>
      </c>
      <c r="AB20" s="1897">
        <v>1</v>
      </c>
      <c r="AC20" s="1897">
        <v>1</v>
      </c>
    </row>
    <row r="21" spans="1:29" ht="85.5">
      <c r="A21" s="383"/>
      <c r="B21" s="1484" t="s">
        <v>2505</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26"/>
      <c r="Q21" s="1893" t="str">
        <f>B21</f>
        <v>交通便捷度</v>
      </c>
      <c r="R21" s="752" t="s">
        <v>25</v>
      </c>
      <c r="S21" s="753">
        <f>F21</f>
        <v>100</v>
      </c>
      <c r="T21" s="752" t="s">
        <v>25</v>
      </c>
      <c r="U21" s="753">
        <f>H21</f>
        <v>100</v>
      </c>
      <c r="V21" s="752" t="s">
        <v>25</v>
      </c>
      <c r="W21" s="753">
        <f>J21</f>
        <v>100</v>
      </c>
      <c r="X21" s="1894"/>
      <c r="Y21" s="3026"/>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026"/>
      <c r="Q22" s="1893"/>
      <c r="R22" s="752"/>
      <c r="S22" s="753"/>
      <c r="T22" s="752"/>
      <c r="U22" s="753"/>
      <c r="V22" s="752"/>
      <c r="W22" s="753"/>
      <c r="X22" s="1894"/>
      <c r="Y22" s="3026"/>
      <c r="Z22" s="1896"/>
      <c r="AA22" s="1897">
        <v>1</v>
      </c>
      <c r="AB22" s="1897">
        <v>1</v>
      </c>
      <c r="AC22" s="1897">
        <v>1</v>
      </c>
    </row>
    <row r="23" spans="1:29" ht="15">
      <c r="A23" s="383"/>
      <c r="B23" s="1487"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26"/>
      <c r="Q23" s="1893" t="str">
        <f t="shared" ref="Q23:Q37" si="8">B23</f>
        <v>区域土地利用方向</v>
      </c>
      <c r="R23" s="752" t="s">
        <v>25</v>
      </c>
      <c r="S23" s="753">
        <f>F23</f>
        <v>100</v>
      </c>
      <c r="T23" s="752" t="s">
        <v>25</v>
      </c>
      <c r="U23" s="753">
        <f>H23</f>
        <v>100</v>
      </c>
      <c r="V23" s="752" t="s">
        <v>25</v>
      </c>
      <c r="W23" s="753">
        <f>J23</f>
        <v>100</v>
      </c>
      <c r="X23" s="1894"/>
      <c r="Y23" s="3026"/>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3"/>
      <c r="L24" s="1248"/>
      <c r="M24" s="1239"/>
      <c r="N24" s="1239"/>
      <c r="O24" s="1247"/>
      <c r="P24" s="3026"/>
      <c r="Q24" s="1893"/>
      <c r="R24" s="752"/>
      <c r="S24" s="753"/>
      <c r="T24" s="752"/>
      <c r="U24" s="753"/>
      <c r="V24" s="752"/>
      <c r="W24" s="753"/>
      <c r="X24" s="1894"/>
      <c r="Y24" s="3026"/>
      <c r="Z24" s="1896"/>
      <c r="AA24" s="1897"/>
      <c r="AB24" s="1897"/>
      <c r="AC24" s="1897"/>
    </row>
    <row r="25" spans="1:29" ht="57">
      <c r="A25" s="383"/>
      <c r="B25" s="1486" t="s">
        <v>2546</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26"/>
      <c r="Q25" s="1893" t="str">
        <f t="shared" si="8"/>
        <v>自然及人文环境状况</v>
      </c>
      <c r="R25" s="752" t="s">
        <v>25</v>
      </c>
      <c r="S25" s="753">
        <f>F25</f>
        <v>100</v>
      </c>
      <c r="T25" s="752" t="s">
        <v>25</v>
      </c>
      <c r="U25" s="753">
        <f>H25</f>
        <v>100</v>
      </c>
      <c r="V25" s="752" t="s">
        <v>25</v>
      </c>
      <c r="W25" s="753">
        <f>J25</f>
        <v>100</v>
      </c>
      <c r="X25" s="1894"/>
      <c r="Y25" s="3026"/>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26"/>
      <c r="Q26" s="1893"/>
      <c r="R26" s="752"/>
      <c r="S26" s="753"/>
      <c r="T26" s="752"/>
      <c r="U26" s="753"/>
      <c r="V26" s="752"/>
      <c r="W26" s="753"/>
      <c r="X26" s="1894"/>
      <c r="Y26" s="3026"/>
      <c r="Z26" s="1896"/>
      <c r="AA26" s="1897">
        <v>1</v>
      </c>
      <c r="AB26" s="1897">
        <v>1</v>
      </c>
      <c r="AC26" s="1897">
        <v>1</v>
      </c>
    </row>
    <row r="27" spans="1:29" ht="42.75">
      <c r="A27" s="383"/>
      <c r="B27" s="1486" t="s">
        <v>2448</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26"/>
      <c r="Q27" s="1881" t="str">
        <f t="shared" ref="Q27" si="9">B27</f>
        <v>公共配套设施</v>
      </c>
      <c r="R27" s="748" t="s">
        <v>25</v>
      </c>
      <c r="S27" s="749">
        <f>F27</f>
        <v>100</v>
      </c>
      <c r="T27" s="748" t="s">
        <v>25</v>
      </c>
      <c r="U27" s="749">
        <f>H27</f>
        <v>100</v>
      </c>
      <c r="V27" s="748" t="s">
        <v>25</v>
      </c>
      <c r="W27" s="749">
        <f>J27</f>
        <v>100</v>
      </c>
      <c r="X27" s="1894"/>
      <c r="Y27" s="3026"/>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026"/>
      <c r="Q28" s="1893"/>
      <c r="R28" s="752"/>
      <c r="S28" s="753"/>
      <c r="T28" s="752"/>
      <c r="U28" s="753"/>
      <c r="V28" s="752"/>
      <c r="W28" s="753"/>
      <c r="X28" s="1894"/>
      <c r="Y28" s="3026"/>
      <c r="Z28" s="23"/>
      <c r="AA28" s="1897">
        <v>1</v>
      </c>
      <c r="AB28" s="1897">
        <v>1</v>
      </c>
      <c r="AC28" s="1897">
        <v>1</v>
      </c>
    </row>
    <row r="29" spans="1:29" s="35" customFormat="1" ht="28.5">
      <c r="A29" s="633"/>
      <c r="B29" s="1486" t="s">
        <v>2449</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26"/>
      <c r="Q29" s="1881" t="str">
        <f t="shared" si="8"/>
        <v>基础设施水平</v>
      </c>
      <c r="R29" s="748" t="s">
        <v>25</v>
      </c>
      <c r="S29" s="749">
        <f>F29</f>
        <v>100</v>
      </c>
      <c r="T29" s="748" t="s">
        <v>25</v>
      </c>
      <c r="U29" s="749">
        <f>H29</f>
        <v>100</v>
      </c>
      <c r="V29" s="748" t="s">
        <v>25</v>
      </c>
      <c r="W29" s="749">
        <f>J29</f>
        <v>100</v>
      </c>
      <c r="X29" s="750"/>
      <c r="Y29" s="3026"/>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026"/>
      <c r="Q30" s="1881"/>
      <c r="R30" s="748"/>
      <c r="S30" s="749"/>
      <c r="T30" s="748"/>
      <c r="U30" s="749"/>
      <c r="V30" s="748"/>
      <c r="W30" s="749"/>
      <c r="X30" s="750"/>
      <c r="Y30" s="3026"/>
      <c r="Z30" s="23"/>
      <c r="AA30" s="1897">
        <v>1</v>
      </c>
      <c r="AB30" s="1897">
        <v>1</v>
      </c>
      <c r="AC30" s="1897">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26"/>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26"/>
      <c r="Z31" s="1896" t="str">
        <f t="shared" ref="Z31:Z45" si="13">Q31</f>
        <v>临街状况</v>
      </c>
      <c r="AA31" s="1897">
        <f t="shared" si="3"/>
        <v>1</v>
      </c>
      <c r="AB31" s="1897">
        <f t="shared" si="4"/>
        <v>1</v>
      </c>
      <c r="AC31" s="1897">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26"/>
      <c r="Q32" s="1893" t="str">
        <f t="shared" si="8"/>
        <v>毗邻道路的类型与等级</v>
      </c>
      <c r="R32" s="752" t="s">
        <v>25</v>
      </c>
      <c r="S32" s="753">
        <f t="shared" si="10"/>
        <v>100</v>
      </c>
      <c r="T32" s="752" t="s">
        <v>25</v>
      </c>
      <c r="U32" s="753">
        <f t="shared" si="11"/>
        <v>100</v>
      </c>
      <c r="V32" s="752" t="s">
        <v>25</v>
      </c>
      <c r="W32" s="753">
        <f t="shared" si="12"/>
        <v>100</v>
      </c>
      <c r="X32" s="1894"/>
      <c r="Y32" s="3026"/>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26"/>
      <c r="Q33" s="1893"/>
      <c r="R33" s="752"/>
      <c r="S33" s="753"/>
      <c r="T33" s="752"/>
      <c r="U33" s="753"/>
      <c r="V33" s="752"/>
      <c r="W33" s="753"/>
      <c r="X33" s="1894"/>
      <c r="Y33" s="3026"/>
      <c r="Z33" s="1896"/>
      <c r="AA33" s="1897">
        <v>1</v>
      </c>
      <c r="AB33" s="1897">
        <v>1</v>
      </c>
      <c r="AC33" s="1897">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26"/>
      <c r="Q34" s="1893" t="str">
        <f t="shared" si="8"/>
        <v>土地级别</v>
      </c>
      <c r="R34" s="752" t="s">
        <v>25</v>
      </c>
      <c r="S34" s="753">
        <f t="shared" si="10"/>
        <v>100</v>
      </c>
      <c r="T34" s="752" t="s">
        <v>25</v>
      </c>
      <c r="U34" s="753">
        <f t="shared" si="11"/>
        <v>100</v>
      </c>
      <c r="V34" s="752" t="s">
        <v>25</v>
      </c>
      <c r="W34" s="753">
        <f t="shared" si="12"/>
        <v>100</v>
      </c>
      <c r="X34" s="1894"/>
      <c r="Y34" s="3026"/>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26"/>
      <c r="Q35" s="1893">
        <f t="shared" si="8"/>
        <v>111</v>
      </c>
      <c r="R35" s="752" t="s">
        <v>25</v>
      </c>
      <c r="S35" s="753">
        <f t="shared" si="10"/>
        <v>100</v>
      </c>
      <c r="T35" s="752" t="s">
        <v>25</v>
      </c>
      <c r="U35" s="753">
        <f t="shared" si="11"/>
        <v>100</v>
      </c>
      <c r="V35" s="752" t="s">
        <v>25</v>
      </c>
      <c r="W35" s="753">
        <f t="shared" si="12"/>
        <v>100</v>
      </c>
      <c r="X35" s="1894"/>
      <c r="Y35" s="3026"/>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8" t="s">
        <v>2368</v>
      </c>
      <c r="Q36" s="1893">
        <f t="shared" si="8"/>
        <v>111</v>
      </c>
      <c r="R36" s="752" t="s">
        <v>25</v>
      </c>
      <c r="S36" s="753">
        <f t="shared" si="10"/>
        <v>100</v>
      </c>
      <c r="T36" s="752" t="s">
        <v>25</v>
      </c>
      <c r="U36" s="753">
        <f t="shared" si="11"/>
        <v>100</v>
      </c>
      <c r="V36" s="752" t="s">
        <v>25</v>
      </c>
      <c r="W36" s="753">
        <f t="shared" si="12"/>
        <v>100</v>
      </c>
      <c r="X36" s="1894"/>
      <c r="Y36" s="3012" t="s">
        <v>2368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12"/>
      <c r="Q37" s="1893">
        <f t="shared" si="8"/>
        <v>111</v>
      </c>
      <c r="R37" s="755" t="s">
        <v>25</v>
      </c>
      <c r="S37" s="756">
        <f t="shared" si="10"/>
        <v>100</v>
      </c>
      <c r="T37" s="755" t="s">
        <v>25</v>
      </c>
      <c r="U37" s="756">
        <f t="shared" si="11"/>
        <v>100</v>
      </c>
      <c r="V37" s="755" t="s">
        <v>25</v>
      </c>
      <c r="W37" s="756">
        <f t="shared" si="12"/>
        <v>100</v>
      </c>
      <c r="X37" s="757"/>
      <c r="Y37" s="3012"/>
      <c r="Z37" s="758">
        <f t="shared" si="13"/>
        <v>111</v>
      </c>
      <c r="AA37" s="1897">
        <f t="shared" si="3"/>
        <v>1</v>
      </c>
      <c r="AB37" s="1897">
        <f t="shared" si="4"/>
        <v>1</v>
      </c>
      <c r="AC37" s="1897">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12"/>
      <c r="Q38" s="1893" t="str">
        <f>B38</f>
        <v>宗地面积</v>
      </c>
      <c r="R38" s="752" t="s">
        <v>25</v>
      </c>
      <c r="S38" s="753" t="e">
        <f t="shared" si="10"/>
        <v>#N/A</v>
      </c>
      <c r="T38" s="752" t="s">
        <v>25</v>
      </c>
      <c r="U38" s="753" t="e">
        <f t="shared" si="11"/>
        <v>#N/A</v>
      </c>
      <c r="V38" s="752" t="s">
        <v>25</v>
      </c>
      <c r="W38" s="753" t="e">
        <f t="shared" si="12"/>
        <v>#N/A</v>
      </c>
      <c r="X38" s="1894"/>
      <c r="Y38" s="3012"/>
      <c r="Z38" s="1896" t="str">
        <f t="shared" si="13"/>
        <v>宗地面积</v>
      </c>
      <c r="AA38" s="1897" t="e">
        <f t="shared" si="3"/>
        <v>#N/A</v>
      </c>
      <c r="AB38" s="1897" t="e">
        <f t="shared" si="4"/>
        <v>#N/A</v>
      </c>
      <c r="AC38" s="1897"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012"/>
      <c r="Q39" s="1893" t="str">
        <f t="shared" ref="Q39:Q45" si="14">B39</f>
        <v>宗地形状</v>
      </c>
      <c r="R39" s="752" t="s">
        <v>25</v>
      </c>
      <c r="S39" s="753">
        <f t="shared" si="10"/>
        <v>100</v>
      </c>
      <c r="T39" s="752" t="s">
        <v>25</v>
      </c>
      <c r="U39" s="753">
        <f t="shared" si="11"/>
        <v>100</v>
      </c>
      <c r="V39" s="752" t="s">
        <v>25</v>
      </c>
      <c r="W39" s="753">
        <f t="shared" si="12"/>
        <v>100</v>
      </c>
      <c r="X39" s="1894"/>
      <c r="Y39" s="3012"/>
      <c r="Z39" s="1896" t="str">
        <f t="shared" si="13"/>
        <v>宗地形状</v>
      </c>
      <c r="AA39" s="1897">
        <f t="shared" si="3"/>
        <v>1</v>
      </c>
      <c r="AB39" s="1897">
        <f t="shared" si="4"/>
        <v>1</v>
      </c>
      <c r="AC39" s="1897">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012"/>
      <c r="Q40" s="1893" t="str">
        <f t="shared" si="14"/>
        <v>临街宽度及深度</v>
      </c>
      <c r="R40" s="752" t="s">
        <v>25</v>
      </c>
      <c r="S40" s="753">
        <f t="shared" si="10"/>
        <v>100</v>
      </c>
      <c r="T40" s="752" t="s">
        <v>25</v>
      </c>
      <c r="U40" s="753">
        <f t="shared" si="11"/>
        <v>100</v>
      </c>
      <c r="V40" s="752" t="s">
        <v>25</v>
      </c>
      <c r="W40" s="753">
        <f t="shared" si="12"/>
        <v>100</v>
      </c>
      <c r="X40" s="1894"/>
      <c r="Y40" s="3012"/>
      <c r="Z40" s="1896" t="str">
        <f t="shared" si="13"/>
        <v>临街宽度及深度</v>
      </c>
      <c r="AA40" s="1897">
        <f t="shared" si="3"/>
        <v>1</v>
      </c>
      <c r="AB40" s="1897">
        <f t="shared" si="4"/>
        <v>1</v>
      </c>
      <c r="AC40" s="1897">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012"/>
      <c r="Q41" s="1893" t="str">
        <f t="shared" si="14"/>
        <v>宗地开发程度</v>
      </c>
      <c r="R41" s="748" t="s">
        <v>25</v>
      </c>
      <c r="S41" s="749">
        <f t="shared" si="10"/>
        <v>100</v>
      </c>
      <c r="T41" s="748" t="s">
        <v>25</v>
      </c>
      <c r="U41" s="749">
        <f t="shared" si="11"/>
        <v>100</v>
      </c>
      <c r="V41" s="748" t="s">
        <v>25</v>
      </c>
      <c r="W41" s="749">
        <f t="shared" si="12"/>
        <v>100</v>
      </c>
      <c r="X41" s="750"/>
      <c r="Y41" s="3012"/>
      <c r="Z41" s="23" t="str">
        <f t="shared" si="13"/>
        <v>宗地开发程度</v>
      </c>
      <c r="AA41" s="751">
        <f t="shared" si="3"/>
        <v>1</v>
      </c>
      <c r="AB41" s="751">
        <f t="shared" si="4"/>
        <v>1</v>
      </c>
      <c r="AC41" s="751">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012" t="s">
        <v>2368</v>
      </c>
      <c r="Q42" s="1893" t="str">
        <f t="shared" si="14"/>
        <v>工程地质条件</v>
      </c>
      <c r="R42" s="752" t="s">
        <v>25</v>
      </c>
      <c r="S42" s="753">
        <f t="shared" si="10"/>
        <v>100</v>
      </c>
      <c r="T42" s="752" t="s">
        <v>25</v>
      </c>
      <c r="U42" s="753">
        <f t="shared" si="11"/>
        <v>100</v>
      </c>
      <c r="V42" s="752" t="s">
        <v>25</v>
      </c>
      <c r="W42" s="753">
        <f t="shared" si="12"/>
        <v>100</v>
      </c>
      <c r="X42" s="1894"/>
      <c r="Y42" s="3012" t="s">
        <v>2368</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12"/>
      <c r="Q43" s="1893">
        <f t="shared" si="14"/>
        <v>111</v>
      </c>
      <c r="R43" s="752" t="s">
        <v>25</v>
      </c>
      <c r="S43" s="753">
        <f t="shared" si="10"/>
        <v>100</v>
      </c>
      <c r="T43" s="752" t="s">
        <v>25</v>
      </c>
      <c r="U43" s="753">
        <f t="shared" si="11"/>
        <v>100</v>
      </c>
      <c r="V43" s="752" t="s">
        <v>25</v>
      </c>
      <c r="W43" s="753">
        <f t="shared" si="12"/>
        <v>100</v>
      </c>
      <c r="X43" s="1894"/>
      <c r="Y43" s="3012"/>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12"/>
      <c r="Q44" s="1893">
        <f t="shared" si="14"/>
        <v>111</v>
      </c>
      <c r="R44" s="752" t="s">
        <v>25</v>
      </c>
      <c r="S44" s="753">
        <f t="shared" si="10"/>
        <v>100</v>
      </c>
      <c r="T44" s="752" t="s">
        <v>25</v>
      </c>
      <c r="U44" s="753">
        <f t="shared" si="11"/>
        <v>100</v>
      </c>
      <c r="V44" s="752" t="s">
        <v>25</v>
      </c>
      <c r="W44" s="753">
        <f t="shared" si="12"/>
        <v>100</v>
      </c>
      <c r="X44" s="1894"/>
      <c r="Y44" s="3012"/>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12"/>
      <c r="Q45" s="1893">
        <f t="shared" si="14"/>
        <v>111</v>
      </c>
      <c r="R45" s="755" t="s">
        <v>25</v>
      </c>
      <c r="S45" s="756">
        <f t="shared" si="10"/>
        <v>100</v>
      </c>
      <c r="T45" s="755" t="s">
        <v>25</v>
      </c>
      <c r="U45" s="756">
        <f t="shared" si="11"/>
        <v>100</v>
      </c>
      <c r="V45" s="755" t="s">
        <v>25</v>
      </c>
      <c r="W45" s="756">
        <f t="shared" si="12"/>
        <v>100</v>
      </c>
      <c r="X45" s="757"/>
      <c r="Y45" s="3012"/>
      <c r="Z45" s="758">
        <f t="shared" si="13"/>
        <v>111</v>
      </c>
      <c r="AA45" s="1897">
        <f t="shared" si="3"/>
        <v>1</v>
      </c>
      <c r="AB45" s="1897">
        <f t="shared" si="4"/>
        <v>1</v>
      </c>
      <c r="AC45" s="1897">
        <f t="shared" si="5"/>
        <v>1</v>
      </c>
    </row>
    <row r="46" spans="1:29" ht="15">
      <c r="A46" s="460" t="s">
        <v>2516</v>
      </c>
      <c r="B46" s="2488" t="s">
        <v>2553</v>
      </c>
      <c r="C46" s="665" t="s">
        <v>1</v>
      </c>
      <c r="D46" s="462"/>
      <c r="E46" s="463"/>
      <c r="F46" s="464"/>
      <c r="G46" s="465"/>
      <c r="H46" s="466"/>
      <c r="I46" s="463"/>
      <c r="J46" s="466"/>
      <c r="K46" s="761"/>
      <c r="L46" s="1251"/>
      <c r="M46" s="1252"/>
      <c r="N46" s="1239"/>
      <c r="O46" s="1252"/>
      <c r="P46" s="3005" t="str">
        <f>A46</f>
        <v>成交单价</v>
      </c>
      <c r="Q46" s="3005"/>
      <c r="R46" s="3038">
        <f>E46</f>
        <v>0</v>
      </c>
      <c r="S46" s="3038"/>
      <c r="T46" s="3038">
        <f>G46</f>
        <v>0</v>
      </c>
      <c r="U46" s="3038"/>
      <c r="V46" s="3038">
        <f>I46</f>
        <v>0</v>
      </c>
      <c r="W46" s="3038"/>
      <c r="X46" s="737"/>
      <c r="Y46" s="759"/>
      <c r="Z46" s="737"/>
      <c r="AA46" s="737"/>
      <c r="AB46" s="737"/>
      <c r="AC46" s="737"/>
    </row>
    <row r="47" spans="1:29" ht="15.75" thickBot="1">
      <c r="A47" s="467" t="s">
        <v>2463</v>
      </c>
      <c r="B47" s="666"/>
      <c r="C47" s="471" t="e">
        <f>R48</f>
        <v>#DIV/0!</v>
      </c>
      <c r="D47" s="470"/>
      <c r="E47" s="471" t="e">
        <f>R47</f>
        <v>#DIV/0!</v>
      </c>
      <c r="F47" s="472"/>
      <c r="G47" s="469" t="e">
        <f>T47</f>
        <v>#DIV/0!</v>
      </c>
      <c r="H47" s="470"/>
      <c r="I47" s="471" t="e">
        <f>V47</f>
        <v>#DIV/0!</v>
      </c>
      <c r="J47" s="470"/>
      <c r="K47" s="762"/>
      <c r="L47" s="1251"/>
      <c r="M47" s="1252"/>
      <c r="N47" s="1252"/>
      <c r="O47" s="1252"/>
      <c r="P47" s="3005" t="str">
        <f>A47</f>
        <v>比较价值（元/平方米）</v>
      </c>
      <c r="Q47" s="3005"/>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2486</v>
      </c>
      <c r="B48" s="474"/>
      <c r="C48" s="475" t="e">
        <f>R48</f>
        <v>#DIV/0!</v>
      </c>
      <c r="D48" s="475"/>
      <c r="E48" s="475"/>
      <c r="F48" s="475"/>
      <c r="G48" s="475"/>
      <c r="H48" s="475"/>
      <c r="I48" s="475"/>
      <c r="J48" s="475"/>
      <c r="K48" s="763"/>
      <c r="L48" s="1251"/>
      <c r="M48" s="1252"/>
      <c r="N48" s="1252"/>
      <c r="O48" s="1252"/>
      <c r="P48" s="3057" t="str">
        <f>A48</f>
        <v>估价对象XX用房的比较价值（楼面单价，元/平方米）</v>
      </c>
      <c r="Q48" s="3004"/>
      <c r="R48" s="3070" t="e">
        <f>ROUND(AVERAGE(R47:V47),0)</f>
        <v>#DIV/0!</v>
      </c>
      <c r="S48" s="3070"/>
      <c r="T48" s="3070"/>
      <c r="U48" s="3070"/>
      <c r="V48" s="3070"/>
      <c r="W48" s="307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2554</v>
      </c>
      <c r="B55" s="668" t="s">
        <v>2555</v>
      </c>
      <c r="C55" s="2489" t="s">
        <v>2556</v>
      </c>
      <c r="D55" s="2490" t="s">
        <v>2557</v>
      </c>
      <c r="E55" s="669" t="s">
        <v>2558</v>
      </c>
      <c r="F55" s="670" t="s">
        <v>2559</v>
      </c>
      <c r="G55" s="62" t="s">
        <v>2560</v>
      </c>
      <c r="H55" s="62" t="str">
        <f>项目基本情况!G8</f>
        <v>XX</v>
      </c>
      <c r="I55" s="2491" t="s">
        <v>2561</v>
      </c>
      <c r="J55" s="738"/>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2563</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2564</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2565</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2566</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2567</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2568</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2569</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2570</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2571</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2572</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2019-7-1</v>
      </c>
      <c r="D68" s="1665">
        <f>EDATE(C68,-3)</f>
        <v>43556</v>
      </c>
      <c r="E68" s="1665">
        <f t="shared" ref="E68:O68" si="18">EDATE(D68,-3)</f>
        <v>43466</v>
      </c>
      <c r="F68" s="1665">
        <f t="shared" si="18"/>
        <v>43374</v>
      </c>
      <c r="G68" s="1665">
        <f t="shared" si="18"/>
        <v>43282</v>
      </c>
      <c r="H68" s="1665">
        <f t="shared" si="18"/>
        <v>43191</v>
      </c>
      <c r="I68" s="1665">
        <f t="shared" si="18"/>
        <v>43101</v>
      </c>
      <c r="J68" s="1665">
        <f t="shared" si="18"/>
        <v>43009</v>
      </c>
      <c r="K68" s="1665">
        <f t="shared" si="18"/>
        <v>42917</v>
      </c>
      <c r="L68" s="1665">
        <f t="shared" si="18"/>
        <v>42826</v>
      </c>
      <c r="M68" s="1665">
        <f t="shared" si="18"/>
        <v>42736</v>
      </c>
      <c r="N68" s="1665">
        <f t="shared" si="18"/>
        <v>42644</v>
      </c>
      <c r="O68" s="1665">
        <f t="shared" si="18"/>
        <v>42552</v>
      </c>
    </row>
    <row r="69" spans="1:17" ht="21.75" thickBot="1">
      <c r="A69" s="741" t="s">
        <v>2468</v>
      </c>
      <c r="B69" s="737"/>
      <c r="C69" s="742"/>
      <c r="D69" s="742"/>
      <c r="E69" s="742"/>
      <c r="F69" s="743"/>
      <c r="G69" s="743"/>
      <c r="H69" s="742"/>
      <c r="I69" s="1268"/>
      <c r="J69" s="1268"/>
      <c r="K69" s="1266"/>
      <c r="L69" s="1267"/>
      <c r="M69" s="1268"/>
      <c r="N69" s="1268"/>
      <c r="O69" s="1268"/>
      <c r="P69" s="484"/>
      <c r="Q69" s="485"/>
    </row>
    <row r="70" spans="1:17" s="1669" customFormat="1" ht="15">
      <c r="A70" s="2492" t="s">
        <v>2573</v>
      </c>
      <c r="B70" s="1451"/>
      <c r="C70" s="1666" t="str">
        <f>YEAR(C68)&amp;"-"&amp;ROUNDUP(MONTH(C68)/3,0)</f>
        <v>2019-3</v>
      </c>
      <c r="D70" s="1666" t="str">
        <f>YEAR(D68)&amp;"-"&amp;ROUNDUP(MONTH(D68)/3,0)</f>
        <v>2019-2</v>
      </c>
      <c r="E70" s="1666" t="str">
        <f t="shared" ref="E70:O70" si="19">YEAR(E68)&amp;"-"&amp;ROUNDUP(MONTH(E68)/3,0)</f>
        <v>2019-1</v>
      </c>
      <c r="F70" s="1666" t="str">
        <f t="shared" si="19"/>
        <v>2018-4</v>
      </c>
      <c r="G70" s="1666" t="str">
        <f t="shared" si="19"/>
        <v>2018-3</v>
      </c>
      <c r="H70" s="1666" t="str">
        <f t="shared" si="19"/>
        <v>2018-2</v>
      </c>
      <c r="I70" s="1666" t="str">
        <f t="shared" si="19"/>
        <v>2018-1</v>
      </c>
      <c r="J70" s="1666" t="str">
        <f t="shared" si="19"/>
        <v>2017-4</v>
      </c>
      <c r="K70" s="1666" t="str">
        <f t="shared" si="19"/>
        <v>2017-3</v>
      </c>
      <c r="L70" s="1666" t="str">
        <f t="shared" si="19"/>
        <v>2017-2</v>
      </c>
      <c r="M70" s="1666" t="str">
        <f t="shared" si="19"/>
        <v>2017-1</v>
      </c>
      <c r="N70" s="1666" t="str">
        <f t="shared" si="19"/>
        <v>2016-4</v>
      </c>
      <c r="O70" s="1666" t="str">
        <f t="shared" si="19"/>
        <v>2016-3</v>
      </c>
      <c r="P70" s="1668"/>
    </row>
    <row r="71" spans="1:17" s="35" customFormat="1" ht="29.25" customHeight="1">
      <c r="A71" s="2493" t="s">
        <v>2574</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3"/>
      <c r="E1" s="733"/>
      <c r="F1" s="732" t="s">
        <v>2335</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2541</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2337</v>
      </c>
      <c r="B4" s="381"/>
      <c r="C4" s="3030" t="s">
        <v>2338</v>
      </c>
      <c r="D4" s="3031"/>
      <c r="E4" s="3032" t="s">
        <v>2339</v>
      </c>
      <c r="F4" s="3033"/>
      <c r="G4" s="3030" t="s">
        <v>2340</v>
      </c>
      <c r="H4" s="3031"/>
      <c r="I4" s="3030" t="s">
        <v>2341</v>
      </c>
      <c r="J4" s="3031"/>
      <c r="K4" s="594" t="s">
        <v>2342</v>
      </c>
      <c r="L4" s="1238"/>
      <c r="M4" s="1239"/>
      <c r="N4" s="1239"/>
      <c r="O4" s="1239"/>
      <c r="P4" s="3064" t="s">
        <v>2343</v>
      </c>
      <c r="Q4" s="3023"/>
      <c r="R4" s="3016" t="s">
        <v>2339</v>
      </c>
      <c r="S4" s="3017"/>
      <c r="T4" s="3016" t="s">
        <v>2340</v>
      </c>
      <c r="U4" s="3017"/>
      <c r="V4" s="3038" t="s">
        <v>2341</v>
      </c>
      <c r="W4" s="3038"/>
      <c r="X4" s="1894"/>
      <c r="Y4" s="3016" t="s">
        <v>2343</v>
      </c>
      <c r="Z4" s="3017"/>
      <c r="AA4" s="3027" t="s">
        <v>2339</v>
      </c>
      <c r="AB4" s="3028" t="s">
        <v>2340</v>
      </c>
      <c r="AC4" s="3027" t="s">
        <v>2341</v>
      </c>
    </row>
    <row r="5" spans="1:29" ht="15">
      <c r="A5" s="383"/>
      <c r="B5" s="384"/>
      <c r="C5" s="3041" t="s">
        <v>2344</v>
      </c>
      <c r="D5" s="3042"/>
      <c r="E5" s="3067" t="s">
        <v>2345</v>
      </c>
      <c r="F5" s="3040"/>
      <c r="G5" s="3041" t="s">
        <v>2346</v>
      </c>
      <c r="H5" s="3042"/>
      <c r="I5" s="3041" t="s">
        <v>2347</v>
      </c>
      <c r="J5" s="3042"/>
      <c r="K5" s="594"/>
      <c r="L5" s="1238"/>
      <c r="M5" s="1239"/>
      <c r="N5" s="1239"/>
      <c r="O5" s="1239"/>
      <c r="P5" s="3065"/>
      <c r="Q5" s="3024"/>
      <c r="R5" s="3018"/>
      <c r="S5" s="3019"/>
      <c r="T5" s="3018"/>
      <c r="U5" s="3019"/>
      <c r="V5" s="3038"/>
      <c r="W5" s="3038"/>
      <c r="X5" s="1894"/>
      <c r="Y5" s="3018"/>
      <c r="Z5" s="3019"/>
      <c r="AA5" s="3028"/>
      <c r="AB5" s="3028"/>
      <c r="AC5" s="3028"/>
    </row>
    <row r="6" spans="1:29" ht="15.75" thickBot="1">
      <c r="A6" s="385"/>
      <c r="B6" s="386"/>
      <c r="C6" s="3043" t="s">
        <v>2348</v>
      </c>
      <c r="D6" s="3044"/>
      <c r="E6" s="3047" t="s">
        <v>2348</v>
      </c>
      <c r="F6" s="3048"/>
      <c r="G6" s="3043" t="s">
        <v>2348</v>
      </c>
      <c r="H6" s="3044"/>
      <c r="I6" s="3043" t="s">
        <v>2348</v>
      </c>
      <c r="J6" s="3044"/>
      <c r="K6" s="594" t="s">
        <v>2349</v>
      </c>
      <c r="L6" s="1238"/>
      <c r="M6" s="1239"/>
      <c r="N6" s="1239"/>
      <c r="O6" s="1239"/>
      <c r="P6" s="3066"/>
      <c r="Q6" s="3037"/>
      <c r="R6" s="3018"/>
      <c r="S6" s="3019"/>
      <c r="T6" s="3020"/>
      <c r="U6" s="3021"/>
      <c r="V6" s="3038"/>
      <c r="W6" s="3038"/>
      <c r="X6" s="1894"/>
      <c r="Y6" s="3020"/>
      <c r="Z6" s="3021"/>
      <c r="AA6" s="3029"/>
      <c r="AB6" s="3029"/>
      <c r="AC6" s="3029"/>
    </row>
    <row r="7" spans="1:29" s="35" customFormat="1" ht="15.75" thickBot="1">
      <c r="A7" s="387" t="s">
        <v>2350</v>
      </c>
      <c r="B7" s="388"/>
      <c r="C7" s="389">
        <f>'数据-取费表'!B2</f>
        <v>43647</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014" t="s">
        <v>2351</v>
      </c>
      <c r="Q7" s="3022"/>
      <c r="R7" s="748" t="s">
        <v>25</v>
      </c>
      <c r="S7" s="749">
        <f t="shared" ref="S7:S15" si="0">F7</f>
        <v>0</v>
      </c>
      <c r="T7" s="748" t="s">
        <v>25</v>
      </c>
      <c r="U7" s="749">
        <f t="shared" ref="U7:U15" si="1">H7</f>
        <v>0</v>
      </c>
      <c r="V7" s="748" t="s">
        <v>25</v>
      </c>
      <c r="W7" s="749">
        <f t="shared" ref="W7:W15" si="2">J7</f>
        <v>0</v>
      </c>
      <c r="X7" s="750"/>
      <c r="Y7" s="3014" t="s">
        <v>2351</v>
      </c>
      <c r="Z7" s="3015"/>
      <c r="AA7" s="751" t="e">
        <f>D7/F7</f>
        <v>#DIV/0!</v>
      </c>
      <c r="AB7" s="751" t="e">
        <f>D7/H7</f>
        <v>#DIV/0!</v>
      </c>
      <c r="AC7" s="751"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14" t="s">
        <v>2354</v>
      </c>
      <c r="Q8" s="3015"/>
      <c r="R8" s="748" t="s">
        <v>25</v>
      </c>
      <c r="S8" s="749">
        <f t="shared" si="0"/>
        <v>0</v>
      </c>
      <c r="T8" s="748" t="s">
        <v>25</v>
      </c>
      <c r="U8" s="749">
        <f t="shared" si="1"/>
        <v>0</v>
      </c>
      <c r="V8" s="748" t="s">
        <v>25</v>
      </c>
      <c r="W8" s="749">
        <f t="shared" si="2"/>
        <v>0</v>
      </c>
      <c r="X8" s="750"/>
      <c r="Y8" s="3014" t="s">
        <v>2354</v>
      </c>
      <c r="Z8" s="3015"/>
      <c r="AA8" s="751" t="e">
        <f t="shared" ref="AA8:AA40" si="3">D8/F8</f>
        <v>#DIV/0!</v>
      </c>
      <c r="AB8" s="751" t="e">
        <f t="shared" ref="AB8:AB40" si="4">D8/H8</f>
        <v>#DIV/0!</v>
      </c>
      <c r="AC8" s="751"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005" t="s">
        <v>2357</v>
      </c>
      <c r="Q9" s="1881" t="str">
        <f t="shared" ref="Q9:Q15" si="6">B9</f>
        <v>用途</v>
      </c>
      <c r="R9" s="748" t="s">
        <v>25</v>
      </c>
      <c r="S9" s="749">
        <f t="shared" si="0"/>
        <v>100</v>
      </c>
      <c r="T9" s="748" t="s">
        <v>25</v>
      </c>
      <c r="U9" s="749">
        <f t="shared" si="1"/>
        <v>100</v>
      </c>
      <c r="V9" s="748" t="s">
        <v>25</v>
      </c>
      <c r="W9" s="749">
        <f t="shared" si="2"/>
        <v>100</v>
      </c>
      <c r="X9" s="750"/>
      <c r="Y9" s="2842" t="s">
        <v>2358</v>
      </c>
      <c r="Z9" s="23" t="str">
        <f t="shared" ref="Z9:Z15" si="7">Q9</f>
        <v>用途</v>
      </c>
      <c r="AA9" s="751">
        <f t="shared" si="3"/>
        <v>1</v>
      </c>
      <c r="AB9" s="751">
        <f t="shared" si="4"/>
        <v>1</v>
      </c>
      <c r="AC9" s="751">
        <f t="shared" si="5"/>
        <v>1</v>
      </c>
    </row>
    <row r="10" spans="1:29" s="407" customFormat="1" ht="27">
      <c r="A10" s="401"/>
      <c r="B10" s="402" t="s">
        <v>2359</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05"/>
      <c r="Q10" s="1881" t="str">
        <f t="shared" si="6"/>
        <v>土地使用年限（年）</v>
      </c>
      <c r="R10" s="748" t="s">
        <v>25</v>
      </c>
      <c r="S10" s="749">
        <f t="shared" si="0"/>
        <v>134</v>
      </c>
      <c r="T10" s="748" t="s">
        <v>25</v>
      </c>
      <c r="U10" s="749">
        <f t="shared" si="1"/>
        <v>134</v>
      </c>
      <c r="V10" s="748" t="s">
        <v>25</v>
      </c>
      <c r="W10" s="749">
        <f t="shared" si="2"/>
        <v>134</v>
      </c>
      <c r="X10" s="750"/>
      <c r="Y10" s="2842"/>
      <c r="Z10" s="23" t="str">
        <f t="shared" si="7"/>
        <v>土地使用年限（年）</v>
      </c>
      <c r="AA10" s="751">
        <f t="shared" si="3"/>
        <v>0.74626865671641796</v>
      </c>
      <c r="AB10" s="751">
        <f t="shared" si="4"/>
        <v>0.74626865671641796</v>
      </c>
      <c r="AC10" s="751">
        <f t="shared" si="5"/>
        <v>0.74626865671641796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05"/>
      <c r="Q11" s="1881"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05"/>
      <c r="Q12" s="1881">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05"/>
      <c r="Q13" s="1881">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05"/>
      <c r="Q14" s="1881">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25" t="s">
        <v>2362</v>
      </c>
      <c r="Q15" s="1893" t="str">
        <f t="shared" si="6"/>
        <v>产业集聚程度</v>
      </c>
      <c r="R15" s="752" t="s">
        <v>25</v>
      </c>
      <c r="S15" s="753">
        <f t="shared" si="0"/>
        <v>100</v>
      </c>
      <c r="T15" s="752" t="s">
        <v>25</v>
      </c>
      <c r="U15" s="753">
        <f t="shared" si="1"/>
        <v>100</v>
      </c>
      <c r="V15" s="752" t="s">
        <v>25</v>
      </c>
      <c r="W15" s="753">
        <f t="shared" si="2"/>
        <v>100</v>
      </c>
      <c r="X15" s="1894"/>
      <c r="Y15" s="3025" t="s">
        <v>2362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26"/>
      <c r="Q16" s="1893"/>
      <c r="R16" s="752"/>
      <c r="S16" s="753"/>
      <c r="T16" s="752"/>
      <c r="U16" s="753"/>
      <c r="V16" s="752"/>
      <c r="W16" s="753"/>
      <c r="X16" s="1894"/>
      <c r="Y16" s="3026"/>
      <c r="Z16" s="1896"/>
      <c r="AA16" s="1897">
        <v>1</v>
      </c>
      <c r="AB16" s="1897">
        <v>1</v>
      </c>
      <c r="AC16" s="1897">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26"/>
      <c r="Q17" s="1893" t="str">
        <f>B17</f>
        <v>交通便捷度</v>
      </c>
      <c r="R17" s="752" t="s">
        <v>25</v>
      </c>
      <c r="S17" s="753">
        <f>F17</f>
        <v>100</v>
      </c>
      <c r="T17" s="752" t="s">
        <v>25</v>
      </c>
      <c r="U17" s="753">
        <f>H17</f>
        <v>100</v>
      </c>
      <c r="V17" s="752" t="s">
        <v>25</v>
      </c>
      <c r="W17" s="753">
        <f>J17</f>
        <v>100</v>
      </c>
      <c r="X17" s="1894"/>
      <c r="Y17" s="3026"/>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026"/>
      <c r="Q18" s="1893"/>
      <c r="R18" s="752"/>
      <c r="S18" s="753"/>
      <c r="T18" s="752"/>
      <c r="U18" s="753"/>
      <c r="V18" s="752"/>
      <c r="W18" s="753"/>
      <c r="X18" s="1894"/>
      <c r="Y18" s="3026"/>
      <c r="Z18" s="1896"/>
      <c r="AA18" s="1897">
        <v>1</v>
      </c>
      <c r="AB18" s="1897">
        <v>1</v>
      </c>
      <c r="AC18" s="1897">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26"/>
      <c r="Q19" s="1893" t="str">
        <f t="shared" ref="Q19:Q33" si="8">B19</f>
        <v>区域土地利用方向</v>
      </c>
      <c r="R19" s="752" t="s">
        <v>25</v>
      </c>
      <c r="S19" s="753">
        <f>F19</f>
        <v>100</v>
      </c>
      <c r="T19" s="752" t="s">
        <v>25</v>
      </c>
      <c r="U19" s="753">
        <f>H19</f>
        <v>100</v>
      </c>
      <c r="V19" s="752" t="s">
        <v>25</v>
      </c>
      <c r="W19" s="753">
        <f>J19</f>
        <v>100</v>
      </c>
      <c r="X19" s="1894"/>
      <c r="Y19" s="3026"/>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26"/>
      <c r="Q20" s="1893"/>
      <c r="R20" s="752"/>
      <c r="S20" s="753"/>
      <c r="T20" s="752"/>
      <c r="U20" s="753"/>
      <c r="V20" s="752"/>
      <c r="W20" s="753"/>
      <c r="X20" s="1894"/>
      <c r="Y20" s="3026"/>
      <c r="Z20" s="1896"/>
      <c r="AA20" s="1897"/>
      <c r="AB20" s="1897"/>
      <c r="AC20" s="1897"/>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26"/>
      <c r="Q21" s="1893" t="str">
        <f t="shared" si="8"/>
        <v>环境状况</v>
      </c>
      <c r="R21" s="752" t="s">
        <v>25</v>
      </c>
      <c r="S21" s="753">
        <f>F21</f>
        <v>100</v>
      </c>
      <c r="T21" s="752" t="s">
        <v>25</v>
      </c>
      <c r="U21" s="753">
        <f>H21</f>
        <v>100</v>
      </c>
      <c r="V21" s="752" t="s">
        <v>25</v>
      </c>
      <c r="W21" s="753">
        <f>J21</f>
        <v>100</v>
      </c>
      <c r="X21" s="1894"/>
      <c r="Y21" s="3026"/>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26"/>
      <c r="Q22" s="1893"/>
      <c r="R22" s="752"/>
      <c r="S22" s="753"/>
      <c r="T22" s="752"/>
      <c r="U22" s="753"/>
      <c r="V22" s="752"/>
      <c r="W22" s="753"/>
      <c r="X22" s="1894"/>
      <c r="Y22" s="3026"/>
      <c r="Z22" s="1896"/>
      <c r="AA22" s="1897">
        <v>1</v>
      </c>
      <c r="AB22" s="1897">
        <v>1</v>
      </c>
      <c r="AC22" s="1897">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26"/>
      <c r="Q23" s="1881" t="str">
        <f t="shared" si="8"/>
        <v>公共配套设施</v>
      </c>
      <c r="R23" s="748" t="s">
        <v>25</v>
      </c>
      <c r="S23" s="749">
        <f>F23</f>
        <v>100</v>
      </c>
      <c r="T23" s="748" t="s">
        <v>25</v>
      </c>
      <c r="U23" s="749">
        <f>H23</f>
        <v>100</v>
      </c>
      <c r="V23" s="748" t="s">
        <v>25</v>
      </c>
      <c r="W23" s="749">
        <f>J23</f>
        <v>100</v>
      </c>
      <c r="X23" s="750"/>
      <c r="Y23" s="3026"/>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026"/>
      <c r="Q24" s="1881"/>
      <c r="R24" s="748"/>
      <c r="S24" s="749"/>
      <c r="T24" s="748"/>
      <c r="U24" s="749"/>
      <c r="V24" s="748"/>
      <c r="W24" s="749"/>
      <c r="X24" s="750"/>
      <c r="Y24" s="3026"/>
      <c r="Z24" s="23"/>
      <c r="AA24" s="751">
        <v>1</v>
      </c>
      <c r="AB24" s="751">
        <v>1</v>
      </c>
      <c r="AC24" s="751">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26"/>
      <c r="Q25" s="1881" t="str">
        <f t="shared" ref="Q25" si="9">B25</f>
        <v>基础设施水平</v>
      </c>
      <c r="R25" s="748" t="s">
        <v>25</v>
      </c>
      <c r="S25" s="749">
        <f>F25</f>
        <v>100</v>
      </c>
      <c r="T25" s="748" t="s">
        <v>25</v>
      </c>
      <c r="U25" s="749">
        <f>H25</f>
        <v>100</v>
      </c>
      <c r="V25" s="748" t="s">
        <v>25</v>
      </c>
      <c r="W25" s="749">
        <f>J25</f>
        <v>100</v>
      </c>
      <c r="X25" s="750"/>
      <c r="Y25" s="3026"/>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026"/>
      <c r="Q26" s="1881"/>
      <c r="R26" s="748"/>
      <c r="S26" s="749"/>
      <c r="T26" s="748"/>
      <c r="U26" s="749"/>
      <c r="V26" s="748"/>
      <c r="W26" s="749"/>
      <c r="X26" s="750"/>
      <c r="Y26" s="3026"/>
      <c r="Z26" s="23"/>
      <c r="AA26" s="751">
        <v>1</v>
      </c>
      <c r="AB26" s="751">
        <v>1</v>
      </c>
      <c r="AC26" s="751">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26"/>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26"/>
      <c r="Z27" s="1896" t="str">
        <f t="shared" ref="Z27:Z40" si="13">Q27</f>
        <v>临街状况</v>
      </c>
      <c r="AA27" s="1897">
        <f t="shared" si="3"/>
        <v>1</v>
      </c>
      <c r="AB27" s="1897">
        <f t="shared" si="4"/>
        <v>1</v>
      </c>
      <c r="AC27" s="1897">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26"/>
      <c r="Q28" s="1893" t="str">
        <f t="shared" si="8"/>
        <v>毗邻道路的类型与等级</v>
      </c>
      <c r="R28" s="752" t="s">
        <v>25</v>
      </c>
      <c r="S28" s="753">
        <f t="shared" si="10"/>
        <v>100</v>
      </c>
      <c r="T28" s="752" t="s">
        <v>25</v>
      </c>
      <c r="U28" s="753">
        <f t="shared" si="11"/>
        <v>100</v>
      </c>
      <c r="V28" s="752" t="s">
        <v>25</v>
      </c>
      <c r="W28" s="753">
        <f t="shared" si="12"/>
        <v>100</v>
      </c>
      <c r="X28" s="1894"/>
      <c r="Y28" s="3026"/>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26"/>
      <c r="Q29" s="1893"/>
      <c r="R29" s="752"/>
      <c r="S29" s="753"/>
      <c r="T29" s="752"/>
      <c r="U29" s="753"/>
      <c r="V29" s="752"/>
      <c r="W29" s="753"/>
      <c r="X29" s="1894"/>
      <c r="Y29" s="3026"/>
      <c r="Z29" s="1896"/>
      <c r="AA29" s="1897">
        <v>1</v>
      </c>
      <c r="AB29" s="1897">
        <v>1</v>
      </c>
      <c r="AC29" s="1897">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26"/>
      <c r="Q30" s="1893" t="str">
        <f t="shared" si="8"/>
        <v>土地级别</v>
      </c>
      <c r="R30" s="752" t="s">
        <v>25</v>
      </c>
      <c r="S30" s="753">
        <f t="shared" si="10"/>
        <v>100</v>
      </c>
      <c r="T30" s="752" t="s">
        <v>25</v>
      </c>
      <c r="U30" s="753">
        <f t="shared" si="11"/>
        <v>100</v>
      </c>
      <c r="V30" s="752" t="s">
        <v>25</v>
      </c>
      <c r="W30" s="753">
        <f t="shared" si="12"/>
        <v>100</v>
      </c>
      <c r="X30" s="1894"/>
      <c r="Y30" s="3026"/>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26"/>
      <c r="Q31" s="1893">
        <f t="shared" si="8"/>
        <v>111</v>
      </c>
      <c r="R31" s="752" t="s">
        <v>25</v>
      </c>
      <c r="S31" s="753">
        <f t="shared" si="10"/>
        <v>100</v>
      </c>
      <c r="T31" s="752" t="s">
        <v>25</v>
      </c>
      <c r="U31" s="753">
        <f t="shared" si="11"/>
        <v>100</v>
      </c>
      <c r="V31" s="752" t="s">
        <v>25</v>
      </c>
      <c r="W31" s="753">
        <f t="shared" si="12"/>
        <v>100</v>
      </c>
      <c r="X31" s="1894"/>
      <c r="Y31" s="3026"/>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8" t="s">
        <v>2368</v>
      </c>
      <c r="Q32" s="1893">
        <f t="shared" si="8"/>
        <v>111</v>
      </c>
      <c r="R32" s="752" t="s">
        <v>25</v>
      </c>
      <c r="S32" s="753">
        <f t="shared" si="10"/>
        <v>100</v>
      </c>
      <c r="T32" s="752" t="s">
        <v>25</v>
      </c>
      <c r="U32" s="753">
        <f t="shared" si="11"/>
        <v>100</v>
      </c>
      <c r="V32" s="752" t="s">
        <v>25</v>
      </c>
      <c r="W32" s="753">
        <f t="shared" si="12"/>
        <v>100</v>
      </c>
      <c r="X32" s="1894"/>
      <c r="Y32" s="3012" t="s">
        <v>2368</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12"/>
      <c r="Q33" s="1893">
        <f t="shared" si="8"/>
        <v>111</v>
      </c>
      <c r="R33" s="755" t="s">
        <v>25</v>
      </c>
      <c r="S33" s="756">
        <f t="shared" si="10"/>
        <v>100</v>
      </c>
      <c r="T33" s="755" t="s">
        <v>25</v>
      </c>
      <c r="U33" s="756">
        <f t="shared" si="11"/>
        <v>100</v>
      </c>
      <c r="V33" s="755" t="s">
        <v>25</v>
      </c>
      <c r="W33" s="756">
        <f t="shared" si="12"/>
        <v>100</v>
      </c>
      <c r="X33" s="757"/>
      <c r="Y33" s="3012"/>
      <c r="Z33" s="758">
        <f t="shared" si="13"/>
        <v>111</v>
      </c>
      <c r="AA33" s="1897">
        <f t="shared" si="3"/>
        <v>1</v>
      </c>
      <c r="AB33" s="1897">
        <f t="shared" si="4"/>
        <v>1</v>
      </c>
      <c r="AC33" s="1897">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12"/>
      <c r="Q34" s="1893" t="str">
        <f>B34</f>
        <v>宗地面积</v>
      </c>
      <c r="R34" s="752" t="s">
        <v>25</v>
      </c>
      <c r="S34" s="753" t="e">
        <f t="shared" si="10"/>
        <v>#N/A</v>
      </c>
      <c r="T34" s="752" t="s">
        <v>25</v>
      </c>
      <c r="U34" s="753" t="e">
        <f t="shared" si="11"/>
        <v>#N/A</v>
      </c>
      <c r="V34" s="752" t="s">
        <v>25</v>
      </c>
      <c r="W34" s="753" t="e">
        <f t="shared" si="12"/>
        <v>#N/A</v>
      </c>
      <c r="X34" s="1894"/>
      <c r="Y34" s="3012"/>
      <c r="Z34" s="1896" t="str">
        <f t="shared" si="13"/>
        <v>宗地面积</v>
      </c>
      <c r="AA34" s="1897" t="e">
        <f t="shared" si="3"/>
        <v>#N/A</v>
      </c>
      <c r="AB34" s="1897" t="e">
        <f t="shared" si="4"/>
        <v>#N/A</v>
      </c>
      <c r="AC34" s="1897"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012"/>
      <c r="Q35" s="1893" t="str">
        <f t="shared" ref="Q35:Q40" si="14">B35</f>
        <v>宗地形状</v>
      </c>
      <c r="R35" s="752" t="s">
        <v>25</v>
      </c>
      <c r="S35" s="753">
        <f t="shared" si="10"/>
        <v>100</v>
      </c>
      <c r="T35" s="752" t="s">
        <v>25</v>
      </c>
      <c r="U35" s="753">
        <f t="shared" si="11"/>
        <v>100</v>
      </c>
      <c r="V35" s="752" t="s">
        <v>25</v>
      </c>
      <c r="W35" s="753">
        <f t="shared" si="12"/>
        <v>100</v>
      </c>
      <c r="X35" s="1894"/>
      <c r="Y35" s="3012"/>
      <c r="Z35" s="1896" t="str">
        <f t="shared" si="13"/>
        <v>宗地形状</v>
      </c>
      <c r="AA35" s="1897">
        <f t="shared" si="3"/>
        <v>1</v>
      </c>
      <c r="AB35" s="1897">
        <f t="shared" si="4"/>
        <v>1</v>
      </c>
      <c r="AC35" s="1897">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012"/>
      <c r="Q36" s="1893" t="str">
        <f t="shared" si="14"/>
        <v>宗地开发程度</v>
      </c>
      <c r="R36" s="748" t="s">
        <v>25</v>
      </c>
      <c r="S36" s="749">
        <f t="shared" si="10"/>
        <v>100</v>
      </c>
      <c r="T36" s="748" t="s">
        <v>25</v>
      </c>
      <c r="U36" s="749">
        <f t="shared" si="11"/>
        <v>100</v>
      </c>
      <c r="V36" s="748" t="s">
        <v>25</v>
      </c>
      <c r="W36" s="749">
        <f t="shared" si="12"/>
        <v>100</v>
      </c>
      <c r="X36" s="750"/>
      <c r="Y36" s="3012"/>
      <c r="Z36" s="23" t="str">
        <f t="shared" si="13"/>
        <v>宗地开发程度</v>
      </c>
      <c r="AA36" s="751">
        <f t="shared" si="3"/>
        <v>1</v>
      </c>
      <c r="AB36" s="751">
        <f t="shared" si="4"/>
        <v>1</v>
      </c>
      <c r="AC36" s="751">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012" t="s">
        <v>2368</v>
      </c>
      <c r="Q37" s="1893" t="str">
        <f t="shared" si="14"/>
        <v>工程地质条件</v>
      </c>
      <c r="R37" s="752" t="s">
        <v>25</v>
      </c>
      <c r="S37" s="753">
        <f t="shared" si="10"/>
        <v>100</v>
      </c>
      <c r="T37" s="752" t="s">
        <v>25</v>
      </c>
      <c r="U37" s="753">
        <f t="shared" si="11"/>
        <v>100</v>
      </c>
      <c r="V37" s="752" t="s">
        <v>25</v>
      </c>
      <c r="W37" s="753">
        <f t="shared" si="12"/>
        <v>100</v>
      </c>
      <c r="X37" s="1894"/>
      <c r="Y37" s="3012" t="s">
        <v>2368</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12"/>
      <c r="Q38" s="1893">
        <f t="shared" si="14"/>
        <v>111</v>
      </c>
      <c r="R38" s="752" t="s">
        <v>25</v>
      </c>
      <c r="S38" s="753">
        <f t="shared" si="10"/>
        <v>100</v>
      </c>
      <c r="T38" s="752" t="s">
        <v>25</v>
      </c>
      <c r="U38" s="753">
        <f t="shared" si="11"/>
        <v>100</v>
      </c>
      <c r="V38" s="752" t="s">
        <v>25</v>
      </c>
      <c r="W38" s="753">
        <f t="shared" si="12"/>
        <v>100</v>
      </c>
      <c r="X38" s="1894"/>
      <c r="Y38" s="3012"/>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12"/>
      <c r="Q39" s="1893">
        <f t="shared" si="14"/>
        <v>111</v>
      </c>
      <c r="R39" s="752" t="s">
        <v>25</v>
      </c>
      <c r="S39" s="753">
        <f t="shared" si="10"/>
        <v>100</v>
      </c>
      <c r="T39" s="752" t="s">
        <v>25</v>
      </c>
      <c r="U39" s="753">
        <f t="shared" si="11"/>
        <v>100</v>
      </c>
      <c r="V39" s="752" t="s">
        <v>25</v>
      </c>
      <c r="W39" s="753">
        <f t="shared" si="12"/>
        <v>100</v>
      </c>
      <c r="X39" s="1894"/>
      <c r="Y39" s="3012"/>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12"/>
      <c r="Q40" s="1893">
        <f t="shared" si="14"/>
        <v>111</v>
      </c>
      <c r="R40" s="755" t="s">
        <v>25</v>
      </c>
      <c r="S40" s="756">
        <f t="shared" si="10"/>
        <v>100</v>
      </c>
      <c r="T40" s="755" t="s">
        <v>25</v>
      </c>
      <c r="U40" s="756">
        <f t="shared" si="11"/>
        <v>100</v>
      </c>
      <c r="V40" s="755" t="s">
        <v>25</v>
      </c>
      <c r="W40" s="756">
        <f t="shared" si="12"/>
        <v>100</v>
      </c>
      <c r="X40" s="757"/>
      <c r="Y40" s="3012"/>
      <c r="Z40" s="758">
        <f t="shared" si="13"/>
        <v>111</v>
      </c>
      <c r="AA40" s="1897">
        <f t="shared" si="3"/>
        <v>1</v>
      </c>
      <c r="AB40" s="1897">
        <f t="shared" si="4"/>
        <v>1</v>
      </c>
      <c r="AC40" s="1897">
        <f t="shared" si="5"/>
        <v>1</v>
      </c>
    </row>
    <row r="41" spans="1:29" ht="15">
      <c r="A41" s="460" t="s">
        <v>2516</v>
      </c>
      <c r="B41" s="2488" t="s">
        <v>2591</v>
      </c>
      <c r="C41" s="665" t="s">
        <v>1</v>
      </c>
      <c r="D41" s="462"/>
      <c r="E41" s="463"/>
      <c r="F41" s="464"/>
      <c r="G41" s="465"/>
      <c r="H41" s="466"/>
      <c r="I41" s="463"/>
      <c r="J41" s="466"/>
      <c r="K41" s="761"/>
      <c r="L41" s="1251"/>
      <c r="M41" s="1239"/>
      <c r="N41" s="1239"/>
      <c r="O41" s="1252"/>
      <c r="P41" s="3005" t="str">
        <f>A41</f>
        <v>成交单价</v>
      </c>
      <c r="Q41" s="3005"/>
      <c r="R41" s="3038">
        <f>E41</f>
        <v>0</v>
      </c>
      <c r="S41" s="3038"/>
      <c r="T41" s="3038">
        <f>G41</f>
        <v>0</v>
      </c>
      <c r="U41" s="3038"/>
      <c r="V41" s="3038">
        <f>I41</f>
        <v>0</v>
      </c>
      <c r="W41" s="3038"/>
      <c r="X41" s="737"/>
      <c r="Y41" s="759"/>
      <c r="Z41" s="737"/>
      <c r="AA41" s="737"/>
      <c r="AB41" s="737"/>
      <c r="AC41" s="737"/>
    </row>
    <row r="42" spans="1:29" ht="15.75" thickBot="1">
      <c r="A42" s="467" t="s">
        <v>2463</v>
      </c>
      <c r="B42" s="666"/>
      <c r="C42" s="471" t="e">
        <f>R43</f>
        <v>#DIV/0!</v>
      </c>
      <c r="D42" s="470"/>
      <c r="E42" s="471" t="e">
        <f>R42</f>
        <v>#DIV/0!</v>
      </c>
      <c r="F42" s="472"/>
      <c r="G42" s="469" t="e">
        <f>T42</f>
        <v>#DIV/0!</v>
      </c>
      <c r="H42" s="470"/>
      <c r="I42" s="471" t="e">
        <f>V42</f>
        <v>#DIV/0!</v>
      </c>
      <c r="J42" s="470"/>
      <c r="K42" s="762"/>
      <c r="L42" s="1251"/>
      <c r="M42" s="1239"/>
      <c r="N42" s="1239"/>
      <c r="O42" s="1252"/>
      <c r="P42" s="3005" t="str">
        <f>A42</f>
        <v>比较价值（元/平方米）</v>
      </c>
      <c r="Q42" s="3005"/>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2486</v>
      </c>
      <c r="B43" s="474"/>
      <c r="C43" s="475" t="e">
        <f>R43</f>
        <v>#DIV/0!</v>
      </c>
      <c r="D43" s="475"/>
      <c r="E43" s="475"/>
      <c r="F43" s="475"/>
      <c r="G43" s="475"/>
      <c r="H43" s="475"/>
      <c r="I43" s="475"/>
      <c r="J43" s="475"/>
      <c r="K43" s="763"/>
      <c r="L43" s="1251"/>
      <c r="M43" s="1239"/>
      <c r="N43" s="1239"/>
      <c r="O43" s="1252"/>
      <c r="P43" s="3057" t="str">
        <f>A43</f>
        <v>估价对象XX用房的比较价值（楼面单价，元/平方米）</v>
      </c>
      <c r="Q43" s="3004"/>
      <c r="R43" s="3070" t="e">
        <f>ROUND(AVERAGE(R42:V42),0)</f>
        <v>#DIV/0!</v>
      </c>
      <c r="S43" s="3070"/>
      <c r="T43" s="3070"/>
      <c r="U43" s="3070"/>
      <c r="V43" s="3070"/>
      <c r="W43" s="307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9" t="s">
        <v>2556</v>
      </c>
      <c r="D50" s="2490" t="s">
        <v>2557</v>
      </c>
      <c r="E50" s="669" t="s">
        <v>2558</v>
      </c>
      <c r="F50" s="670" t="s">
        <v>2559</v>
      </c>
      <c r="G50" s="1896" t="s">
        <v>2592</v>
      </c>
      <c r="H50" s="1896" t="str">
        <f>项目基本情况!G8</f>
        <v>XX</v>
      </c>
      <c r="I50" s="1844"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2563</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2565</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2566</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2567</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2568</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2569</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2570</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2571</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2019-7-1</v>
      </c>
      <c r="D63" s="1665">
        <f>EDATE(C63,-3)</f>
        <v>43556</v>
      </c>
      <c r="E63" s="1665">
        <f t="shared" ref="E63:O63" si="18">EDATE(D63,-3)</f>
        <v>43466</v>
      </c>
      <c r="F63" s="1665">
        <f t="shared" si="18"/>
        <v>43374</v>
      </c>
      <c r="G63" s="1665">
        <f t="shared" si="18"/>
        <v>43282</v>
      </c>
      <c r="H63" s="1665">
        <f t="shared" si="18"/>
        <v>43191</v>
      </c>
      <c r="I63" s="1665">
        <f t="shared" si="18"/>
        <v>43101</v>
      </c>
      <c r="J63" s="1665">
        <f t="shared" si="18"/>
        <v>43009</v>
      </c>
      <c r="K63" s="1665">
        <f t="shared" si="18"/>
        <v>42917</v>
      </c>
      <c r="L63" s="1665">
        <f t="shared" si="18"/>
        <v>42826</v>
      </c>
      <c r="M63" s="1665">
        <f t="shared" si="18"/>
        <v>42736</v>
      </c>
      <c r="N63" s="1665">
        <f t="shared" si="18"/>
        <v>42644</v>
      </c>
      <c r="O63" s="1665">
        <f t="shared" si="18"/>
        <v>42552</v>
      </c>
    </row>
    <row r="64" spans="1:17" ht="21.75" thickBot="1">
      <c r="A64" s="741" t="s">
        <v>2468</v>
      </c>
      <c r="B64" s="737"/>
      <c r="C64" s="742"/>
      <c r="D64" s="742"/>
      <c r="E64" s="742"/>
      <c r="F64" s="743"/>
      <c r="G64" s="743"/>
      <c r="H64" s="742"/>
      <c r="I64" s="1268"/>
      <c r="J64" s="1268"/>
      <c r="K64" s="1266"/>
      <c r="L64" s="1267"/>
      <c r="M64" s="1268"/>
      <c r="N64" s="1268"/>
      <c r="O64" s="1268"/>
      <c r="P64" s="484"/>
      <c r="Q64" s="485"/>
    </row>
    <row r="65" spans="1:17" s="489" customFormat="1" ht="15">
      <c r="A65" s="2492" t="s">
        <v>2573</v>
      </c>
      <c r="B65" s="1451"/>
      <c r="C65" s="1666" t="str">
        <f>YEAR(C63)&amp;"-"&amp;ROUNDUP(MONTH(C63)/3,0)</f>
        <v>2019-3</v>
      </c>
      <c r="D65" s="1666" t="str">
        <f t="shared" ref="D65:O65" si="19">YEAR(D63)&amp;"-"&amp;ROUNDUP(MONTH(D63)/3,0)</f>
        <v>2019-2</v>
      </c>
      <c r="E65" s="1666" t="str">
        <f t="shared" si="19"/>
        <v>2019-1</v>
      </c>
      <c r="F65" s="1666" t="str">
        <f t="shared" si="19"/>
        <v>2018-4</v>
      </c>
      <c r="G65" s="1666" t="str">
        <f t="shared" si="19"/>
        <v>2018-3</v>
      </c>
      <c r="H65" s="1666" t="str">
        <f t="shared" si="19"/>
        <v>2018-2</v>
      </c>
      <c r="I65" s="1666" t="str">
        <f t="shared" si="19"/>
        <v>2018-1</v>
      </c>
      <c r="J65" s="1666" t="str">
        <f t="shared" si="19"/>
        <v>2017-4</v>
      </c>
      <c r="K65" s="1666" t="str">
        <f t="shared" si="19"/>
        <v>2017-3</v>
      </c>
      <c r="L65" s="1666" t="str">
        <f t="shared" si="19"/>
        <v>2017-2</v>
      </c>
      <c r="M65" s="1666" t="str">
        <f t="shared" si="19"/>
        <v>2017-1</v>
      </c>
      <c r="N65" s="1666" t="str">
        <f t="shared" si="19"/>
        <v>2016-4</v>
      </c>
      <c r="O65" s="1666" t="str">
        <f t="shared" si="19"/>
        <v>2016-3</v>
      </c>
      <c r="P65" s="488"/>
    </row>
    <row r="66" spans="1:17" s="35" customFormat="1" ht="33.75" customHeight="1">
      <c r="A66" s="2498"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估价对象为北京市房地产，为XX所有。根据《不动产权证书》[]，估价对象建筑面积为1024.48平方米，（分摊）出让国有建设用地使用权面积为105.21平方米。估价对象用途为。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2019年7月1日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本次估价的“房地产价值”是指在正常市场情况下，在价值时点2019年7月1日，估价对象规划用途为，假定未设立法定优先受偿款下的房地产市场价值。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2594</v>
      </c>
      <c r="B1" s="2500"/>
      <c r="C1" s="162" t="s">
        <v>2595</v>
      </c>
      <c r="D1" s="2501">
        <f>SUM(D29:D30,D33:D39)</f>
        <v>0</v>
      </c>
      <c r="E1" s="2501"/>
      <c r="F1" s="2501"/>
      <c r="G1" s="2501"/>
      <c r="H1" s="2501"/>
      <c r="I1" s="2501"/>
      <c r="J1" s="2501"/>
      <c r="L1" s="2502"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t="e">
        <f>C26</f>
        <v>#DIV/0!</v>
      </c>
      <c r="C2" s="2504" t="s">
        <v>2603</v>
      </c>
      <c r="D2" s="2505" t="s">
        <v>2604</v>
      </c>
      <c r="E2" s="2506"/>
      <c r="F2" s="2505" t="s">
        <v>2605</v>
      </c>
      <c r="G2" s="2507" t="str">
        <f>项目基本情况!F9</f>
        <v>二级</v>
      </c>
      <c r="H2" s="2508" t="s">
        <v>2606</v>
      </c>
      <c r="I2" s="2507" t="str">
        <f>项目基本情况!F10</f>
        <v>Ⅱ—09</v>
      </c>
      <c r="J2" s="2509"/>
      <c r="L2" s="2510" t="s">
        <v>2607</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2608</v>
      </c>
      <c r="B3" s="168" t="e">
        <f>ROUND(B2/D1,0)</f>
        <v>#DIV/0!</v>
      </c>
      <c r="C3" s="2504" t="s">
        <v>2609</v>
      </c>
      <c r="D3" s="2505" t="s">
        <v>2610</v>
      </c>
      <c r="E3" s="2511"/>
      <c r="F3" s="2512" t="s">
        <v>2611</v>
      </c>
      <c r="G3" s="940">
        <f>项目基本情况!C15</f>
        <v>0</v>
      </c>
      <c r="H3" s="115" t="s">
        <v>2612</v>
      </c>
      <c r="I3" s="969"/>
      <c r="J3" s="2509" t="s">
        <v>2613</v>
      </c>
      <c r="L3" s="2510" t="s">
        <v>2614</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74"/>
      <c r="B4" s="3075"/>
      <c r="C4" s="3075"/>
      <c r="D4" s="3076"/>
      <c r="E4" s="3076"/>
      <c r="F4" s="3076"/>
      <c r="G4" s="3076"/>
      <c r="H4" s="3076"/>
      <c r="I4" s="3076"/>
      <c r="J4" s="3077"/>
      <c r="L4" s="2510" t="s">
        <v>2615</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3" t="s">
        <v>2616</v>
      </c>
      <c r="B5" s="2514" t="s">
        <v>2617</v>
      </c>
      <c r="C5" s="2720" t="e">
        <f>ROUND(IF(E2="商业",C6*C7+C16,(IF(E2="住宅",C6*C12+C16,C6+C16))),0)</f>
        <v>#DIV/0!</v>
      </c>
      <c r="D5" s="2721" t="e">
        <f>ROUND(C6+C16,0)</f>
        <v>#DIV/0!</v>
      </c>
      <c r="E5" s="2721"/>
      <c r="F5" s="2722"/>
      <c r="G5" s="2515"/>
      <c r="H5" s="2515"/>
      <c r="I5" s="2515"/>
      <c r="J5" s="2516"/>
      <c r="K5" s="2517"/>
      <c r="L5" s="2510" t="s">
        <v>2618</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2619</v>
      </c>
      <c r="C6" s="941">
        <f>SUMIF(L1:L12,G2,M1:M12)</f>
        <v>0</v>
      </c>
      <c r="D6" s="2524" t="s">
        <v>2620</v>
      </c>
      <c r="E6" s="2525"/>
      <c r="F6" s="2525"/>
      <c r="G6" s="2526"/>
      <c r="H6" s="2526"/>
      <c r="I6" s="2526"/>
      <c r="J6" s="2527"/>
      <c r="K6" s="2528"/>
      <c r="L6" s="2510" t="s">
        <v>2621</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078" t="str">
        <f>IF(E2="商业",IF(C8="不临58条商业街","",2),"")</f>
        <v/>
      </c>
      <c r="B7" s="2529" t="s">
        <v>2622</v>
      </c>
      <c r="C7" s="942" t="e">
        <f>IF(C8="不临58条商业街",1,ROUND(1+(1.6*E8+1.2*E9+0.8*E10+0.4*E11)*C9,4))</f>
        <v>#DIV/0!</v>
      </c>
      <c r="D7" s="2530" t="s">
        <v>2623</v>
      </c>
      <c r="E7" s="970"/>
      <c r="F7" s="2531"/>
      <c r="G7" s="2532"/>
      <c r="H7" s="2532"/>
      <c r="I7" s="2532"/>
      <c r="J7" s="2533"/>
      <c r="K7" s="2528"/>
      <c r="L7" s="2510" t="s">
        <v>2624</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2625</v>
      </c>
      <c r="X7" s="1706" t="str">
        <f>G2</f>
        <v>二级</v>
      </c>
      <c r="Y7" s="1706" t="s">
        <v>2626</v>
      </c>
      <c r="Z7" s="1707">
        <f>G3</f>
        <v>0</v>
      </c>
      <c r="AA7" s="1708"/>
      <c r="AB7" s="1708"/>
      <c r="AC7" s="1709"/>
      <c r="AD7" s="1710"/>
      <c r="AE7" s="1710"/>
      <c r="AF7" s="1710"/>
      <c r="AG7" s="1710"/>
      <c r="AH7" s="1710"/>
      <c r="AI7" s="1710"/>
      <c r="AJ7" s="1711"/>
    </row>
    <row r="8" spans="1:36" ht="15">
      <c r="A8" s="3079"/>
      <c r="B8" s="115" t="s">
        <v>2627</v>
      </c>
      <c r="C8" s="2534"/>
      <c r="D8" s="943" t="s">
        <v>89</v>
      </c>
      <c r="E8" s="944" t="e">
        <f>ROUND(C11/E7,4)</f>
        <v>#DIV/0!</v>
      </c>
      <c r="F8" s="2535" t="s">
        <v>2628</v>
      </c>
      <c r="G8" s="2536"/>
      <c r="H8" s="2536"/>
      <c r="I8" s="2536"/>
      <c r="J8" s="2537"/>
      <c r="L8" s="2510"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71" t="s">
        <v>2630</v>
      </c>
      <c r="X8" s="3072"/>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079"/>
      <c r="B9" s="115" t="s">
        <v>2643</v>
      </c>
      <c r="C9" s="945">
        <f>SUMIF(修正!C59:C119,C8,修正!E59:E119)</f>
        <v>0</v>
      </c>
      <c r="D9" s="117" t="s">
        <v>90</v>
      </c>
      <c r="E9" s="117" t="e">
        <f>ROUND(C11/E7,4)</f>
        <v>#DIV/0!</v>
      </c>
      <c r="F9" s="2535" t="s">
        <v>2644</v>
      </c>
      <c r="G9" s="2536"/>
      <c r="H9" s="2536"/>
      <c r="I9" s="2536"/>
      <c r="J9" s="2537"/>
      <c r="L9" s="2510"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73"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9"/>
      <c r="B10" s="115" t="s">
        <v>2648</v>
      </c>
      <c r="C10" s="117">
        <f>SUMIF(修正!C59:C119,C8,修正!F59:F119)</f>
        <v>0</v>
      </c>
      <c r="D10" s="117" t="s">
        <v>91</v>
      </c>
      <c r="E10" s="117" t="e">
        <f>ROUND(C11/E7,4)</f>
        <v>#DIV/0!</v>
      </c>
      <c r="F10" s="2535" t="s">
        <v>2649</v>
      </c>
      <c r="G10" s="2536"/>
      <c r="H10" s="2536"/>
      <c r="I10" s="2536"/>
      <c r="J10" s="2537"/>
      <c r="L10" s="2510"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7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9"/>
      <c r="B11" s="2538" t="s">
        <v>2651</v>
      </c>
      <c r="C11" s="946">
        <f>C10/4</f>
        <v>0</v>
      </c>
      <c r="D11" s="946" t="s">
        <v>92</v>
      </c>
      <c r="E11" s="946" t="e">
        <f>ROUND(C11/E7,4)</f>
        <v>#DIV/0!</v>
      </c>
      <c r="F11" s="2539" t="s">
        <v>2652</v>
      </c>
      <c r="G11" s="2540"/>
      <c r="H11" s="2540"/>
      <c r="I11" s="2540"/>
      <c r="J11" s="2541"/>
      <c r="L11" s="2510"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73" t="s">
        <v>2654</v>
      </c>
      <c r="X11" s="1717" t="s">
        <v>2655</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8" t="str">
        <f>IF(E2="住宅",2,"")</f>
        <v/>
      </c>
      <c r="B12" s="2542" t="s">
        <v>2656</v>
      </c>
      <c r="C12" s="942">
        <f>ROUND(C15*D15*E15*F15*G15*H15*I15*J15,4)</f>
        <v>1.32</v>
      </c>
      <c r="D12" s="2543" t="s">
        <v>2657</v>
      </c>
      <c r="E12" s="2544"/>
      <c r="F12" s="2544"/>
      <c r="G12" s="2545"/>
      <c r="H12" s="2545"/>
      <c r="I12" s="2545"/>
      <c r="J12" s="2546"/>
      <c r="L12" s="2547"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73"/>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80"/>
      <c r="B13" s="2548" t="s">
        <v>2660</v>
      </c>
      <c r="C13" s="2549" t="s">
        <v>2661</v>
      </c>
      <c r="D13" s="2550" t="s">
        <v>2662</v>
      </c>
      <c r="E13" s="2550" t="s">
        <v>2663</v>
      </c>
      <c r="F13" s="20" t="s">
        <v>2664</v>
      </c>
      <c r="G13" s="2551" t="s">
        <v>2665</v>
      </c>
      <c r="H13" s="2551" t="s">
        <v>2665</v>
      </c>
      <c r="I13" s="2551" t="s">
        <v>2665</v>
      </c>
      <c r="J13" s="2552" t="s">
        <v>2665</v>
      </c>
      <c r="L13" s="1457"/>
      <c r="M13" s="1457"/>
      <c r="N13" s="1457"/>
      <c r="O13" s="1457"/>
      <c r="P13" s="1457"/>
      <c r="Q13" s="1457"/>
      <c r="R13" s="1704">
        <v>12</v>
      </c>
      <c r="S13" s="1705"/>
      <c r="T13" s="1704" t="e">
        <f t="shared" si="0"/>
        <v>#DIV/0!</v>
      </c>
      <c r="U13" s="1705"/>
      <c r="V13" s="1704" t="e">
        <f t="shared" si="1"/>
        <v>#DIV/0!</v>
      </c>
      <c r="W13" s="307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80"/>
      <c r="B14" s="2553"/>
      <c r="C14" s="2554" t="s">
        <v>2666</v>
      </c>
      <c r="D14" s="2555" t="s">
        <v>2667</v>
      </c>
      <c r="E14" s="2555" t="s">
        <v>2667</v>
      </c>
      <c r="F14" s="2556" t="s">
        <v>2668</v>
      </c>
      <c r="G14" s="2557" t="s">
        <v>2669</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81"/>
      <c r="B15" s="2561" t="s">
        <v>2670</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82" t="b">
        <f>IF(E2="办公",2,IF(E2="工业",2,IF(E2="住宅",3,IF(E2="商业",IF(C8="不临58条商业街",2,3)))))</f>
        <v>0</v>
      </c>
      <c r="B16" s="2729" t="s">
        <v>2676</v>
      </c>
      <c r="C16" s="2723" t="e">
        <f>ROUND(IF(F17="与级别开发程度一致",0,(G17-E17)/C17),0)</f>
        <v>#DIV/0!</v>
      </c>
      <c r="D16" s="3095" t="s">
        <v>2680</v>
      </c>
      <c r="E16" s="3096"/>
      <c r="F16" s="3095" t="s">
        <v>2677</v>
      </c>
      <c r="G16" s="3096"/>
      <c r="H16" s="2564"/>
      <c r="I16" s="2564"/>
      <c r="J16" s="2736"/>
      <c r="K16" s="2564"/>
      <c r="L16" s="2564"/>
      <c r="M16" s="2564"/>
      <c r="N16" s="2564"/>
      <c r="O16" s="2565"/>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83"/>
      <c r="B17" s="2730" t="s">
        <v>2679</v>
      </c>
      <c r="C17" s="2731">
        <f>SUMPRODUCT((修正!A2:A5=E2)*(修正!B1:M1=G2)*(修正!B2:M5))</f>
        <v>0</v>
      </c>
      <c r="D17" s="150" t="str">
        <f>IF(OR(G2="八级",G2="九级",G2="十级",G2="十一级",G2="十二级"),"五通一平","七通一平")</f>
        <v>七通一平</v>
      </c>
      <c r="E17" s="2732">
        <f>SUMPRODUCT((修正!B1:M1=G2)*(修正!B15:M15))</f>
        <v>375</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2682</v>
      </c>
      <c r="B18" s="2724" t="s">
        <v>2683</v>
      </c>
      <c r="C18" s="2725">
        <f>SUMIF(修正!C18:C39,E3,修正!E18:E39)</f>
        <v>0</v>
      </c>
      <c r="D18" s="2726"/>
      <c r="E18" s="2727"/>
      <c r="F18" s="2727"/>
      <c r="G18" s="2727"/>
      <c r="H18" s="2727"/>
      <c r="I18" s="2727"/>
      <c r="J18" s="2728"/>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9.25" thickBot="1">
      <c r="A19" s="2566" t="s">
        <v>2684</v>
      </c>
      <c r="B19" s="2567" t="s">
        <v>2685</v>
      </c>
      <c r="C19" s="947">
        <f>ROUND(IF(H19="按公示增长率计算",SUMPRODUCT((地价!A3:A27=YEAR(G19)&amp;"-"&amp;ROUNDUP(MONTH(G19)/3,0))*(地价!X2:AB2=E2)*(地价!X3:AB27)),IF(H19="地价指数",M20/M19,(1+I19)^O19)),4)</f>
        <v>0</v>
      </c>
      <c r="D19" s="2571" t="s">
        <v>2686</v>
      </c>
      <c r="E19" s="948">
        <v>41640</v>
      </c>
      <c r="F19" s="2571" t="s">
        <v>2687</v>
      </c>
      <c r="G19" s="949">
        <f>'数据-取费表'!B2</f>
        <v>43647</v>
      </c>
      <c r="H19" s="2572" t="s">
        <v>2829</v>
      </c>
      <c r="I19" s="950" t="str">
        <f>IF(H19="季度增幅（自定义）",SUMIF(N21:N24,E2,O21:O24),"")</f>
        <v/>
      </c>
      <c r="J19" s="2568"/>
      <c r="K19" s="2569"/>
      <c r="L19" s="2573" t="s">
        <v>2688</v>
      </c>
      <c r="M19" s="1821">
        <f>ROUND(SUMIF(地价!B2:F2,E2,地价!B27:F27),0)</f>
        <v>0</v>
      </c>
      <c r="N19" s="1461" t="s">
        <v>2689</v>
      </c>
      <c r="O19" s="951">
        <f>ROUNDDOWN(DATEDIF(E19,G19,"M")/3,0)</f>
        <v>22</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2690</v>
      </c>
      <c r="B20" s="2578" t="s">
        <v>2691</v>
      </c>
      <c r="C20" s="952" t="e">
        <f>ROUND(POWER(1+G20,J20-I20)*(POWER(1+G20,I20)-1)/(POWER(1+G20,J20)-1),4)</f>
        <v>#DIV/0!</v>
      </c>
      <c r="D20" s="2579" t="s">
        <v>2692</v>
      </c>
      <c r="E20" s="1851">
        <f ca="1">存贷款利率!D4/100</f>
        <v>4.3499999999999997E-2</v>
      </c>
      <c r="F20" s="2579" t="s">
        <v>2681</v>
      </c>
      <c r="G20" s="958">
        <f>SUMIF(M26:P26,E2,M28:P28)</f>
        <v>0</v>
      </c>
      <c r="H20" s="2579" t="s">
        <v>2693</v>
      </c>
      <c r="I20" s="959">
        <f>'数据-取费表'!B13</f>
        <v>24.73</v>
      </c>
      <c r="J20" s="960">
        <f>IF(E2="住宅",70,IF(E2="商业",40,50))</f>
        <v>50</v>
      </c>
      <c r="K20" s="2569"/>
      <c r="L20" s="2580" t="s">
        <v>2694</v>
      </c>
      <c r="M20" s="1822">
        <f>ROUND(SUMPRODUCT((地价!A4:A27=YEAR(G19)&amp;"-"&amp;ROUNDUP(MONTH(G19)/3,0))*(地价!B2:F2=E2)*(地价!B4:F27)),0)</f>
        <v>0</v>
      </c>
      <c r="N20" s="2581" t="s">
        <v>2695</v>
      </c>
      <c r="O20" s="2582" t="s">
        <v>2696</v>
      </c>
      <c r="P20" s="2583" t="s">
        <v>2697</v>
      </c>
      <c r="R20" s="1457"/>
      <c r="S20" s="1457"/>
      <c r="T20" s="1457"/>
      <c r="U20" s="1457"/>
      <c r="V20" s="1457"/>
      <c r="W20" s="1457"/>
      <c r="X20" s="1457"/>
      <c r="Y20" s="1457"/>
      <c r="Z20" s="1457"/>
      <c r="AA20" s="1457"/>
      <c r="AB20" s="1457"/>
      <c r="AC20" s="1457"/>
      <c r="AD20" s="1457"/>
      <c r="AE20" s="2569"/>
      <c r="AF20" s="2569"/>
    </row>
    <row r="21" spans="1:37" s="2521" customFormat="1" ht="14.25">
      <c r="A21" s="2584" t="s">
        <v>2698</v>
      </c>
      <c r="B21" s="2585" t="s">
        <v>2699</v>
      </c>
      <c r="C21" s="961" t="b">
        <f>IF(B21="容积率修正",IF(G3&lt;=10,D22,J22),C23)</f>
        <v>0</v>
      </c>
      <c r="D21" s="2586"/>
      <c r="E21" s="2586"/>
      <c r="F21" s="2586"/>
      <c r="G21" s="2586"/>
      <c r="H21" s="2586"/>
      <c r="I21" s="2586"/>
      <c r="J21" s="2587"/>
      <c r="K21" s="2569"/>
      <c r="N21" s="2588" t="s">
        <v>2700</v>
      </c>
      <c r="O21" s="1659"/>
      <c r="P21" s="1660">
        <f>SUMPRODUCT((地价!A3:A27=YEAR(G19)&amp;"-"&amp;ROUNDUP(MONTH(G19)/3,0))*(地价!AD2:AH2=N21)*(地价!AD3:AH27))</f>
        <v>1.44E-2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2701</v>
      </c>
      <c r="C22" s="1893" t="s">
        <v>2702</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9"/>
      <c r="N22" s="2588" t="s">
        <v>2703</v>
      </c>
      <c r="O22" s="1659"/>
      <c r="P22" s="1660">
        <f>SUMPRODUCT((地价!A3:A27=YEAR(G19)&amp;"-"&amp;ROUNDUP(MONTH(G19)/3,0))*(地价!AD2:AH2=N22)*(地价!AD3:AH27))</f>
        <v>1.44E-2</v>
      </c>
      <c r="R22" s="1457"/>
      <c r="S22" s="1457"/>
      <c r="T22" s="1457"/>
      <c r="U22" s="1457"/>
      <c r="V22" s="1457"/>
      <c r="W22" s="1457"/>
      <c r="X22" s="1457"/>
      <c r="Y22" s="1457"/>
      <c r="Z22" s="1457"/>
      <c r="AA22" s="1457"/>
      <c r="AB22" s="1457"/>
      <c r="AC22" s="1457"/>
      <c r="AD22" s="1457"/>
      <c r="AE22" s="2569"/>
      <c r="AF22" s="2569"/>
    </row>
    <row r="23" spans="1:37" ht="27">
      <c r="A23" s="2589">
        <v>2</v>
      </c>
      <c r="B23" s="2590" t="s">
        <v>2704</v>
      </c>
      <c r="C23" s="953" t="e">
        <f>ROUND(IF(G3&gt;1,IF(I3&lt;7,SUMPRODUCT((B93:B98=I3)*(C92:N92=G2)*(C93:N98)),SUMIF(C92:N92,G2,C100:N100)),IF(I3&lt;7,SUMPRODUCT((B102:B107=I3)*(C92:N92=G2)*(C102:N107)),SUMIF(C92:N92,G2,C109:N109))),4)</f>
        <v>#DIV/0!</v>
      </c>
      <c r="D23" s="2558"/>
      <c r="E23" s="2558"/>
      <c r="F23" s="2591"/>
      <c r="G23" s="2592"/>
      <c r="H23" s="2593"/>
      <c r="I23" s="2594"/>
      <c r="J23" s="2595"/>
      <c r="N23" s="2588" t="s">
        <v>2705</v>
      </c>
      <c r="O23" s="1659"/>
      <c r="P23" s="1660">
        <f>SUMPRODUCT((地价!A3:A27=YEAR(G19)&amp;"-"&amp;ROUNDUP(MONTH(G19)/3,0))*(地价!AD2:AH2=N23)*(地价!AD3:AH27))</f>
        <v>2.23E-2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2706</v>
      </c>
      <c r="B24" s="2597" t="s">
        <v>2707</v>
      </c>
      <c r="C24" s="963">
        <f>SUMIF(A46:A88,E2,B46:B88)</f>
        <v>0</v>
      </c>
      <c r="D24" s="2598"/>
      <c r="E24" s="2599"/>
      <c r="F24" s="2599"/>
      <c r="G24" s="2599"/>
      <c r="H24" s="2599"/>
      <c r="I24" s="2599"/>
      <c r="J24" s="2600"/>
      <c r="K24" s="2569"/>
      <c r="N24" s="2601" t="s">
        <v>2708</v>
      </c>
      <c r="O24" s="1661"/>
      <c r="P24" s="1662">
        <f>SUMPRODUCT((地价!A3:A27=YEAR(G19)&amp;"-"&amp;ROUNDUP(MONTH(G19)/3,0))*(地价!AD2:AH2=N24)*(地价!AD3:AH27))</f>
        <v>1.4E-2</v>
      </c>
      <c r="R24" s="1457"/>
      <c r="S24" s="1457"/>
      <c r="T24" s="1457"/>
      <c r="U24" s="1457"/>
      <c r="V24" s="1457"/>
      <c r="W24" s="1457"/>
      <c r="X24" s="1457"/>
      <c r="Y24" s="1457"/>
      <c r="Z24" s="1457"/>
      <c r="AA24" s="1457"/>
      <c r="AB24" s="1457"/>
      <c r="AC24" s="1457"/>
      <c r="AD24" s="1457"/>
      <c r="AE24" s="2569"/>
      <c r="AF24" s="2569"/>
    </row>
    <row r="25" spans="1:37" ht="15" thickBot="1">
      <c r="A25" s="2577" t="s">
        <v>2709</v>
      </c>
      <c r="B25" s="2602" t="s">
        <v>2710</v>
      </c>
      <c r="C25" s="954"/>
      <c r="D25" s="2532"/>
      <c r="E25" s="2532"/>
      <c r="F25" s="2603"/>
      <c r="G25" s="2532"/>
      <c r="H25" s="2532"/>
      <c r="I25" s="2532"/>
      <c r="J25" s="2533"/>
      <c r="L25" s="1457"/>
      <c r="M25" s="1457"/>
      <c r="N25" s="2604" t="s">
        <v>2711</v>
      </c>
      <c r="O25" s="1663"/>
      <c r="P25" s="1662">
        <f>SUMPRODUCT((地价!A3:A27=YEAR(G19)&amp;"-"&amp;ROUNDUP(MONTH(G19)/3,0))*(地价!AD2:AH2=N25)*(地价!AD3:AH27))</f>
        <v>2.0400000000000001E-2</v>
      </c>
      <c r="R25" s="1457"/>
      <c r="S25" s="1457"/>
      <c r="T25" s="1457"/>
      <c r="U25" s="1457"/>
      <c r="V25" s="1457"/>
      <c r="W25" s="1457"/>
      <c r="X25" s="1457"/>
      <c r="Y25" s="1457"/>
      <c r="Z25" s="1457"/>
      <c r="AA25" s="1457"/>
      <c r="AB25" s="1457"/>
      <c r="AC25" s="1457"/>
      <c r="AD25" s="1457"/>
      <c r="AE25" s="1458"/>
      <c r="AF25" s="1458"/>
    </row>
    <row r="26" spans="1:37" ht="15">
      <c r="A26" s="2605"/>
      <c r="B26" s="2590" t="s">
        <v>2712</v>
      </c>
      <c r="C26" s="123" t="e">
        <f>E29+SUM(E33:E39)</f>
        <v>#DIV/0!</v>
      </c>
      <c r="D26" s="2606"/>
      <c r="E26" s="2558"/>
      <c r="F26" s="2607"/>
      <c r="G26" s="2558"/>
      <c r="H26" s="2558"/>
      <c r="I26" s="2558"/>
      <c r="J26" s="2608"/>
      <c r="L26" s="2562" t="s">
        <v>2671</v>
      </c>
      <c r="M26" s="943" t="s">
        <v>2672</v>
      </c>
      <c r="N26" s="943" t="s">
        <v>2673</v>
      </c>
      <c r="O26" s="943" t="s">
        <v>2674</v>
      </c>
      <c r="P26" s="2563" t="s">
        <v>2675</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2713</v>
      </c>
      <c r="C27" s="955" t="e">
        <f>E30+SUM(I33:I39)</f>
        <v>#DIV/0!</v>
      </c>
      <c r="D27" s="2610"/>
      <c r="E27" s="2611"/>
      <c r="F27" s="2612"/>
      <c r="G27" s="2611"/>
      <c r="H27" s="2611"/>
      <c r="I27" s="2611"/>
      <c r="J27" s="2613"/>
      <c r="L27" s="1455" t="s">
        <v>2678</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2714</v>
      </c>
      <c r="C28" s="2615" t="s">
        <v>2715</v>
      </c>
      <c r="D28" s="2615" t="s">
        <v>2716</v>
      </c>
      <c r="E28" s="2616" t="s">
        <v>2717</v>
      </c>
      <c r="F28" s="2617"/>
      <c r="G28" s="2545"/>
      <c r="H28" s="2545"/>
      <c r="I28" s="2545"/>
      <c r="J28" s="2546"/>
      <c r="L28" s="1459" t="s">
        <v>2681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2718</v>
      </c>
      <c r="C29" s="123" t="e">
        <f>ROUND(C5*C18*C19*C20*C21*C24,0)</f>
        <v>#DIV/0!</v>
      </c>
      <c r="D29" s="2620"/>
      <c r="E29" s="967" t="e">
        <f>ROUND(C29*D29,0)</f>
        <v>#DIV/0!</v>
      </c>
      <c r="F29" s="2621" t="s">
        <v>2719</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2720</v>
      </c>
      <c r="C30" s="150" t="e">
        <f>ROUND(IF(E2="工业",C29*M39,C29*M38),0)</f>
        <v>#DIV/0!</v>
      </c>
      <c r="D30" s="2626"/>
      <c r="E30" s="967" t="e">
        <f>ROUND(C30*D30,0)</f>
        <v>#DIV/0!</v>
      </c>
      <c r="F30" s="2627" t="s">
        <v>2721</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2722</v>
      </c>
      <c r="C31" s="2632" t="s">
        <v>2723</v>
      </c>
      <c r="D31" s="2545"/>
      <c r="E31" s="2632"/>
      <c r="F31" s="2632"/>
      <c r="G31" s="2543" t="s">
        <v>2724</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2715</v>
      </c>
      <c r="D32" s="479" t="s">
        <v>2716</v>
      </c>
      <c r="E32" s="479" t="s">
        <v>2717</v>
      </c>
      <c r="F32" s="367" t="s">
        <v>2725</v>
      </c>
      <c r="G32" s="953" t="s">
        <v>2715</v>
      </c>
      <c r="H32" s="953" t="s">
        <v>2716</v>
      </c>
      <c r="I32" s="953" t="s">
        <v>2717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92" t="s">
        <v>2726</v>
      </c>
      <c r="B33" s="2635" t="s">
        <v>2727</v>
      </c>
      <c r="C33" s="123" t="e">
        <f>ROUND(D5*C19*C20*C24*F33,0)</f>
        <v>#DIV/0!</v>
      </c>
      <c r="D33" s="2620"/>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93"/>
      <c r="B34" s="2549" t="s">
        <v>2728</v>
      </c>
      <c r="C34" s="123" t="e">
        <f>ROUND(D5*C19*C20*C24*F34,0)</f>
        <v>#DIV/0!</v>
      </c>
      <c r="D34" s="2620"/>
      <c r="E34" s="117" t="e">
        <f t="shared" si="6"/>
        <v>#DIV/0!</v>
      </c>
      <c r="F34" s="117">
        <f>SUMIF(修正!A45:A56,G2,修正!C45:C56)</f>
        <v>0.5</v>
      </c>
      <c r="G34" s="117" t="e">
        <f>ROUND(IF(E2="工业",C34*$M$39,C34*$M$38),0)</f>
        <v>#DIV/0!</v>
      </c>
      <c r="H34" s="117">
        <f t="shared" ref="H34:H39" si="9">D34</f>
        <v>0</v>
      </c>
      <c r="I34" s="117" t="e">
        <f t="shared" si="8"/>
        <v>#DIV/0!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93"/>
      <c r="B35" s="2549" t="s">
        <v>2729</v>
      </c>
      <c r="C35" s="123" t="e">
        <f>ROUND(D5*C19*C20*C24*F35,0)</f>
        <v>#DIV/0!</v>
      </c>
      <c r="D35" s="2620"/>
      <c r="E35" s="117" t="e">
        <f t="shared" si="6"/>
        <v>#DIV/0!</v>
      </c>
      <c r="F35" s="117">
        <f>SUMIF(修正!A45:A56,G2,修正!D45:D56)</f>
        <v>0.36</v>
      </c>
      <c r="G35" s="117" t="e">
        <f>ROUND(IF(E2="工业",C35*$M$39,C35*$M$38),0)</f>
        <v>#DIV/0!</v>
      </c>
      <c r="H35" s="117">
        <f t="shared" si="9"/>
        <v>0</v>
      </c>
      <c r="I35" s="117" t="e">
        <f t="shared" si="8"/>
        <v>#DIV/0!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94"/>
      <c r="B36" s="2549" t="s">
        <v>2730</v>
      </c>
      <c r="C36" s="123" t="e">
        <f>ROUND(D5*C19*C20*C24*F36,0)</f>
        <v>#DIV/0!</v>
      </c>
      <c r="D36" s="2620"/>
      <c r="E36" s="117" t="e">
        <f t="shared" si="6"/>
        <v>#DIV/0!</v>
      </c>
      <c r="F36" s="117">
        <f>SUMIF(修正!A45:A56,G2,修正!E45:E56)</f>
        <v>0.3</v>
      </c>
      <c r="G36" s="117" t="e">
        <f>ROUND(IF(E2="工业",C36*$M$39,C36*$M$38),0)</f>
        <v>#DIV/0!</v>
      </c>
      <c r="H36" s="117">
        <f t="shared" si="9"/>
        <v>0</v>
      </c>
      <c r="I36" s="117" t="e">
        <f t="shared" si="8"/>
        <v>#DIV/0!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2731</v>
      </c>
      <c r="C37" s="117" t="e">
        <f>ROUND(D5*C19*C20*C24*F37,0)</f>
        <v>#DIV/0!</v>
      </c>
      <c r="D37" s="2620"/>
      <c r="E37" s="117" t="e">
        <f t="shared" si="6"/>
        <v>#DIV/0!</v>
      </c>
      <c r="F37" s="123">
        <f>SUMIF(修正!A45:A56,G2,修正!F45:F56)</f>
        <v>0.3</v>
      </c>
      <c r="G37" s="117" t="e">
        <f>ROUND(IF(E2="工业",C37*$M$39,C37*$M$38),0)</f>
        <v>#DIV/0!</v>
      </c>
      <c r="H37" s="117">
        <f t="shared" si="9"/>
        <v>0</v>
      </c>
      <c r="I37" s="117" t="e">
        <f t="shared" si="8"/>
        <v>#DIV/0!</v>
      </c>
      <c r="J37" s="2636"/>
      <c r="L37" s="2639" t="s">
        <v>2732</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2733</v>
      </c>
      <c r="C38" s="117" t="e">
        <f>ROUND(D5*C19*C41*C24*F38,0)</f>
        <v>#DIV/0!</v>
      </c>
      <c r="D38" s="2620"/>
      <c r="E38" s="117" t="e">
        <f t="shared" si="6"/>
        <v>#DIV/0!</v>
      </c>
      <c r="F38" s="123">
        <f>SUMIF(修正!A45:A56,G2,修正!G45:G56)</f>
        <v>0.3</v>
      </c>
      <c r="G38" s="117" t="e">
        <f>ROUND(IF(E2="工业",C38*$M$39,C38*$M$38),0)</f>
        <v>#DIV/0!</v>
      </c>
      <c r="H38" s="117">
        <f t="shared" si="9"/>
        <v>0</v>
      </c>
      <c r="I38" s="117" t="e">
        <f t="shared" si="8"/>
        <v>#DIV/0!</v>
      </c>
      <c r="J38" s="2636"/>
      <c r="L38" s="2640" t="s">
        <v>2734</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2735</v>
      </c>
      <c r="C39" s="150" t="e">
        <f>ROUND(D5*C19*C41*C24*F39,0)</f>
        <v>#DIV/0!</v>
      </c>
      <c r="D39" s="2626"/>
      <c r="E39" s="150" t="e">
        <f t="shared" si="6"/>
        <v>#DIV/0!</v>
      </c>
      <c r="F39" s="956">
        <f>SUMIF(修正!A45:A56,G2,修正!H45:H56)</f>
        <v>0.25</v>
      </c>
      <c r="G39" s="150" t="e">
        <f>ROUND(IF(E2="工业",C39*$M$39,C39*$M$38),0)</f>
        <v>#DIV/0!</v>
      </c>
      <c r="H39" s="150">
        <f t="shared" si="9"/>
        <v>0</v>
      </c>
      <c r="I39" s="150" t="e">
        <f t="shared" si="8"/>
        <v>#DIV/0!</v>
      </c>
      <c r="J39" s="2643"/>
      <c r="L39" s="2644" t="s">
        <v>2675</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2818</v>
      </c>
      <c r="C41" s="367" t="e">
        <f>ROUND(POWER(1+E41,H41-G41)*(POWER(1+E41,G41)-1)/(POWER(1+E41,H41)-1),4)</f>
        <v>#DIV/0!</v>
      </c>
      <c r="D41" s="117" t="s">
        <v>2816</v>
      </c>
      <c r="E41" s="826">
        <f>G20</f>
        <v>0</v>
      </c>
      <c r="F41" s="117" t="s">
        <v>2817</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2736</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c r="A46" s="2651" t="s">
        <v>2737</v>
      </c>
      <c r="B46" s="2652">
        <f>1+E48</f>
        <v>1</v>
      </c>
      <c r="C46" s="2653"/>
      <c r="D46" s="816"/>
      <c r="E46" s="817"/>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c r="A47" s="2656" t="s">
        <v>2738</v>
      </c>
      <c r="B47" s="822" t="s">
        <v>2739</v>
      </c>
      <c r="C47" s="822" t="s">
        <v>2740</v>
      </c>
      <c r="D47" s="822" t="s">
        <v>2741</v>
      </c>
      <c r="E47" s="823" t="s">
        <v>2742</v>
      </c>
      <c r="F47" s="2657" t="s">
        <v>2743</v>
      </c>
      <c r="G47" s="822" t="s">
        <v>2744</v>
      </c>
      <c r="H47" s="2658" t="s">
        <v>2745</v>
      </c>
      <c r="I47" s="822" t="s">
        <v>2746</v>
      </c>
      <c r="J47" s="587" t="s">
        <v>2747</v>
      </c>
      <c r="K47" s="587" t="s">
        <v>2748</v>
      </c>
      <c r="L47" s="587" t="s">
        <v>2749</v>
      </c>
      <c r="M47" s="587" t="s">
        <v>2750</v>
      </c>
      <c r="N47" s="587" t="s">
        <v>2751</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c r="A48" s="2656" t="s">
        <v>2752</v>
      </c>
      <c r="B48" s="2659" t="str">
        <f>估价对象房地状况!C16</f>
        <v>估价对象位于XX商圈，周边商业氛围成熟，人流量大，商业繁华度好</v>
      </c>
      <c r="C48" s="2555"/>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c r="A49" s="2656" t="s">
        <v>2753</v>
      </c>
      <c r="B49" s="2660" t="str">
        <f>估价对象房地状况!C18</f>
        <v>估价对象周边道路状况、公共交通通达情况、停车便捷程度，综合评价交通便捷度较好</v>
      </c>
      <c r="C49" s="2555"/>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c r="A50" s="2656" t="s">
        <v>2754</v>
      </c>
      <c r="B50" s="2660">
        <f>估价对象房地状况!C19</f>
        <v>0</v>
      </c>
      <c r="C50" s="2555"/>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c r="A51" s="2656" t="s">
        <v>2755</v>
      </c>
      <c r="B51" s="2661" t="s">
        <v>2756</v>
      </c>
      <c r="C51" s="2555"/>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c r="A52" s="2656" t="s">
        <v>2757</v>
      </c>
      <c r="B52" s="2660">
        <f>估价对象房地状况!C24</f>
        <v>0</v>
      </c>
      <c r="C52" s="2555"/>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c r="A53" s="2656" t="s">
        <v>2758</v>
      </c>
      <c r="B53" s="2662" t="s">
        <v>2759</v>
      </c>
      <c r="C53" s="2555"/>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c r="A54" s="2663" t="s">
        <v>2760</v>
      </c>
      <c r="B54" s="2664" t="str">
        <f>估价对象房地状况!C21</f>
        <v>估价对象所在区域公共配套设施齐备情况</v>
      </c>
      <c r="C54" s="2555"/>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c r="A55" s="2663" t="s">
        <v>2761</v>
      </c>
      <c r="B55" s="2660" t="str">
        <f>估价对象房地状况!C22</f>
        <v>估价对象所在区域基础设施水平</v>
      </c>
      <c r="C55" s="2555"/>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thickBot="1">
      <c r="A56" s="2665" t="s">
        <v>2762</v>
      </c>
      <c r="B56" s="2666" t="str">
        <f>估价对象房地状况!C20</f>
        <v>区域自然环境：；人文环境；综合评价环境状况一般</v>
      </c>
      <c r="C56" s="2555"/>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2763</v>
      </c>
      <c r="B57" s="2667">
        <f>1+E59</f>
        <v>1</v>
      </c>
      <c r="C57" s="816"/>
      <c r="D57" s="816"/>
      <c r="E57" s="817"/>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2738</v>
      </c>
      <c r="B58" s="2660"/>
      <c r="C58" s="822" t="s">
        <v>2740</v>
      </c>
      <c r="D58" s="822" t="s">
        <v>2741</v>
      </c>
      <c r="E58" s="823" t="s">
        <v>2742</v>
      </c>
      <c r="F58" s="2657" t="s">
        <v>2743</v>
      </c>
      <c r="G58" s="822" t="s">
        <v>2764</v>
      </c>
      <c r="H58" s="2658" t="s">
        <v>2765</v>
      </c>
      <c r="I58" s="822" t="s">
        <v>2766</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2767</v>
      </c>
      <c r="B59" s="2659" t="str">
        <f>估价对象房地状况!C17</f>
        <v>估价对象位于XX商圈，周边办公楼项目较多，入驻率高，办公集聚程度较好</v>
      </c>
      <c r="C59" s="2555"/>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2753</v>
      </c>
      <c r="B60" s="2660" t="str">
        <f>估价对象房地状况!C18</f>
        <v>估价对象周边道路状况、公共交通通达情况、停车便捷程度，综合评价交通便捷度较好</v>
      </c>
      <c r="C60" s="2555"/>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2754</v>
      </c>
      <c r="B61" s="2660">
        <f>估价对象房地状况!C19</f>
        <v>0</v>
      </c>
      <c r="C61" s="2555"/>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2755</v>
      </c>
      <c r="B62" s="2661" t="s">
        <v>2756</v>
      </c>
      <c r="C62" s="2555"/>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2757</v>
      </c>
      <c r="B63" s="2660">
        <f>估价对象房地状况!C24</f>
        <v>0</v>
      </c>
      <c r="C63" s="2555"/>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2758</v>
      </c>
      <c r="B64" s="2662" t="s">
        <v>2759</v>
      </c>
      <c r="C64" s="2555"/>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2760</v>
      </c>
      <c r="B65" s="2664" t="str">
        <f>估价对象房地状况!C21</f>
        <v>估价对象所在区域公共配套设施齐备情况</v>
      </c>
      <c r="C65" s="2555"/>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2761</v>
      </c>
      <c r="B66" s="2664" t="str">
        <f>估价对象房地状况!C22</f>
        <v>估价对象所在区域基础设施水平</v>
      </c>
      <c r="C66" s="2555"/>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2762</v>
      </c>
      <c r="B67" s="2668" t="str">
        <f>估价对象房地状况!C20</f>
        <v>区域自然环境：；人文环境；综合评价环境状况一般</v>
      </c>
      <c r="C67" s="2555"/>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2768</v>
      </c>
      <c r="B68" s="2667">
        <f>1+E70</f>
        <v>1</v>
      </c>
      <c r="C68" s="816"/>
      <c r="D68" s="816"/>
      <c r="E68" s="817"/>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2738</v>
      </c>
      <c r="B69" s="2660"/>
      <c r="C69" s="822" t="s">
        <v>2740</v>
      </c>
      <c r="D69" s="822" t="s">
        <v>2741</v>
      </c>
      <c r="E69" s="823" t="s">
        <v>2742</v>
      </c>
      <c r="F69" s="2657" t="s">
        <v>2743</v>
      </c>
      <c r="G69" s="822" t="s">
        <v>2764</v>
      </c>
      <c r="H69" s="2658" t="s">
        <v>2765</v>
      </c>
      <c r="I69" s="822" t="s">
        <v>2766</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2769</v>
      </c>
      <c r="B70" s="2659" t="str">
        <f>估价对象房地状况!C15</f>
        <v>估价对象周边居住用地比例、居住小区规模和社区发展完善程度，综合评价居住社区成熟度一般</v>
      </c>
      <c r="C70" s="2555"/>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2753</v>
      </c>
      <c r="B71" s="2660" t="str">
        <f>估价对象房地状况!C18</f>
        <v>估价对象周边道路状况、公共交通通达情况、停车便捷程度，综合评价交通便捷度较好</v>
      </c>
      <c r="C71" s="2555"/>
      <c r="D71" s="1371">
        <f t="shared" si="20"/>
        <v>0</v>
      </c>
      <c r="E71" s="839"/>
      <c r="F71" s="2669"/>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2754</v>
      </c>
      <c r="B72" s="2660">
        <f>估价对象房地状况!C19</f>
        <v>0</v>
      </c>
      <c r="C72" s="2555"/>
      <c r="D72" s="1371">
        <f t="shared" si="20"/>
        <v>0</v>
      </c>
      <c r="E72" s="839"/>
      <c r="F72" s="2669"/>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2770</v>
      </c>
      <c r="B73" s="2660">
        <f>估价对象房地状况!C24</f>
        <v>0</v>
      </c>
      <c r="C73" s="2555"/>
      <c r="D73" s="1371">
        <f t="shared" si="20"/>
        <v>0</v>
      </c>
      <c r="E73" s="839"/>
      <c r="F73" s="2669"/>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2760</v>
      </c>
      <c r="B74" s="2664" t="str">
        <f>估价对象房地状况!C21</f>
        <v>估价对象所在区域公共配套设施齐备情况</v>
      </c>
      <c r="C74" s="2555"/>
      <c r="D74" s="1371">
        <f t="shared" si="20"/>
        <v>0</v>
      </c>
      <c r="E74" s="839"/>
      <c r="F74" s="2669"/>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2761</v>
      </c>
      <c r="B75" s="2664" t="str">
        <f>估价对象房地状况!C22</f>
        <v>估价对象所在区域基础设施水平</v>
      </c>
      <c r="C75" s="2555"/>
      <c r="D75" s="1371">
        <f t="shared" si="20"/>
        <v>0</v>
      </c>
      <c r="E75" s="839"/>
      <c r="F75" s="2669"/>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2758</v>
      </c>
      <c r="B76" s="2662" t="s">
        <v>2759</v>
      </c>
      <c r="C76" s="2555"/>
      <c r="D76" s="1371">
        <f t="shared" si="20"/>
        <v>0</v>
      </c>
      <c r="E76" s="839"/>
      <c r="F76" s="2669"/>
      <c r="G76" s="1372"/>
      <c r="H76" s="1376" t="str">
        <f t="shared" si="21"/>
        <v>——</v>
      </c>
      <c r="I76" s="827">
        <v>0.05</v>
      </c>
      <c r="J76" s="1373">
        <f t="shared" si="22"/>
        <v>0</v>
      </c>
      <c r="K76" s="1373">
        <f t="shared" si="23"/>
        <v>0</v>
      </c>
      <c r="L76" s="1373">
        <v>0</v>
      </c>
      <c r="M76" s="1373">
        <f t="shared" si="24"/>
        <v>0</v>
      </c>
      <c r="N76" s="1373">
        <f t="shared" si="24"/>
        <v>0</v>
      </c>
      <c r="Z76" s="2503"/>
      <c r="AA76" s="2570"/>
      <c r="AG76" s="2646"/>
      <c r="AK76" s="2570"/>
    </row>
    <row r="77" spans="1:37" ht="38.25">
      <c r="A77" s="2656" t="s">
        <v>2762</v>
      </c>
      <c r="B77" s="2659" t="str">
        <f>估价对象房地状况!C20</f>
        <v>区域自然环境：；人文环境；综合评价环境状况一般</v>
      </c>
      <c r="C77" s="2555"/>
      <c r="D77" s="1371">
        <f t="shared" si="20"/>
        <v>0</v>
      </c>
      <c r="E77" s="839"/>
      <c r="F77" s="2669"/>
      <c r="G77" s="1372"/>
      <c r="H77" s="1376" t="str">
        <f t="shared" si="21"/>
        <v>——</v>
      </c>
      <c r="I77" s="827">
        <v>0.15</v>
      </c>
      <c r="J77" s="1373">
        <f t="shared" si="22"/>
        <v>0</v>
      </c>
      <c r="K77" s="1373">
        <f t="shared" si="23"/>
        <v>0</v>
      </c>
      <c r="L77" s="1373">
        <v>0</v>
      </c>
      <c r="M77" s="1373">
        <f t="shared" si="24"/>
        <v>0</v>
      </c>
      <c r="N77" s="1373">
        <f t="shared" si="24"/>
        <v>0</v>
      </c>
      <c r="Z77" s="2503"/>
      <c r="AA77" s="2570"/>
      <c r="AG77" s="2646"/>
      <c r="AK77" s="2570"/>
    </row>
    <row r="78" spans="1:37" ht="24.75" thickBot="1">
      <c r="A78" s="2665" t="s">
        <v>2771</v>
      </c>
      <c r="B78" s="2670"/>
      <c r="C78" s="2555"/>
      <c r="D78" s="1371">
        <f t="shared" si="20"/>
        <v>0</v>
      </c>
      <c r="E78" s="840"/>
      <c r="F78" s="2669"/>
      <c r="G78" s="1372"/>
      <c r="H78" s="1376" t="str">
        <f t="shared" si="21"/>
        <v>——</v>
      </c>
      <c r="I78" s="836">
        <v>0.04</v>
      </c>
      <c r="J78" s="1373">
        <f t="shared" si="22"/>
        <v>0</v>
      </c>
      <c r="K78" s="1373">
        <f t="shared" si="23"/>
        <v>0</v>
      </c>
      <c r="L78" s="1373">
        <v>0</v>
      </c>
      <c r="M78" s="1373">
        <f t="shared" si="24"/>
        <v>0</v>
      </c>
      <c r="N78" s="1373">
        <f t="shared" si="24"/>
        <v>0</v>
      </c>
      <c r="Z78" s="2503"/>
      <c r="AA78" s="2570"/>
      <c r="AG78" s="2646"/>
      <c r="AK78" s="2570"/>
    </row>
    <row r="79" spans="1:37" ht="15">
      <c r="A79" s="2651" t="s">
        <v>2772</v>
      </c>
      <c r="B79" s="2667">
        <f>1+E81</f>
        <v>1</v>
      </c>
      <c r="C79" s="816"/>
      <c r="D79" s="816"/>
      <c r="E79" s="817"/>
      <c r="F79" s="2654"/>
      <c r="G79" s="7"/>
      <c r="H79" s="7"/>
      <c r="I79" s="7"/>
      <c r="J79" s="9"/>
      <c r="K79" s="9"/>
      <c r="L79" s="9"/>
      <c r="M79" s="9"/>
      <c r="N79" s="9"/>
      <c r="Z79" s="2503"/>
      <c r="AA79" s="2570"/>
      <c r="AG79" s="2646"/>
      <c r="AK79" s="2570"/>
    </row>
    <row r="80" spans="1:37" ht="24.75">
      <c r="A80" s="2656" t="s">
        <v>2738</v>
      </c>
      <c r="B80" s="2660"/>
      <c r="C80" s="822" t="s">
        <v>2740</v>
      </c>
      <c r="D80" s="822" t="s">
        <v>2741</v>
      </c>
      <c r="E80" s="823" t="s">
        <v>2742</v>
      </c>
      <c r="F80" s="2657" t="s">
        <v>2743</v>
      </c>
      <c r="G80" s="822" t="s">
        <v>2764</v>
      </c>
      <c r="H80" s="2658" t="s">
        <v>2765</v>
      </c>
      <c r="I80" s="822" t="s">
        <v>2766</v>
      </c>
      <c r="J80" s="587" t="s">
        <v>2400</v>
      </c>
      <c r="K80" s="587" t="s">
        <v>2401</v>
      </c>
      <c r="L80" s="587" t="s">
        <v>2402</v>
      </c>
      <c r="M80" s="587" t="s">
        <v>2403</v>
      </c>
      <c r="N80" s="587" t="s">
        <v>2404</v>
      </c>
      <c r="Z80" s="2503"/>
      <c r="AA80" s="2570"/>
      <c r="AG80" s="2646"/>
      <c r="AK80" s="2570"/>
    </row>
    <row r="81" spans="1:37" ht="38.25">
      <c r="A81" s="2656" t="s">
        <v>2773</v>
      </c>
      <c r="B81" s="2660" t="str">
        <f>估价对象房地状况!G15</f>
        <v>估价对象位于XX开发区，园区建设成熟度XX，产业集聚程度XX</v>
      </c>
      <c r="C81" s="2555"/>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2753</v>
      </c>
      <c r="B82" s="2660" t="str">
        <f>估价对象房地状况!G16</f>
        <v>估价对象周边道路状况、公共交通通达情况、停车便捷程度，综合评价交通便捷度较好</v>
      </c>
      <c r="C82" s="2555"/>
      <c r="D82" s="1371">
        <f t="shared" si="25"/>
        <v>0</v>
      </c>
      <c r="E82" s="839"/>
      <c r="F82" s="2669"/>
      <c r="G82" s="1372"/>
      <c r="H82" s="1376" t="str">
        <f t="shared" si="26"/>
        <v>——</v>
      </c>
      <c r="I82" s="827">
        <v>0.33</v>
      </c>
      <c r="J82" s="1373">
        <f t="shared" si="27"/>
        <v>0</v>
      </c>
      <c r="K82" s="1373">
        <f t="shared" si="28"/>
        <v>0</v>
      </c>
      <c r="L82" s="1373">
        <v>0</v>
      </c>
      <c r="M82" s="1373">
        <f t="shared" si="29"/>
        <v>0</v>
      </c>
      <c r="N82" s="1373">
        <f t="shared" si="29"/>
        <v>0</v>
      </c>
      <c r="Z82" s="2503"/>
      <c r="AA82" s="2570"/>
      <c r="AG82" s="2646"/>
      <c r="AK82" s="2570"/>
    </row>
    <row r="83" spans="1:37" ht="24">
      <c r="A83" s="2656" t="s">
        <v>2754</v>
      </c>
      <c r="B83" s="2660">
        <f>估价对象房地状况!G17</f>
        <v>0</v>
      </c>
      <c r="C83" s="2555"/>
      <c r="D83" s="1371">
        <f t="shared" si="25"/>
        <v>0</v>
      </c>
      <c r="E83" s="839"/>
      <c r="F83" s="2669"/>
      <c r="G83" s="1372"/>
      <c r="H83" s="1376" t="str">
        <f t="shared" si="26"/>
        <v>——</v>
      </c>
      <c r="I83" s="827">
        <v>0.05</v>
      </c>
      <c r="J83" s="1373">
        <f t="shared" si="27"/>
        <v>0</v>
      </c>
      <c r="K83" s="1373">
        <f t="shared" si="28"/>
        <v>0</v>
      </c>
      <c r="L83" s="1373">
        <v>0</v>
      </c>
      <c r="M83" s="1373">
        <f t="shared" si="29"/>
        <v>0</v>
      </c>
      <c r="N83" s="1373">
        <f t="shared" si="29"/>
        <v>0</v>
      </c>
      <c r="Z83" s="2503"/>
      <c r="AA83" s="2570"/>
      <c r="AG83" s="2646"/>
      <c r="AK83" s="2570"/>
    </row>
    <row r="84" spans="1:37" ht="14.25">
      <c r="A84" s="2656" t="s">
        <v>2770</v>
      </c>
      <c r="B84" s="2660">
        <f>估价对象房地状况!G22</f>
        <v>0</v>
      </c>
      <c r="C84" s="2555"/>
      <c r="D84" s="1371">
        <f t="shared" si="25"/>
        <v>0</v>
      </c>
      <c r="E84" s="839"/>
      <c r="F84" s="2669"/>
      <c r="G84" s="1372"/>
      <c r="H84" s="1376" t="str">
        <f t="shared" si="26"/>
        <v>——</v>
      </c>
      <c r="I84" s="827">
        <v>0.04</v>
      </c>
      <c r="J84" s="1373">
        <f t="shared" si="27"/>
        <v>0</v>
      </c>
      <c r="K84" s="1373">
        <f t="shared" si="28"/>
        <v>0</v>
      </c>
      <c r="L84" s="1373">
        <v>0</v>
      </c>
      <c r="M84" s="1373">
        <f t="shared" si="29"/>
        <v>0</v>
      </c>
      <c r="N84" s="1373">
        <f t="shared" si="29"/>
        <v>0</v>
      </c>
      <c r="Z84" s="2503"/>
      <c r="AA84" s="2570"/>
      <c r="AG84" s="2646"/>
      <c r="AK84" s="2570"/>
    </row>
    <row r="85" spans="1:37" ht="25.5">
      <c r="A85" s="2656" t="s">
        <v>2760</v>
      </c>
      <c r="B85" s="2664" t="str">
        <f>估价对象房地状况!G19</f>
        <v>估价对象所在区域公共配套设施齐备情况</v>
      </c>
      <c r="C85" s="2555"/>
      <c r="D85" s="1371">
        <f t="shared" si="25"/>
        <v>0</v>
      </c>
      <c r="E85" s="839"/>
      <c r="F85" s="2669"/>
      <c r="G85" s="1372"/>
      <c r="H85" s="1376" t="str">
        <f t="shared" si="26"/>
        <v>——</v>
      </c>
      <c r="I85" s="827">
        <v>0.06</v>
      </c>
      <c r="J85" s="1373">
        <f t="shared" si="27"/>
        <v>0</v>
      </c>
      <c r="K85" s="1373">
        <f t="shared" si="28"/>
        <v>0</v>
      </c>
      <c r="L85" s="1373">
        <v>0</v>
      </c>
      <c r="M85" s="1373">
        <f t="shared" si="29"/>
        <v>0</v>
      </c>
      <c r="N85" s="1373">
        <f t="shared" si="29"/>
        <v>0</v>
      </c>
      <c r="Z85" s="2503"/>
      <c r="AA85" s="2570"/>
      <c r="AG85" s="2646"/>
      <c r="AK85" s="2570"/>
    </row>
    <row r="86" spans="1:37" ht="25.5">
      <c r="A86" s="2656" t="s">
        <v>2761</v>
      </c>
      <c r="B86" s="2664" t="str">
        <f>估价对象房地状况!G20</f>
        <v>估价对象所在区域基础设施水平</v>
      </c>
      <c r="C86" s="2555"/>
      <c r="D86" s="1371">
        <f t="shared" si="25"/>
        <v>0</v>
      </c>
      <c r="E86" s="839"/>
      <c r="F86" s="2669"/>
      <c r="G86" s="1372"/>
      <c r="H86" s="1376" t="str">
        <f t="shared" si="26"/>
        <v>——</v>
      </c>
      <c r="I86" s="827">
        <v>0.15</v>
      </c>
      <c r="J86" s="1373">
        <f t="shared" si="27"/>
        <v>0</v>
      </c>
      <c r="K86" s="1373">
        <f t="shared" si="28"/>
        <v>0</v>
      </c>
      <c r="L86" s="1373">
        <v>0</v>
      </c>
      <c r="M86" s="1373">
        <f t="shared" si="29"/>
        <v>0</v>
      </c>
      <c r="N86" s="1373">
        <f t="shared" si="29"/>
        <v>0</v>
      </c>
      <c r="Z86" s="2503"/>
      <c r="AA86" s="2570"/>
      <c r="AG86" s="2646"/>
      <c r="AK86" s="2570"/>
    </row>
    <row r="87" spans="1:37" ht="24">
      <c r="A87" s="2656" t="s">
        <v>2758</v>
      </c>
      <c r="B87" s="2662" t="s">
        <v>2759</v>
      </c>
      <c r="C87" s="2555"/>
      <c r="D87" s="1371">
        <f t="shared" si="25"/>
        <v>0</v>
      </c>
      <c r="E87" s="839"/>
      <c r="F87" s="2669"/>
      <c r="G87" s="1372"/>
      <c r="H87" s="1376" t="str">
        <f t="shared" si="26"/>
        <v>——</v>
      </c>
      <c r="I87" s="827">
        <v>0.05</v>
      </c>
      <c r="J87" s="1373">
        <f t="shared" si="27"/>
        <v>0</v>
      </c>
      <c r="K87" s="1373">
        <f t="shared" si="28"/>
        <v>0</v>
      </c>
      <c r="L87" s="1373">
        <v>0</v>
      </c>
      <c r="M87" s="1373">
        <f t="shared" si="29"/>
        <v>0</v>
      </c>
      <c r="N87" s="1373">
        <f t="shared" si="29"/>
        <v>0</v>
      </c>
      <c r="Z87" s="2503"/>
      <c r="AA87" s="2570"/>
      <c r="AG87" s="2646"/>
      <c r="AK87" s="2570"/>
    </row>
    <row r="88" spans="1:37" ht="39" thickBot="1">
      <c r="A88" s="2665" t="s">
        <v>2774</v>
      </c>
      <c r="B88" s="2671" t="str">
        <f>估价对象房地状况!G18</f>
        <v>该园区内是否有污染型企业，绿化情况，卫生条件，整体环境状况判断</v>
      </c>
      <c r="C88" s="2672"/>
      <c r="D88" s="1377">
        <f t="shared" si="25"/>
        <v>0</v>
      </c>
      <c r="E88" s="840"/>
      <c r="F88" s="2669"/>
      <c r="G88" s="1372"/>
      <c r="H88" s="1376" t="str">
        <f t="shared" si="26"/>
        <v>——</v>
      </c>
      <c r="I88" s="836">
        <v>0.06</v>
      </c>
      <c r="J88" s="1373">
        <f t="shared" si="27"/>
        <v>0</v>
      </c>
      <c r="K88" s="1373">
        <f t="shared" si="28"/>
        <v>0</v>
      </c>
      <c r="L88" s="1373">
        <v>0</v>
      </c>
      <c r="M88" s="1373">
        <f t="shared" si="29"/>
        <v>0</v>
      </c>
      <c r="N88" s="1373">
        <f t="shared" si="29"/>
        <v>0</v>
      </c>
      <c r="Z88" s="2503"/>
      <c r="AA88" s="2570"/>
      <c r="AG88" s="2646"/>
      <c r="AK88" s="2570"/>
    </row>
    <row r="90" spans="1:37">
      <c r="A90" s="3084" t="s">
        <v>2775</v>
      </c>
      <c r="B90" s="3084"/>
      <c r="C90" s="3084"/>
      <c r="D90" s="3084"/>
      <c r="E90" s="3084"/>
      <c r="F90" s="3084"/>
      <c r="G90" s="3084"/>
      <c r="H90" s="3084"/>
      <c r="I90" s="3084"/>
      <c r="J90" s="3084"/>
      <c r="K90" s="2673"/>
      <c r="L90" s="2673"/>
      <c r="M90" s="2673"/>
      <c r="N90" s="2673"/>
    </row>
    <row r="91" spans="1:37">
      <c r="A91" s="3086" t="s">
        <v>2776</v>
      </c>
      <c r="B91" s="3086" t="s">
        <v>2777</v>
      </c>
      <c r="C91" s="2621" t="s">
        <v>2778</v>
      </c>
      <c r="D91" s="2622"/>
      <c r="E91" s="2622"/>
      <c r="F91" s="2622"/>
      <c r="G91" s="2622"/>
      <c r="H91" s="2622"/>
      <c r="I91" s="2622"/>
      <c r="J91" s="2674"/>
      <c r="K91" s="2675"/>
      <c r="L91" s="2675"/>
      <c r="M91" s="2675"/>
      <c r="N91" s="2675"/>
    </row>
    <row r="92" spans="1:37">
      <c r="A92" s="3086"/>
      <c r="B92" s="3086"/>
      <c r="C92" s="967" t="s">
        <v>2631</v>
      </c>
      <c r="D92" s="967" t="s">
        <v>2632</v>
      </c>
      <c r="E92" s="967" t="s">
        <v>2633</v>
      </c>
      <c r="F92" s="967" t="s">
        <v>2634</v>
      </c>
      <c r="G92" s="967" t="s">
        <v>2635</v>
      </c>
      <c r="H92" s="967" t="s">
        <v>2636</v>
      </c>
      <c r="I92" s="967" t="s">
        <v>2637</v>
      </c>
      <c r="J92" s="967" t="s">
        <v>2638</v>
      </c>
      <c r="K92" s="967" t="s">
        <v>2639</v>
      </c>
      <c r="L92" s="967" t="s">
        <v>2640</v>
      </c>
      <c r="M92" s="967" t="s">
        <v>2641</v>
      </c>
      <c r="N92" s="967" t="s">
        <v>2642</v>
      </c>
    </row>
    <row r="93" spans="1:37">
      <c r="A93" s="3087" t="s">
        <v>2779</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88"/>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88"/>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88"/>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88"/>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88"/>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88"/>
      <c r="B99" s="2676" t="s">
        <v>2647</v>
      </c>
      <c r="C99" s="2678">
        <f>$I$3</f>
        <v>0</v>
      </c>
      <c r="D99" s="2678">
        <f t="shared" ref="D99:M99" si="30">$I$3</f>
        <v>0</v>
      </c>
      <c r="E99" s="2678">
        <f t="shared" si="30"/>
        <v>0</v>
      </c>
      <c r="F99" s="2678">
        <f t="shared" si="30"/>
        <v>0</v>
      </c>
      <c r="G99" s="2678">
        <f t="shared" si="30"/>
        <v>0</v>
      </c>
      <c r="H99" s="2678">
        <f t="shared" si="30"/>
        <v>0</v>
      </c>
      <c r="I99" s="2678">
        <f t="shared" si="30"/>
        <v>0</v>
      </c>
      <c r="J99" s="2678">
        <f t="shared" si="30"/>
        <v>0</v>
      </c>
      <c r="K99" s="2678">
        <f t="shared" si="30"/>
        <v>0</v>
      </c>
      <c r="L99" s="2678">
        <f t="shared" si="30"/>
        <v>0</v>
      </c>
      <c r="M99" s="2678">
        <f t="shared" si="30"/>
        <v>0</v>
      </c>
      <c r="N99" s="2678">
        <f>$I$3</f>
        <v>0</v>
      </c>
    </row>
    <row r="100" spans="1:14">
      <c r="A100" s="3089"/>
      <c r="B100" s="2676">
        <v>7</v>
      </c>
      <c r="C100" s="2679">
        <f>(-0.163*(C99^2)-0.59*C99+7617)*(10^(-4))</f>
        <v>0.76170000000000004</v>
      </c>
      <c r="D100" s="2679">
        <f>(-0.163*(D99^2)-0.59*D99+7617)*(10^(-4))</f>
        <v>0.76170000000000004</v>
      </c>
      <c r="E100" s="2679">
        <f>(-0.161*(E99^2)-7.509*E99+6533)*(10^(-4))</f>
        <v>0.65329999999999999</v>
      </c>
      <c r="F100" s="2679">
        <f>(-0.161*(F99^2)-7.509*F99+6533)*(10^(-4))</f>
        <v>0.65329999999999999</v>
      </c>
      <c r="G100" s="2679">
        <f>(-0.161*(G99^2)-7.509*G99+6533)*(10^(-4))</f>
        <v>0.65329999999999999</v>
      </c>
      <c r="H100" s="2679">
        <f>(-0.161*(H99^2)-7.509*H99+6533)*(10^(-4))</f>
        <v>0.65329999999999999</v>
      </c>
      <c r="I100" s="2679">
        <f>(-0.161*(I99^2)-7.509*I99+6533)*(10^(-4))</f>
        <v>0.65329999999999999</v>
      </c>
      <c r="J100" s="2679">
        <f>(-0.214*(J99^2)-21.991*J99+4665)*(10^(-4))</f>
        <v>0.46650000000000003</v>
      </c>
      <c r="K100" s="2679">
        <f>(-0.214*(K99^2)-21.991*K99+4665)*(10^(-4))</f>
        <v>0.46650000000000003</v>
      </c>
      <c r="L100" s="2679">
        <f>(-0.214*(L99^2)-21.991*L99+4665)*(10^(-4))</f>
        <v>0.46650000000000003</v>
      </c>
      <c r="M100" s="2679">
        <f>(-0.214*(M99^2)-21.991*M99+4665)*(10^(-4))</f>
        <v>0.46650000000000003</v>
      </c>
      <c r="N100" s="2679">
        <f>(-0.214*(N99^2)-21.991*N99+4665)*(10^(-4))</f>
        <v>0.46650000000000003</v>
      </c>
    </row>
    <row r="101" spans="1:14">
      <c r="A101" s="3087" t="s">
        <v>2780</v>
      </c>
      <c r="B101" s="2680" t="s">
        <v>2781</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88"/>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88"/>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88"/>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88"/>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88"/>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88"/>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88"/>
      <c r="B108" s="3090" t="s">
        <v>2782</v>
      </c>
      <c r="C108" s="2678">
        <f>C99</f>
        <v>0</v>
      </c>
      <c r="D108" s="2678">
        <f t="shared" ref="D108:N108" si="32">D99</f>
        <v>0</v>
      </c>
      <c r="E108" s="2678">
        <f t="shared" si="32"/>
        <v>0</v>
      </c>
      <c r="F108" s="2678">
        <f t="shared" si="32"/>
        <v>0</v>
      </c>
      <c r="G108" s="2678">
        <f t="shared" si="32"/>
        <v>0</v>
      </c>
      <c r="H108" s="2678">
        <f t="shared" si="32"/>
        <v>0</v>
      </c>
      <c r="I108" s="2678">
        <f t="shared" si="32"/>
        <v>0</v>
      </c>
      <c r="J108" s="2678">
        <f t="shared" si="32"/>
        <v>0</v>
      </c>
      <c r="K108" s="2678">
        <f t="shared" si="32"/>
        <v>0</v>
      </c>
      <c r="L108" s="2678">
        <f t="shared" si="32"/>
        <v>0</v>
      </c>
      <c r="M108" s="2678">
        <f t="shared" si="32"/>
        <v>0</v>
      </c>
      <c r="N108" s="2678">
        <f t="shared" si="32"/>
        <v>0</v>
      </c>
    </row>
    <row r="109" spans="1:14">
      <c r="A109" s="3089"/>
      <c r="B109" s="3091"/>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85" t="s">
        <v>2783</v>
      </c>
      <c r="B110" s="3085"/>
      <c r="C110" s="3085"/>
      <c r="D110" s="3085"/>
      <c r="E110" s="3085"/>
      <c r="F110" s="3085"/>
      <c r="G110" s="3085"/>
      <c r="H110" s="3085"/>
      <c r="I110" s="3085"/>
      <c r="J110" s="3085"/>
      <c r="K110" s="2682"/>
      <c r="L110" s="2682"/>
      <c r="M110" s="2682"/>
      <c r="N110" s="2682"/>
    </row>
    <row r="112" spans="1:14" ht="13.5" thickBot="1"/>
    <row r="113" spans="1:13" ht="25.5" thickBot="1">
      <c r="A113" s="927" t="s">
        <v>2784</v>
      </c>
      <c r="B113" s="1374">
        <f>G3</f>
        <v>0</v>
      </c>
      <c r="C113" s="928" t="s">
        <v>2785</v>
      </c>
      <c r="D113" s="929">
        <f>SUMPRODUCT((A115:A118=F113)*(B114:M114=H113)*B115:M118)</f>
        <v>0</v>
      </c>
      <c r="E113" s="2684" t="s">
        <v>2671</v>
      </c>
      <c r="F113" s="2685">
        <f>E2</f>
        <v>0</v>
      </c>
      <c r="G113" s="2684" t="s">
        <v>2605</v>
      </c>
      <c r="H113" s="2685" t="str">
        <f>G2</f>
        <v>二级</v>
      </c>
      <c r="I113" s="2684"/>
      <c r="J113" s="2686"/>
      <c r="K113" s="2686"/>
      <c r="L113" s="2686"/>
      <c r="M113" s="2686"/>
    </row>
    <row r="114" spans="1:13">
      <c r="A114" s="932"/>
      <c r="B114" s="2687" t="s">
        <v>2786</v>
      </c>
      <c r="C114" s="2687" t="s">
        <v>2787</v>
      </c>
      <c r="D114" s="2687" t="s">
        <v>2788</v>
      </c>
      <c r="E114" s="2688" t="s">
        <v>2789</v>
      </c>
      <c r="F114" s="2688" t="s">
        <v>2790</v>
      </c>
      <c r="G114" s="2688" t="s">
        <v>2791</v>
      </c>
      <c r="H114" s="2689" t="s">
        <v>2792</v>
      </c>
      <c r="I114" s="2689" t="s">
        <v>2793</v>
      </c>
      <c r="J114" s="2690" t="s">
        <v>2794</v>
      </c>
      <c r="K114" s="2690" t="s">
        <v>2795</v>
      </c>
      <c r="L114" s="2690" t="s">
        <v>2796</v>
      </c>
      <c r="M114" s="2691" t="s">
        <v>2797</v>
      </c>
    </row>
    <row r="115" spans="1:13">
      <c r="A115" s="933" t="s">
        <v>2672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7" t="s">
        <v>785</v>
      </c>
      <c r="B1" s="3097"/>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7" t="s">
        <v>105</v>
      </c>
      <c r="B1" s="3097"/>
      <c r="C1" s="3097"/>
      <c r="D1" s="3097"/>
      <c r="E1" s="3097"/>
      <c r="F1" s="309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8" t="s">
        <v>118</v>
      </c>
      <c r="B2" s="3098"/>
      <c r="C2" s="3098"/>
      <c r="D2" s="3098"/>
      <c r="E2" s="3098"/>
      <c r="F2" s="309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2820</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01" t="s">
        <v>132</v>
      </c>
      <c r="B18" s="906" t="s">
        <v>517</v>
      </c>
      <c r="C18" s="907" t="s">
        <v>518</v>
      </c>
      <c r="D18" s="908"/>
      <c r="E18" s="906">
        <v>1</v>
      </c>
      <c r="F18" s="909" t="s">
        <v>519</v>
      </c>
      <c r="G18" s="910"/>
      <c r="H18" s="902"/>
      <c r="I18" s="902"/>
    </row>
    <row r="19" spans="1:9" s="911" customFormat="1" ht="19.5" customHeight="1">
      <c r="A19" s="3101"/>
      <c r="B19" s="3101" t="s">
        <v>520</v>
      </c>
      <c r="C19" s="907" t="s">
        <v>521</v>
      </c>
      <c r="D19" s="908"/>
      <c r="E19" s="906">
        <v>0.9</v>
      </c>
      <c r="F19" s="909" t="s">
        <v>522</v>
      </c>
      <c r="G19" s="910"/>
      <c r="H19" s="902"/>
      <c r="I19" s="902"/>
    </row>
    <row r="20" spans="1:9" s="911" customFormat="1" ht="19.5" customHeight="1">
      <c r="A20" s="3101"/>
      <c r="B20" s="3101"/>
      <c r="C20" s="907" t="s">
        <v>523</v>
      </c>
      <c r="D20" s="908"/>
      <c r="E20" s="906">
        <v>1.1000000000000001</v>
      </c>
      <c r="F20" s="909" t="s">
        <v>524</v>
      </c>
      <c r="G20" s="910"/>
      <c r="H20" s="902"/>
      <c r="I20" s="902"/>
    </row>
    <row r="21" spans="1:9" s="911" customFormat="1" ht="19.5" customHeight="1">
      <c r="A21" s="3101"/>
      <c r="B21" s="3101"/>
      <c r="C21" s="907" t="s">
        <v>525</v>
      </c>
      <c r="D21" s="908"/>
      <c r="E21" s="906">
        <v>0.8</v>
      </c>
      <c r="F21" s="909" t="s">
        <v>526</v>
      </c>
      <c r="G21" s="910"/>
      <c r="H21" s="902"/>
      <c r="I21" s="902"/>
    </row>
    <row r="22" spans="1:9" s="911" customFormat="1" ht="19.5" customHeight="1">
      <c r="A22" s="3101"/>
      <c r="B22" s="3101"/>
      <c r="C22" s="907" t="s">
        <v>527</v>
      </c>
      <c r="D22" s="908"/>
      <c r="E22" s="906">
        <v>0.5</v>
      </c>
      <c r="F22" s="909"/>
      <c r="G22" s="910"/>
      <c r="H22" s="902"/>
      <c r="I22" s="902"/>
    </row>
    <row r="23" spans="1:9" s="911" customFormat="1" ht="19.5" customHeight="1">
      <c r="A23" s="3101" t="s">
        <v>133</v>
      </c>
      <c r="B23" s="906" t="s">
        <v>517</v>
      </c>
      <c r="C23" s="907" t="s">
        <v>528</v>
      </c>
      <c r="D23" s="908"/>
      <c r="E23" s="906">
        <v>1</v>
      </c>
      <c r="F23" s="909" t="s">
        <v>529</v>
      </c>
      <c r="G23" s="910"/>
      <c r="H23" s="902"/>
      <c r="I23" s="902"/>
    </row>
    <row r="24" spans="1:9" s="911" customFormat="1" ht="19.5" customHeight="1">
      <c r="A24" s="3101"/>
      <c r="B24" s="3101" t="s">
        <v>520</v>
      </c>
      <c r="C24" s="907" t="s">
        <v>530</v>
      </c>
      <c r="D24" s="908"/>
      <c r="E24" s="906">
        <v>0.5</v>
      </c>
      <c r="F24" s="909"/>
      <c r="G24" s="910"/>
      <c r="H24" s="902"/>
      <c r="I24" s="902"/>
    </row>
    <row r="25" spans="1:9" s="911" customFormat="1" ht="19.5" customHeight="1">
      <c r="A25" s="3101"/>
      <c r="B25" s="3101"/>
      <c r="C25" s="907" t="s">
        <v>531</v>
      </c>
      <c r="D25" s="908"/>
      <c r="E25" s="906">
        <v>1.1000000000000001</v>
      </c>
      <c r="F25" s="909"/>
      <c r="G25" s="910"/>
      <c r="H25" s="902"/>
      <c r="I25" s="902"/>
    </row>
    <row r="26" spans="1:9" s="911" customFormat="1" ht="19.5" customHeight="1">
      <c r="A26" s="3101"/>
      <c r="B26" s="3101"/>
      <c r="C26" s="907" t="s">
        <v>532</v>
      </c>
      <c r="D26" s="908"/>
      <c r="E26" s="906">
        <v>1.1000000000000001</v>
      </c>
      <c r="F26" s="909"/>
      <c r="G26" s="910"/>
      <c r="H26" s="902"/>
      <c r="I26" s="902"/>
    </row>
    <row r="27" spans="1:9" s="911" customFormat="1" ht="19.5" customHeight="1">
      <c r="A27" s="3101"/>
      <c r="B27" s="3101"/>
      <c r="C27" s="907" t="s">
        <v>533</v>
      </c>
      <c r="D27" s="908"/>
      <c r="E27" s="906">
        <v>0.9</v>
      </c>
      <c r="F27" s="909" t="s">
        <v>534</v>
      </c>
      <c r="G27" s="910"/>
      <c r="H27" s="902"/>
      <c r="I27" s="902"/>
    </row>
    <row r="28" spans="1:9" s="911" customFormat="1" ht="19.5" customHeight="1">
      <c r="A28" s="3101"/>
      <c r="B28" s="3101"/>
      <c r="C28" s="907" t="s">
        <v>535</v>
      </c>
      <c r="D28" s="908"/>
      <c r="E28" s="906">
        <v>0.9</v>
      </c>
      <c r="F28" s="909" t="s">
        <v>536</v>
      </c>
      <c r="G28" s="910"/>
      <c r="H28" s="902"/>
      <c r="I28" s="902"/>
    </row>
    <row r="29" spans="1:9" s="911" customFormat="1" ht="19.5" customHeight="1">
      <c r="A29" s="3101"/>
      <c r="B29" s="3101"/>
      <c r="C29" s="907" t="s">
        <v>537</v>
      </c>
      <c r="D29" s="908"/>
      <c r="E29" s="906">
        <v>0.9</v>
      </c>
      <c r="F29" s="909" t="s">
        <v>538</v>
      </c>
      <c r="G29" s="910"/>
      <c r="H29" s="902"/>
      <c r="I29" s="902"/>
    </row>
    <row r="30" spans="1:9" s="911" customFormat="1" ht="19.5" customHeight="1">
      <c r="A30" s="3101"/>
      <c r="B30" s="3101"/>
      <c r="C30" s="907" t="s">
        <v>539</v>
      </c>
      <c r="D30" s="908"/>
      <c r="E30" s="906">
        <v>0.9</v>
      </c>
      <c r="F30" s="909" t="s">
        <v>540</v>
      </c>
      <c r="G30" s="910"/>
      <c r="H30" s="902"/>
      <c r="I30" s="902"/>
    </row>
    <row r="31" spans="1:9" s="911" customFormat="1" ht="19.5" customHeight="1">
      <c r="A31" s="3101"/>
      <c r="B31" s="3101"/>
      <c r="C31" s="907" t="s">
        <v>541</v>
      </c>
      <c r="D31" s="908"/>
      <c r="E31" s="906">
        <v>0.8</v>
      </c>
      <c r="F31" s="909" t="s">
        <v>542</v>
      </c>
      <c r="G31" s="910"/>
      <c r="H31" s="902"/>
      <c r="I31" s="902"/>
    </row>
    <row r="32" spans="1:9" s="911" customFormat="1" ht="19.5" customHeight="1">
      <c r="A32" s="3101"/>
      <c r="B32" s="3101"/>
      <c r="C32" s="907" t="s">
        <v>543</v>
      </c>
      <c r="D32" s="908"/>
      <c r="E32" s="906">
        <v>0.8</v>
      </c>
      <c r="F32" s="909" t="s">
        <v>544</v>
      </c>
      <c r="G32" s="910"/>
      <c r="H32" s="902"/>
      <c r="I32" s="902"/>
    </row>
    <row r="33" spans="1:9" s="911" customFormat="1" ht="19.5" customHeight="1">
      <c r="A33" s="3101" t="s">
        <v>134</v>
      </c>
      <c r="B33" s="906" t="s">
        <v>517</v>
      </c>
      <c r="C33" s="907" t="s">
        <v>545</v>
      </c>
      <c r="D33" s="908"/>
      <c r="E33" s="906">
        <v>1</v>
      </c>
      <c r="F33" s="909" t="s">
        <v>546</v>
      </c>
      <c r="G33" s="910"/>
      <c r="H33" s="902"/>
      <c r="I33" s="902"/>
    </row>
    <row r="34" spans="1:9" s="911" customFormat="1" ht="19.5" customHeight="1">
      <c r="A34" s="3101"/>
      <c r="B34" s="906" t="s">
        <v>520</v>
      </c>
      <c r="C34" s="907" t="s">
        <v>547</v>
      </c>
      <c r="D34" s="908"/>
      <c r="E34" s="906">
        <v>1.5</v>
      </c>
      <c r="F34" s="909" t="s">
        <v>548</v>
      </c>
      <c r="G34" s="910"/>
      <c r="H34" s="902"/>
      <c r="I34" s="902"/>
    </row>
    <row r="35" spans="1:9" s="911" customFormat="1" ht="19.5" customHeight="1">
      <c r="A35" s="3101" t="s">
        <v>135</v>
      </c>
      <c r="B35" s="906" t="s">
        <v>517</v>
      </c>
      <c r="C35" s="907" t="s">
        <v>549</v>
      </c>
      <c r="D35" s="908"/>
      <c r="E35" s="906">
        <v>1</v>
      </c>
      <c r="F35" s="909" t="s">
        <v>550</v>
      </c>
      <c r="G35" s="910"/>
      <c r="H35" s="902"/>
      <c r="I35" s="902"/>
    </row>
    <row r="36" spans="1:9" s="911" customFormat="1" ht="19.5" customHeight="1">
      <c r="A36" s="3101"/>
      <c r="B36" s="3101" t="s">
        <v>520</v>
      </c>
      <c r="C36" s="907" t="s">
        <v>551</v>
      </c>
      <c r="D36" s="908"/>
      <c r="E36" s="906">
        <v>1</v>
      </c>
      <c r="F36" s="909" t="s">
        <v>552</v>
      </c>
      <c r="G36" s="910"/>
      <c r="H36" s="902"/>
      <c r="I36" s="902"/>
    </row>
    <row r="37" spans="1:9" s="911" customFormat="1" ht="19.5" customHeight="1">
      <c r="A37" s="3101"/>
      <c r="B37" s="3101"/>
      <c r="C37" s="907" t="s">
        <v>553</v>
      </c>
      <c r="D37" s="908"/>
      <c r="E37" s="906">
        <v>1.5</v>
      </c>
      <c r="F37" s="909" t="s">
        <v>554</v>
      </c>
      <c r="G37" s="910"/>
      <c r="H37" s="902"/>
      <c r="I37" s="902"/>
    </row>
    <row r="38" spans="1:9" s="911" customFormat="1" ht="19.5" customHeight="1">
      <c r="A38" s="3101"/>
      <c r="B38" s="3101"/>
      <c r="C38" s="907" t="s">
        <v>555</v>
      </c>
      <c r="D38" s="908"/>
      <c r="E38" s="906">
        <v>1</v>
      </c>
      <c r="F38" s="909" t="s">
        <v>556</v>
      </c>
      <c r="G38" s="910"/>
      <c r="H38" s="902"/>
      <c r="I38" s="902"/>
    </row>
    <row r="39" spans="1:9" s="911" customFormat="1" ht="19.5" customHeight="1">
      <c r="A39" s="3101"/>
      <c r="B39" s="310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01" t="s">
        <v>571</v>
      </c>
      <c r="C61" s="820" t="s">
        <v>572</v>
      </c>
      <c r="D61" s="820" t="s">
        <v>573</v>
      </c>
      <c r="E61" s="919">
        <v>0.5</v>
      </c>
      <c r="F61" s="906">
        <v>80</v>
      </c>
    </row>
    <row r="62" spans="1:8" s="902" customFormat="1" ht="24">
      <c r="A62" s="906">
        <v>2</v>
      </c>
      <c r="B62" s="3101"/>
      <c r="C62" s="820" t="s">
        <v>574</v>
      </c>
      <c r="D62" s="820" t="s">
        <v>575</v>
      </c>
      <c r="E62" s="919">
        <v>0.5</v>
      </c>
      <c r="F62" s="906">
        <v>80</v>
      </c>
    </row>
    <row r="63" spans="1:8" s="902" customFormat="1" ht="36">
      <c r="A63" s="906">
        <v>3</v>
      </c>
      <c r="B63" s="3101"/>
      <c r="C63" s="820" t="s">
        <v>576</v>
      </c>
      <c r="D63" s="820" t="s">
        <v>577</v>
      </c>
      <c r="E63" s="919">
        <v>0.5</v>
      </c>
      <c r="F63" s="906">
        <v>80</v>
      </c>
    </row>
    <row r="64" spans="1:8" s="902" customFormat="1" ht="36">
      <c r="A64" s="906">
        <v>4</v>
      </c>
      <c r="B64" s="3101"/>
      <c r="C64" s="820" t="s">
        <v>578</v>
      </c>
      <c r="D64" s="820" t="s">
        <v>579</v>
      </c>
      <c r="E64" s="919">
        <v>0.4</v>
      </c>
      <c r="F64" s="906">
        <v>60</v>
      </c>
    </row>
    <row r="65" spans="1:6" s="902" customFormat="1" ht="36">
      <c r="A65" s="906">
        <v>5</v>
      </c>
      <c r="B65" s="3101"/>
      <c r="C65" s="820" t="s">
        <v>580</v>
      </c>
      <c r="D65" s="820" t="s">
        <v>581</v>
      </c>
      <c r="E65" s="919">
        <v>0.2</v>
      </c>
      <c r="F65" s="906">
        <v>30</v>
      </c>
    </row>
    <row r="66" spans="1:6" s="902" customFormat="1" ht="36">
      <c r="A66" s="906">
        <v>6</v>
      </c>
      <c r="B66" s="3101"/>
      <c r="C66" s="820" t="s">
        <v>582</v>
      </c>
      <c r="D66" s="820" t="s">
        <v>583</v>
      </c>
      <c r="E66" s="919">
        <v>0.3</v>
      </c>
      <c r="F66" s="906">
        <v>50</v>
      </c>
    </row>
    <row r="67" spans="1:6" s="902" customFormat="1" ht="36">
      <c r="A67" s="906">
        <v>7</v>
      </c>
      <c r="B67" s="3101"/>
      <c r="C67" s="820" t="s">
        <v>584</v>
      </c>
      <c r="D67" s="820" t="s">
        <v>585</v>
      </c>
      <c r="E67" s="919">
        <v>0.2</v>
      </c>
      <c r="F67" s="906">
        <v>30</v>
      </c>
    </row>
    <row r="68" spans="1:6" s="902" customFormat="1" ht="36">
      <c r="A68" s="906">
        <v>8</v>
      </c>
      <c r="B68" s="3101"/>
      <c r="C68" s="820" t="s">
        <v>586</v>
      </c>
      <c r="D68" s="820" t="s">
        <v>587</v>
      </c>
      <c r="E68" s="919">
        <v>0.2</v>
      </c>
      <c r="F68" s="906">
        <v>30</v>
      </c>
    </row>
    <row r="69" spans="1:6" s="902" customFormat="1" ht="36">
      <c r="A69" s="906">
        <v>9</v>
      </c>
      <c r="B69" s="3101"/>
      <c r="C69" s="820" t="s">
        <v>588</v>
      </c>
      <c r="D69" s="820" t="s">
        <v>589</v>
      </c>
      <c r="E69" s="919">
        <v>0.2</v>
      </c>
      <c r="F69" s="906">
        <v>30</v>
      </c>
    </row>
    <row r="70" spans="1:6" s="902" customFormat="1" ht="48">
      <c r="A70" s="906">
        <v>10</v>
      </c>
      <c r="B70" s="3101"/>
      <c r="C70" s="820" t="s">
        <v>590</v>
      </c>
      <c r="D70" s="820" t="s">
        <v>591</v>
      </c>
      <c r="E70" s="919">
        <v>0.2</v>
      </c>
      <c r="F70" s="906">
        <v>30</v>
      </c>
    </row>
    <row r="71" spans="1:6" s="902" customFormat="1" ht="48">
      <c r="A71" s="906">
        <v>11</v>
      </c>
      <c r="B71" s="3101"/>
      <c r="C71" s="820" t="s">
        <v>592</v>
      </c>
      <c r="D71" s="820" t="s">
        <v>593</v>
      </c>
      <c r="E71" s="919">
        <v>0.2</v>
      </c>
      <c r="F71" s="906">
        <v>30</v>
      </c>
    </row>
    <row r="72" spans="1:6" s="902" customFormat="1" ht="36">
      <c r="A72" s="906">
        <v>12</v>
      </c>
      <c r="B72" s="3101"/>
      <c r="C72" s="820" t="s">
        <v>594</v>
      </c>
      <c r="D72" s="820" t="s">
        <v>595</v>
      </c>
      <c r="E72" s="919">
        <v>0.5</v>
      </c>
      <c r="F72" s="906">
        <v>80</v>
      </c>
    </row>
    <row r="73" spans="1:6" s="902" customFormat="1" ht="24">
      <c r="A73" s="906">
        <v>13</v>
      </c>
      <c r="B73" s="3101"/>
      <c r="C73" s="820" t="s">
        <v>596</v>
      </c>
      <c r="D73" s="820" t="s">
        <v>597</v>
      </c>
      <c r="E73" s="919">
        <v>0.4</v>
      </c>
      <c r="F73" s="906">
        <v>60</v>
      </c>
    </row>
    <row r="74" spans="1:6" s="902" customFormat="1" ht="24">
      <c r="A74" s="906">
        <v>14</v>
      </c>
      <c r="B74" s="3101"/>
      <c r="C74" s="820" t="s">
        <v>598</v>
      </c>
      <c r="D74" s="820" t="s">
        <v>599</v>
      </c>
      <c r="E74" s="919">
        <v>0.2</v>
      </c>
      <c r="F74" s="906">
        <v>30</v>
      </c>
    </row>
    <row r="75" spans="1:6" s="902" customFormat="1" ht="24">
      <c r="A75" s="906">
        <v>15</v>
      </c>
      <c r="B75" s="3101"/>
      <c r="C75" s="820" t="s">
        <v>600</v>
      </c>
      <c r="D75" s="820" t="s">
        <v>601</v>
      </c>
      <c r="E75" s="919">
        <v>0.2</v>
      </c>
      <c r="F75" s="906">
        <v>30</v>
      </c>
    </row>
    <row r="76" spans="1:6" s="902" customFormat="1" ht="24">
      <c r="A76" s="906">
        <v>16</v>
      </c>
      <c r="B76" s="3101" t="s">
        <v>602</v>
      </c>
      <c r="C76" s="820" t="s">
        <v>603</v>
      </c>
      <c r="D76" s="820" t="s">
        <v>604</v>
      </c>
      <c r="E76" s="919">
        <v>0.5</v>
      </c>
      <c r="F76" s="906">
        <v>80</v>
      </c>
    </row>
    <row r="77" spans="1:6" s="902" customFormat="1" ht="24">
      <c r="A77" s="906">
        <v>17</v>
      </c>
      <c r="B77" s="3101"/>
      <c r="C77" s="820" t="s">
        <v>605</v>
      </c>
      <c r="D77" s="820" t="s">
        <v>606</v>
      </c>
      <c r="E77" s="919">
        <v>0.5</v>
      </c>
      <c r="F77" s="906">
        <v>80</v>
      </c>
    </row>
    <row r="78" spans="1:6" s="902" customFormat="1" ht="24">
      <c r="A78" s="906">
        <v>18</v>
      </c>
      <c r="B78" s="3101"/>
      <c r="C78" s="820" t="s">
        <v>607</v>
      </c>
      <c r="D78" s="820" t="s">
        <v>608</v>
      </c>
      <c r="E78" s="919">
        <v>0.2</v>
      </c>
      <c r="F78" s="906">
        <v>30</v>
      </c>
    </row>
    <row r="79" spans="1:6" s="902" customFormat="1" ht="24">
      <c r="A79" s="906">
        <v>19</v>
      </c>
      <c r="B79" s="3101"/>
      <c r="C79" s="820" t="s">
        <v>609</v>
      </c>
      <c r="D79" s="820" t="s">
        <v>610</v>
      </c>
      <c r="E79" s="919">
        <v>0.5</v>
      </c>
      <c r="F79" s="906">
        <v>80</v>
      </c>
    </row>
    <row r="80" spans="1:6" s="902" customFormat="1" ht="36">
      <c r="A80" s="906">
        <v>20</v>
      </c>
      <c r="B80" s="3101"/>
      <c r="C80" s="820" t="s">
        <v>611</v>
      </c>
      <c r="D80" s="820" t="s">
        <v>612</v>
      </c>
      <c r="E80" s="919">
        <v>0.2</v>
      </c>
      <c r="F80" s="906">
        <v>30</v>
      </c>
    </row>
    <row r="81" spans="1:6" s="902" customFormat="1" ht="36">
      <c r="A81" s="906">
        <v>21</v>
      </c>
      <c r="B81" s="3101"/>
      <c r="C81" s="820" t="s">
        <v>613</v>
      </c>
      <c r="D81" s="820" t="s">
        <v>614</v>
      </c>
      <c r="E81" s="919">
        <v>0.2</v>
      </c>
      <c r="F81" s="906">
        <v>30</v>
      </c>
    </row>
    <row r="82" spans="1:6" s="902" customFormat="1" ht="48">
      <c r="A82" s="906">
        <v>22</v>
      </c>
      <c r="B82" s="3101"/>
      <c r="C82" s="820" t="s">
        <v>615</v>
      </c>
      <c r="D82" s="820" t="s">
        <v>616</v>
      </c>
      <c r="E82" s="919">
        <v>0.2</v>
      </c>
      <c r="F82" s="906">
        <v>30</v>
      </c>
    </row>
    <row r="83" spans="1:6" s="902" customFormat="1" ht="48">
      <c r="A83" s="906">
        <v>23</v>
      </c>
      <c r="B83" s="3101"/>
      <c r="C83" s="820" t="s">
        <v>617</v>
      </c>
      <c r="D83" s="820" t="s">
        <v>618</v>
      </c>
      <c r="E83" s="919">
        <v>0.2</v>
      </c>
      <c r="F83" s="906">
        <v>30</v>
      </c>
    </row>
    <row r="84" spans="1:6" s="902" customFormat="1" ht="36">
      <c r="A84" s="906">
        <v>24</v>
      </c>
      <c r="B84" s="3101"/>
      <c r="C84" s="820" t="s">
        <v>619</v>
      </c>
      <c r="D84" s="820" t="s">
        <v>620</v>
      </c>
      <c r="E84" s="919">
        <v>0.2</v>
      </c>
      <c r="F84" s="906">
        <v>30</v>
      </c>
    </row>
    <row r="85" spans="1:6" s="902" customFormat="1" ht="36">
      <c r="A85" s="906">
        <v>25</v>
      </c>
      <c r="B85" s="3101"/>
      <c r="C85" s="820" t="s">
        <v>621</v>
      </c>
      <c r="D85" s="820" t="s">
        <v>622</v>
      </c>
      <c r="E85" s="919">
        <v>0.5</v>
      </c>
      <c r="F85" s="906">
        <v>80</v>
      </c>
    </row>
    <row r="86" spans="1:6" s="902" customFormat="1" ht="36">
      <c r="A86" s="906">
        <v>26</v>
      </c>
      <c r="B86" s="3101"/>
      <c r="C86" s="820" t="s">
        <v>623</v>
      </c>
      <c r="D86" s="820" t="s">
        <v>624</v>
      </c>
      <c r="E86" s="919">
        <v>0.2</v>
      </c>
      <c r="F86" s="906">
        <v>30</v>
      </c>
    </row>
    <row r="87" spans="1:6" s="902" customFormat="1" ht="36">
      <c r="A87" s="906">
        <v>27</v>
      </c>
      <c r="B87" s="3101"/>
      <c r="C87" s="820" t="s">
        <v>625</v>
      </c>
      <c r="D87" s="820" t="s">
        <v>626</v>
      </c>
      <c r="E87" s="919">
        <v>0.2</v>
      </c>
      <c r="F87" s="906">
        <v>30</v>
      </c>
    </row>
    <row r="88" spans="1:6" s="902" customFormat="1" ht="36">
      <c r="A88" s="906">
        <v>28</v>
      </c>
      <c r="B88" s="3101"/>
      <c r="C88" s="820" t="s">
        <v>627</v>
      </c>
      <c r="D88" s="820" t="s">
        <v>628</v>
      </c>
      <c r="E88" s="919">
        <v>0.2</v>
      </c>
      <c r="F88" s="906">
        <v>30</v>
      </c>
    </row>
    <row r="89" spans="1:6" s="902" customFormat="1" ht="24">
      <c r="A89" s="906">
        <v>29</v>
      </c>
      <c r="B89" s="3101"/>
      <c r="C89" s="820" t="s">
        <v>629</v>
      </c>
      <c r="D89" s="820" t="s">
        <v>630</v>
      </c>
      <c r="E89" s="919">
        <v>0.2</v>
      </c>
      <c r="F89" s="906">
        <v>30</v>
      </c>
    </row>
    <row r="90" spans="1:6" s="902" customFormat="1" ht="24">
      <c r="A90" s="906">
        <v>30</v>
      </c>
      <c r="B90" s="3101"/>
      <c r="C90" s="820" t="s">
        <v>631</v>
      </c>
      <c r="D90" s="820" t="s">
        <v>632</v>
      </c>
      <c r="E90" s="919">
        <v>0.2</v>
      </c>
      <c r="F90" s="906">
        <v>30</v>
      </c>
    </row>
    <row r="91" spans="1:6" s="902" customFormat="1" ht="36">
      <c r="A91" s="906">
        <v>31</v>
      </c>
      <c r="B91" s="3101"/>
      <c r="C91" s="820" t="s">
        <v>633</v>
      </c>
      <c r="D91" s="820" t="s">
        <v>634</v>
      </c>
      <c r="E91" s="919">
        <v>0.2</v>
      </c>
      <c r="F91" s="906">
        <v>30</v>
      </c>
    </row>
    <row r="92" spans="1:6" s="902" customFormat="1" ht="24">
      <c r="A92" s="906">
        <v>32</v>
      </c>
      <c r="B92" s="3101" t="s">
        <v>635</v>
      </c>
      <c r="C92" s="906" t="s">
        <v>636</v>
      </c>
      <c r="D92" s="820" t="s">
        <v>637</v>
      </c>
      <c r="E92" s="919">
        <v>0.2</v>
      </c>
      <c r="F92" s="906">
        <v>30</v>
      </c>
    </row>
    <row r="93" spans="1:6" s="902" customFormat="1" ht="36">
      <c r="A93" s="906">
        <v>33</v>
      </c>
      <c r="B93" s="3101"/>
      <c r="C93" s="906" t="s">
        <v>638</v>
      </c>
      <c r="D93" s="820" t="s">
        <v>639</v>
      </c>
      <c r="E93" s="919">
        <v>0.2</v>
      </c>
      <c r="F93" s="906">
        <v>30</v>
      </c>
    </row>
    <row r="94" spans="1:6" s="902" customFormat="1" ht="48">
      <c r="A94" s="906">
        <v>34</v>
      </c>
      <c r="B94" s="3101"/>
      <c r="C94" s="906" t="s">
        <v>640</v>
      </c>
      <c r="D94" s="820" t="s">
        <v>641</v>
      </c>
      <c r="E94" s="919">
        <v>0.2</v>
      </c>
      <c r="F94" s="906">
        <v>30</v>
      </c>
    </row>
    <row r="95" spans="1:6" s="902" customFormat="1" ht="36">
      <c r="A95" s="906">
        <v>35</v>
      </c>
      <c r="B95" s="3101"/>
      <c r="C95" s="906" t="s">
        <v>642</v>
      </c>
      <c r="D95" s="820" t="s">
        <v>643</v>
      </c>
      <c r="E95" s="919">
        <v>0.2</v>
      </c>
      <c r="F95" s="906">
        <v>30</v>
      </c>
    </row>
    <row r="96" spans="1:6" s="902" customFormat="1" ht="48">
      <c r="A96" s="906">
        <v>36</v>
      </c>
      <c r="B96" s="3101"/>
      <c r="C96" s="820" t="s">
        <v>644</v>
      </c>
      <c r="D96" s="820" t="s">
        <v>645</v>
      </c>
      <c r="E96" s="919">
        <v>0.2</v>
      </c>
      <c r="F96" s="906">
        <v>30</v>
      </c>
    </row>
    <row r="97" spans="1:6" s="902" customFormat="1" ht="36">
      <c r="A97" s="906">
        <v>37</v>
      </c>
      <c r="B97" s="3101"/>
      <c r="C97" s="906" t="s">
        <v>646</v>
      </c>
      <c r="D97" s="820" t="s">
        <v>647</v>
      </c>
      <c r="E97" s="919">
        <v>0.2</v>
      </c>
      <c r="F97" s="906">
        <v>30</v>
      </c>
    </row>
    <row r="98" spans="1:6" s="902" customFormat="1" ht="36">
      <c r="A98" s="906">
        <v>38</v>
      </c>
      <c r="B98" s="3101"/>
      <c r="C98" s="906" t="s">
        <v>648</v>
      </c>
      <c r="D98" s="820" t="s">
        <v>649</v>
      </c>
      <c r="E98" s="919">
        <v>0.2</v>
      </c>
      <c r="F98" s="906">
        <v>30</v>
      </c>
    </row>
    <row r="99" spans="1:6" s="902" customFormat="1" ht="36">
      <c r="A99" s="906">
        <v>39</v>
      </c>
      <c r="B99" s="3101" t="s">
        <v>650</v>
      </c>
      <c r="C99" s="906" t="s">
        <v>651</v>
      </c>
      <c r="D99" s="820" t="s">
        <v>652</v>
      </c>
      <c r="E99" s="919">
        <v>0.3</v>
      </c>
      <c r="F99" s="906">
        <v>50</v>
      </c>
    </row>
    <row r="100" spans="1:6" s="902" customFormat="1" ht="24">
      <c r="A100" s="906">
        <v>40</v>
      </c>
      <c r="B100" s="3101"/>
      <c r="C100" s="906" t="s">
        <v>653</v>
      </c>
      <c r="D100" s="820" t="s">
        <v>654</v>
      </c>
      <c r="E100" s="919">
        <v>0.2</v>
      </c>
      <c r="F100" s="906">
        <v>30</v>
      </c>
    </row>
    <row r="101" spans="1:6" s="902" customFormat="1" ht="36">
      <c r="A101" s="906">
        <v>41</v>
      </c>
      <c r="B101" s="310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1" t="s">
        <v>665</v>
      </c>
      <c r="C105" s="906" t="s">
        <v>666</v>
      </c>
      <c r="D105" s="820" t="s">
        <v>667</v>
      </c>
      <c r="E105" s="919">
        <v>0.2</v>
      </c>
      <c r="F105" s="906">
        <v>30</v>
      </c>
    </row>
    <row r="106" spans="1:6" s="902" customFormat="1" ht="36">
      <c r="A106" s="906">
        <v>46</v>
      </c>
      <c r="B106" s="3101"/>
      <c r="C106" s="906" t="s">
        <v>668</v>
      </c>
      <c r="D106" s="820" t="s">
        <v>669</v>
      </c>
      <c r="E106" s="919">
        <v>0.2</v>
      </c>
      <c r="F106" s="906">
        <v>30</v>
      </c>
    </row>
    <row r="107" spans="1:6" s="902" customFormat="1" ht="36">
      <c r="A107" s="906">
        <v>47</v>
      </c>
      <c r="B107" s="3101" t="s">
        <v>670</v>
      </c>
      <c r="C107" s="906" t="s">
        <v>671</v>
      </c>
      <c r="D107" s="820" t="s">
        <v>672</v>
      </c>
      <c r="E107" s="919">
        <v>0.3</v>
      </c>
      <c r="F107" s="906">
        <v>50</v>
      </c>
    </row>
    <row r="108" spans="1:6" s="902" customFormat="1" ht="36">
      <c r="A108" s="906">
        <v>48</v>
      </c>
      <c r="B108" s="310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1" t="s">
        <v>681</v>
      </c>
      <c r="C111" s="906" t="s">
        <v>682</v>
      </c>
      <c r="D111" s="820" t="s">
        <v>683</v>
      </c>
      <c r="E111" s="919">
        <v>0.2</v>
      </c>
      <c r="F111" s="906">
        <v>30</v>
      </c>
    </row>
    <row r="112" spans="1:6" s="902" customFormat="1" ht="24">
      <c r="A112" s="906">
        <v>52</v>
      </c>
      <c r="B112" s="3101"/>
      <c r="C112" s="906" t="s">
        <v>684</v>
      </c>
      <c r="D112" s="820" t="s">
        <v>685</v>
      </c>
      <c r="E112" s="919">
        <v>0.2</v>
      </c>
      <c r="F112" s="906">
        <v>30</v>
      </c>
    </row>
    <row r="113" spans="1:6" s="902" customFormat="1" ht="24">
      <c r="A113" s="906">
        <v>53</v>
      </c>
      <c r="B113" s="310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1" t="s">
        <v>694</v>
      </c>
      <c r="C116" s="906" t="s">
        <v>695</v>
      </c>
      <c r="D116" s="820" t="s">
        <v>696</v>
      </c>
      <c r="E116" s="919">
        <v>0.2</v>
      </c>
      <c r="F116" s="906">
        <v>30</v>
      </c>
    </row>
    <row r="117" spans="1:6" ht="36">
      <c r="A117" s="906">
        <v>57</v>
      </c>
      <c r="B117" s="310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7" t="s">
        <v>1030</v>
      </c>
      <c r="C1" s="3107"/>
      <c r="D1" s="3107"/>
      <c r="E1" s="3107"/>
      <c r="F1" s="3107"/>
      <c r="G1" s="3103" t="s">
        <v>1031</v>
      </c>
      <c r="H1" s="3103"/>
      <c r="I1" s="3103"/>
      <c r="J1" s="3103"/>
      <c r="K1" s="3103"/>
      <c r="L1" s="3103"/>
      <c r="N1" s="3103" t="s">
        <v>1032</v>
      </c>
      <c r="O1" s="3103"/>
      <c r="P1" s="3103"/>
      <c r="Q1" s="3103"/>
      <c r="R1" s="1543"/>
      <c r="S1" s="3103" t="s">
        <v>1033</v>
      </c>
      <c r="T1" s="3103"/>
      <c r="U1" s="3103"/>
      <c r="V1" s="3103"/>
      <c r="X1" s="3102" t="s">
        <v>1034</v>
      </c>
      <c r="Y1" s="3103"/>
      <c r="Z1" s="3103"/>
      <c r="AA1" s="3103"/>
      <c r="AB1" s="3103"/>
      <c r="AD1" s="3102" t="s">
        <v>1035</v>
      </c>
      <c r="AE1" s="3103"/>
      <c r="AF1" s="3103"/>
      <c r="AG1" s="3103"/>
      <c r="AH1" s="3103"/>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2805</v>
      </c>
      <c r="B3" s="2704"/>
      <c r="C3" s="2704"/>
      <c r="D3" s="2705"/>
      <c r="E3" s="2705"/>
      <c r="F3" s="2704"/>
      <c r="G3" s="2706"/>
      <c r="H3" s="2707"/>
      <c r="I3" s="2708">
        <f>ROUND(AVERAGE(I4:I27),2)</f>
        <v>2.04</v>
      </c>
      <c r="J3" s="2708">
        <f>ROUND(AVERAGE(J4:J27),2)</f>
        <v>1.44</v>
      </c>
      <c r="K3" s="2708">
        <f>ROUND(AVERAGE(K4:K27),2)</f>
        <v>2.23</v>
      </c>
      <c r="L3" s="2709">
        <f>ROUND(AVERAGE(L4:L27),2)</f>
        <v>1.4</v>
      </c>
      <c r="N3" s="2706"/>
      <c r="O3" s="2710"/>
      <c r="P3" s="2710"/>
      <c r="Q3" s="2710"/>
      <c r="R3" s="2710"/>
      <c r="S3" s="2706"/>
      <c r="T3" s="2710"/>
      <c r="U3" s="2710"/>
      <c r="V3" s="2710"/>
      <c r="W3" s="2713"/>
      <c r="X3" s="2711">
        <f>ROUND(SUMPRODUCT(PRODUCT(1+N3:N$26)),4)</f>
        <v>1.5422</v>
      </c>
      <c r="Y3" s="2711">
        <f>ROUND(SUMPRODUCT(PRODUCT(1+O3:O$26)),4)</f>
        <v>1.3557999999999999</v>
      </c>
      <c r="Z3" s="2711">
        <f t="shared" ref="Z3:Z24" si="0">Y3</f>
        <v>1.3557999999999999</v>
      </c>
      <c r="AA3" s="2711">
        <f>ROUND(SUMPRODUCT(PRODUCT(1+P3:P$26)),4)</f>
        <v>1.6036999999999999</v>
      </c>
      <c r="AB3" s="2711">
        <f>ROUND(SUMPRODUCT(PRODUCT(1+Q3:Q$26)),4)</f>
        <v>1.3573</v>
      </c>
      <c r="AD3" s="2712">
        <f>ROUND(AVERAGE(I3:I$27)/100,4)</f>
        <v>2.0400000000000001E-2</v>
      </c>
      <c r="AE3" s="2712">
        <f>ROUND(AVERAGE(J3:J$27)/100,4)</f>
        <v>1.44E-2</v>
      </c>
      <c r="AF3" s="2712">
        <f t="shared" ref="AF3:AF15" si="1">AE3</f>
        <v>1.44E-2</v>
      </c>
      <c r="AG3" s="2712">
        <f>ROUND(AVERAGE(K3:K$27)/100,4)</f>
        <v>2.23E-2</v>
      </c>
      <c r="AH3" s="2712">
        <f>ROUND(AVERAGE(L3:L$27)/100,4)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2826</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8">
        <v>2019</v>
      </c>
      <c r="H5" s="1816">
        <v>3</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2804</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5" customFormat="1" ht="14.45" customHeight="1">
      <c r="A6" s="1558" t="s">
        <v>2827</v>
      </c>
      <c r="B6" s="2739">
        <f>B7*(1+N6)</f>
        <v>474.30670301923408</v>
      </c>
      <c r="C6" s="2739">
        <f t="shared" ref="C6" si="11">C7*(1+O6)</f>
        <v>349.50705005996491</v>
      </c>
      <c r="D6" s="2739">
        <f t="shared" ref="D6" si="12">C6</f>
        <v>349.50705005996491</v>
      </c>
      <c r="E6" s="2739">
        <f t="shared" ref="E6" si="13">E7*(1+P6)</f>
        <v>678.22831959706957</v>
      </c>
      <c r="F6" s="2739">
        <f t="shared" ref="F6" si="14">F7*(1+Q6)</f>
        <v>312.0556832169558</v>
      </c>
      <c r="G6" s="2738">
        <v>2019</v>
      </c>
      <c r="H6" s="1559">
        <v>2</v>
      </c>
      <c r="I6" s="1559">
        <v>1.53</v>
      </c>
      <c r="J6" s="1559">
        <v>1.01</v>
      </c>
      <c r="K6" s="1559">
        <v>1.62</v>
      </c>
      <c r="L6" s="1560">
        <v>1.25</v>
      </c>
      <c r="M6" s="2740"/>
      <c r="N6" s="2741">
        <f>I6/100</f>
        <v>1.5300000000000001E-2</v>
      </c>
      <c r="O6" s="2742">
        <f t="shared" ref="O6" si="15">J6/100</f>
        <v>1.01E-2</v>
      </c>
      <c r="P6" s="2742">
        <f t="shared" ref="P6" si="16">K6/100</f>
        <v>1.6200000000000003E-2</v>
      </c>
      <c r="Q6" s="2742">
        <f t="shared" ref="Q6" si="17">L6/100</f>
        <v>1.2500000000000001E-2</v>
      </c>
      <c r="R6" s="2740"/>
      <c r="S6" s="2741"/>
      <c r="T6" s="2742"/>
      <c r="U6" s="2742"/>
      <c r="V6" s="2742"/>
      <c r="W6" s="2740"/>
      <c r="X6" s="2743">
        <f>ROUND(SUMPRODUCT(PRODUCT(1+N6:N$26)),4)</f>
        <v>1.5422</v>
      </c>
      <c r="Y6" s="2743">
        <f>ROUND(SUMPRODUCT(PRODUCT(1+O6:O$26)),4)</f>
        <v>1.3557999999999999</v>
      </c>
      <c r="Z6" s="2743">
        <f t="shared" ref="Z6" si="18">Y6</f>
        <v>1.3557999999999999</v>
      </c>
      <c r="AA6" s="2743">
        <f>ROUND(SUMPRODUCT(PRODUCT(1+P6:P$26)),4)</f>
        <v>1.6036999999999999</v>
      </c>
      <c r="AB6" s="2743">
        <f>ROUND(SUMPRODUCT(PRODUCT(1+Q6:Q$26)),4)</f>
        <v>1.3573</v>
      </c>
      <c r="AC6" s="2740"/>
      <c r="AD6" s="2744">
        <f>ROUND(AVERAGE(I6:I$27)/100,4)</f>
        <v>2.1299999999999999E-2</v>
      </c>
      <c r="AE6" s="2744">
        <f>ROUND(AVERAGE(J6:J$27)/100,4)</f>
        <v>1.4999999999999999E-2</v>
      </c>
      <c r="AF6" s="2744">
        <f t="shared" ref="AF6" si="19">AE6</f>
        <v>1.4999999999999999E-2</v>
      </c>
      <c r="AG6" s="2744">
        <f>ROUND(AVERAGE(K6:K$27)/100,4)</f>
        <v>2.3300000000000001E-2</v>
      </c>
      <c r="AH6" s="2744">
        <f>ROUND(AVERAGE(L6:L$27)/100,4)</f>
        <v>1.46E-2</v>
      </c>
    </row>
    <row r="7" spans="1:34" s="2745" customFormat="1" ht="14.45" customHeight="1" thickBot="1">
      <c r="A7" s="1558" t="s">
        <v>2828</v>
      </c>
      <c r="B7" s="2739">
        <f>B8*(1+N7)</f>
        <v>467.15916775261894</v>
      </c>
      <c r="C7" s="2739">
        <f t="shared" ref="C7" si="20">C8*(1+O7)</f>
        <v>346.01232557169084</v>
      </c>
      <c r="D7" s="2739">
        <f t="shared" ref="D7" si="21">C7</f>
        <v>346.01232557169084</v>
      </c>
      <c r="E7" s="2739">
        <f t="shared" ref="E7" si="22">E8*(1+P7)</f>
        <v>667.41617752122568</v>
      </c>
      <c r="F7" s="2739">
        <f t="shared" ref="F7" si="23">F8*(1+Q7)</f>
        <v>308.20314391798104</v>
      </c>
      <c r="G7" s="2719">
        <v>2019</v>
      </c>
      <c r="H7" s="1561">
        <v>1</v>
      </c>
      <c r="I7" s="1561">
        <v>0.6</v>
      </c>
      <c r="J7" s="1561">
        <v>0.37</v>
      </c>
      <c r="K7" s="1561">
        <v>0.63</v>
      </c>
      <c r="L7" s="1576">
        <v>1.1299999999999999</v>
      </c>
      <c r="M7" s="2740"/>
      <c r="N7" s="2741">
        <f>I7/100</f>
        <v>6.0000000000000001E-3</v>
      </c>
      <c r="O7" s="2742">
        <f t="shared" ref="O7" si="24">J7/100</f>
        <v>3.7000000000000002E-3</v>
      </c>
      <c r="P7" s="2742">
        <f t="shared" ref="P7" si="25">K7/100</f>
        <v>6.3E-3</v>
      </c>
      <c r="Q7" s="2742">
        <f t="shared" ref="Q7" si="26">L7/100</f>
        <v>1.1299999999999999E-2</v>
      </c>
      <c r="R7" s="2740"/>
      <c r="S7" s="2741">
        <f>B7/B8-1</f>
        <v>6.0000000000000053E-3</v>
      </c>
      <c r="T7" s="2742">
        <f>C7/C8-1</f>
        <v>3.7000000000000366E-3</v>
      </c>
      <c r="U7" s="2742">
        <f>E7/E8-1</f>
        <v>6.2999999999999723E-3</v>
      </c>
      <c r="V7" s="2742">
        <f>F7/F8-1</f>
        <v>1.1300000000000088E-2</v>
      </c>
      <c r="W7" s="2740"/>
      <c r="X7" s="2743">
        <f>ROUND(SUMPRODUCT(PRODUCT(1+N7:N$26)),4)</f>
        <v>1.5189999999999999</v>
      </c>
      <c r="Y7" s="2743">
        <f>ROUND(SUMPRODUCT(PRODUCT(1+O7:O$26)),4)</f>
        <v>1.3423</v>
      </c>
      <c r="Z7" s="2743">
        <f t="shared" ref="Z7" si="27">Y7</f>
        <v>1.3423</v>
      </c>
      <c r="AA7" s="2743">
        <f>ROUND(SUMPRODUCT(PRODUCT(1+P7:P$26)),4)</f>
        <v>1.5782</v>
      </c>
      <c r="AB7" s="2743">
        <f>ROUND(SUMPRODUCT(PRODUCT(1+Q7:Q$26)),4)</f>
        <v>1.3405</v>
      </c>
      <c r="AC7" s="2740"/>
      <c r="AD7" s="2744">
        <f>ROUND(AVERAGE(I7:I$27)/100,4)</f>
        <v>2.1600000000000001E-2</v>
      </c>
      <c r="AE7" s="2744">
        <f>ROUND(AVERAGE(J7:J$27)/100,4)</f>
        <v>1.5299999999999999E-2</v>
      </c>
      <c r="AF7" s="2744">
        <f t="shared" ref="AF7" si="28">AE7</f>
        <v>1.5299999999999999E-2</v>
      </c>
      <c r="AG7" s="2744">
        <f>ROUND(AVERAGE(K7:K$27)/100,4)</f>
        <v>2.3699999999999999E-2</v>
      </c>
      <c r="AH7" s="2744">
        <f>ROUND(AVERAGE(L7:L$27)/100,4)</f>
        <v>1.47E-2</v>
      </c>
    </row>
    <row r="8" spans="1:34">
      <c r="A8" s="1558" t="s">
        <v>2819</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05">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2812</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05"/>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2811</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05"/>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2809</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12"/>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2806</v>
      </c>
      <c r="B12" s="1567">
        <v>439</v>
      </c>
      <c r="C12" s="1567">
        <v>327</v>
      </c>
      <c r="D12" s="1567">
        <f t="shared" si="59"/>
        <v>327</v>
      </c>
      <c r="E12" s="1567">
        <v>627</v>
      </c>
      <c r="F12" s="1568">
        <v>283</v>
      </c>
      <c r="G12" s="3108">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2801</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05"/>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05"/>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12"/>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08">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05"/>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05"/>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06"/>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04">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05"/>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05"/>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06"/>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04">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05"/>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05"/>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06"/>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09">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10"/>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10"/>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11"/>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04">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05"/>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05"/>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06"/>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04">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05">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05">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06">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04">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05">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05">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06">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04">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05">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05">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06">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04">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05">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05">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06">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04">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05">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05">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06">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04">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05">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05">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06">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04">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05">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05">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06">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04">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05">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05">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06">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04">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05">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05">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06">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04">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05">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05">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06">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43647</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4"/>
      <c r="B3" s="1924"/>
      <c r="C3" s="1924"/>
      <c r="D3" s="1924"/>
      <c r="E3" s="1924"/>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1"/>
      <c r="B5" s="1925" t="s">
        <v>742</v>
      </c>
      <c r="C5" s="2770" t="s">
        <v>781</v>
      </c>
      <c r="D5" s="2771"/>
      <c r="E5" s="1921"/>
    </row>
    <row r="6" spans="1:5" ht="14.25">
      <c r="A6" s="1921"/>
      <c r="B6" s="1926" t="str">
        <f>项目基本情况!I1</f>
        <v>北京市房地产</v>
      </c>
      <c r="C6" s="2772">
        <f>项目基本情况!C12</f>
        <v>1024.48</v>
      </c>
      <c r="D6" s="2772"/>
      <c r="E6" s="1921"/>
    </row>
    <row r="7" spans="1:5" ht="14.25">
      <c r="A7" s="1921"/>
      <c r="B7" s="2766" t="s">
        <v>782</v>
      </c>
      <c r="C7" s="1927" t="str">
        <f>IF('数据-取费表'!B3="万元","总价（万元）","总价（元）")</f>
        <v>总价（万元）</v>
      </c>
      <c r="D7" s="1928">
        <f ca="1">IF('数据-取费表'!E3="否",结果表!I102,'结果表 (1修多)'!I103)</f>
        <v>4219</v>
      </c>
      <c r="E7" s="1921"/>
    </row>
    <row r="8" spans="1:5" ht="14.25">
      <c r="A8" s="1921"/>
      <c r="B8" s="2766"/>
      <c r="C8" s="1929" t="s">
        <v>1172</v>
      </c>
      <c r="D8" s="1930" t="str">
        <f ca="1">IF('数据-取费表'!B3="万元",NUMBERSTRING(INT(D7*10000),2)&amp;"元整",NUMBERSTRING(INT(D7),2)&amp;"元整")</f>
        <v>肆仟贰佰壹拾玖万元整</v>
      </c>
      <c r="E8" s="1921"/>
    </row>
    <row r="9" spans="1:5" ht="14.25">
      <c r="A9" s="1921"/>
      <c r="B9" s="2766"/>
      <c r="C9" s="1931" t="s">
        <v>1270</v>
      </c>
      <c r="D9" s="1928">
        <f ca="1">IF('数据-取费表'!E3="否",结果表!I103,'结果表 (1修多)'!I104)</f>
        <v>41182</v>
      </c>
      <c r="E9" s="1921"/>
    </row>
    <row r="10" spans="1:5" ht="14.25">
      <c r="A10" s="1921"/>
      <c r="B10" s="2773"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73"/>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73" t="str">
        <f>IF('数据-取费表'!E3="否",结果表!F110,'结果表 (1修多)'!F111)</f>
        <v>3.房地产抵押价值</v>
      </c>
      <c r="C15" s="1922" t="str">
        <f>C7</f>
        <v>总价（万元）</v>
      </c>
      <c r="D15" s="1928">
        <f ca="1">IF('数据-取费表'!E3="否",结果表!I110,'结果表 (1修多)'!I111)</f>
        <v>4219</v>
      </c>
      <c r="E15" s="1921"/>
    </row>
    <row r="16" spans="1:5" ht="14.25">
      <c r="A16" s="1921"/>
      <c r="B16" s="2773"/>
      <c r="C16" s="1929" t="s">
        <v>1172</v>
      </c>
      <c r="D16" s="1928" t="str">
        <f ca="1">IF('数据-取费表'!B3="万元",NUMBERSTRING(INT(D15*10000),2)&amp;"元整",NUMBERSTRING(INT(D15),2)&amp;"元整")</f>
        <v>肆仟贰佰壹拾玖万元整</v>
      </c>
      <c r="E16" s="1921"/>
    </row>
    <row r="17" spans="1:5" ht="14.25">
      <c r="A17" s="1921"/>
      <c r="B17" s="2773"/>
      <c r="C17" s="1931" t="s">
        <v>1270</v>
      </c>
      <c r="D17" s="1928">
        <f ca="1">IF('数据-取费表'!E3="否",结果表!I111,'结果表 (1修多)'!I112)</f>
        <v>41182</v>
      </c>
      <c r="E17" s="1921"/>
    </row>
    <row r="18" spans="1:5" ht="14.25">
      <c r="A18" s="1921"/>
      <c r="B18" s="2773" t="str">
        <f>IF('数据-取费表'!E3="否",结果表!F112,'结果表 (1修多)'!F113)</f>
        <v>——</v>
      </c>
      <c r="C18" s="1922" t="str">
        <f>C7</f>
        <v>总价（万元）</v>
      </c>
      <c r="D18" s="1928" t="str">
        <f>IF('数据-取费表'!E3="否",结果表!I112,'结果表 (1修多)'!I113)</f>
        <v>——</v>
      </c>
      <c r="E18" s="1921"/>
    </row>
    <row r="19" spans="1:5" ht="14.25">
      <c r="A19" s="1921"/>
      <c r="B19" s="2773"/>
      <c r="C19" s="1929" t="s">
        <v>1172</v>
      </c>
      <c r="D19" s="1928" t="e">
        <f>IF('数据-取费表'!B3="万元",NUMBERSTRING(INT(D18*10000),2)&amp;"元整",NUMBERSTRING(INT(D18),2)&amp;"元整")</f>
        <v>#VALUE!</v>
      </c>
      <c r="E19" s="1921"/>
    </row>
    <row r="20" spans="1:5" ht="14.25">
      <c r="A20" s="1921"/>
      <c r="B20" s="2773"/>
      <c r="C20" s="1931" t="s">
        <v>1270</v>
      </c>
      <c r="D20" s="1928" t="str">
        <f>IF('数据-取费表'!E3="否",结果表!I113,'结果表 (1修多)'!I114)</f>
        <v>——</v>
      </c>
      <c r="E20" s="1921"/>
    </row>
    <row r="21" spans="1:5" ht="14.25">
      <c r="A21" s="1921"/>
      <c r="B21" s="2766" t="str">
        <f>IF('数据-取费表'!E3="否",结果表!F114,'结果表 (1修多)'!F115)</f>
        <v>——</v>
      </c>
      <c r="C21" s="1927" t="str">
        <f>C7</f>
        <v>总价（万元）</v>
      </c>
      <c r="D21" s="1928" t="str">
        <f>IF('数据-取费表'!E3="否",结果表!I114,'结果表 (1修多)'!I115)</f>
        <v>——</v>
      </c>
      <c r="E21" s="1921"/>
    </row>
    <row r="22" spans="1:5" ht="14.25">
      <c r="A22" s="1921"/>
      <c r="B22" s="2766"/>
      <c r="C22" s="1929" t="s">
        <v>1172</v>
      </c>
      <c r="D22" s="1930" t="e">
        <f>IF('数据-取费表'!B3="万元",NUMBERSTRING(INT(D21*10000),2)&amp;"元整",NUMBERSTRING(INT(D21),2)&amp;"元整")</f>
        <v>#VALUE!</v>
      </c>
      <c r="E22" s="1921"/>
    </row>
    <row r="23" spans="1:5" ht="15" thickBot="1">
      <c r="A23" s="1921"/>
      <c r="B23" s="2767"/>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58" t="s">
        <v>1271</v>
      </c>
      <c r="C25" s="2758"/>
      <c r="D25" s="2758"/>
      <c r="E25" s="1921"/>
    </row>
    <row r="26" spans="1:5" ht="18.75" customHeight="1" thickTop="1">
      <c r="A26" s="1921"/>
      <c r="B26" s="2761" t="s">
        <v>1171</v>
      </c>
      <c r="C26" s="2762"/>
      <c r="D26" s="2759" t="s">
        <v>1170</v>
      </c>
      <c r="E26" s="1921"/>
    </row>
    <row r="27" spans="1:5" ht="18.75" customHeight="1">
      <c r="A27" s="1921"/>
      <c r="B27" s="2763"/>
      <c r="C27" s="2764"/>
      <c r="D27" s="2760"/>
      <c r="E27" s="1921"/>
    </row>
    <row r="28" spans="1:5" ht="14.25">
      <c r="A28" s="1921"/>
      <c r="B28" s="2751" t="s">
        <v>782</v>
      </c>
      <c r="C28" s="1938" t="s">
        <v>1173</v>
      </c>
      <c r="D28" s="1939">
        <f ca="1">IF('数据-取费表'!E3="否",结果表!I102,'结果表 (1修多)'!I103)</f>
        <v>4219</v>
      </c>
      <c r="E28" s="1921"/>
    </row>
    <row r="29" spans="1:5" ht="14.25">
      <c r="A29" s="1921"/>
      <c r="B29" s="2752"/>
      <c r="C29" s="1940" t="s">
        <v>1172</v>
      </c>
      <c r="D29" s="1941" t="str">
        <f ca="1">IF('数据-取费表'!B3="万元",NUMBERSTRING(INT(D28*10000),2)&amp;"元整",NUMBERSTRING(INT(D28),2)&amp;"元整")</f>
        <v>肆仟贰佰壹拾玖万元整</v>
      </c>
      <c r="E29" s="1921"/>
    </row>
    <row r="30" spans="1:5" ht="14.25">
      <c r="A30" s="1921"/>
      <c r="B30" s="2753"/>
      <c r="C30" s="1931" t="s">
        <v>1175</v>
      </c>
      <c r="D30" s="1942">
        <f ca="1">IF('数据-取费表'!E3="否",结果表!I103,'结果表 (1修多)'!I104)</f>
        <v>41182</v>
      </c>
      <c r="E30" s="1921"/>
    </row>
    <row r="31" spans="1:5" ht="14.25">
      <c r="A31" s="1921"/>
      <c r="B31" s="2756" t="str">
        <f>B10</f>
        <v>2.估价师所知悉的法定优先受偿款</v>
      </c>
      <c r="C31" s="1943" t="s">
        <v>1174</v>
      </c>
      <c r="D31" s="1944">
        <f>IF('数据-取费表'!E3="否",结果表!I105,'结果表 (1修多)'!I106)</f>
        <v>0</v>
      </c>
      <c r="E31" s="1921"/>
    </row>
    <row r="32" spans="1:5" ht="14.25">
      <c r="A32" s="1921"/>
      <c r="B32" s="2765"/>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54" t="str">
        <f>B15</f>
        <v>3.房地产抵押价值</v>
      </c>
      <c r="C36" s="1943" t="str">
        <f>C28</f>
        <v>总价</v>
      </c>
      <c r="D36" s="1944">
        <f ca="1">IF('数据-取费表'!E3="否",结果表!I110,'结果表 (1修多)'!I111)</f>
        <v>4219</v>
      </c>
      <c r="E36" s="1921"/>
    </row>
    <row r="37" spans="1:5" ht="14.25">
      <c r="A37" s="1921"/>
      <c r="B37" s="2754"/>
      <c r="C37" s="1940" t="s">
        <v>1172</v>
      </c>
      <c r="D37" s="1945" t="str">
        <f ca="1">IF('数据-取费表'!B3="万元",NUMBERSTRING(INT(D36*10000),2)&amp;"元整",NUMBERSTRING(INT(D36),2)&amp;"元整")</f>
        <v>肆仟贰佰壹拾玖万元整</v>
      </c>
      <c r="E37" s="1921"/>
    </row>
    <row r="38" spans="1:5" ht="14.25">
      <c r="A38" s="1921"/>
      <c r="B38" s="2754"/>
      <c r="C38" s="1931" t="s">
        <v>1176</v>
      </c>
      <c r="D38" s="1942">
        <f ca="1">IF('数据-取费表'!E3="否",结果表!D113,'结果表 (1修多)'!D116)</f>
        <v>41182</v>
      </c>
      <c r="E38" s="1921"/>
    </row>
    <row r="39" spans="1:5" ht="14.25">
      <c r="A39" s="1921"/>
      <c r="B39" s="2755" t="str">
        <f>B18</f>
        <v>——</v>
      </c>
      <c r="C39" s="1943" t="str">
        <f>C28</f>
        <v>总价</v>
      </c>
      <c r="D39" s="1944" t="str">
        <f>IF('数据-取费表'!E3="否",结果表!I112,'结果表 (1修多)'!I113)</f>
        <v>——</v>
      </c>
      <c r="E39" s="1921"/>
    </row>
    <row r="40" spans="1:5" ht="14.25">
      <c r="A40" s="1921"/>
      <c r="B40" s="2755"/>
      <c r="C40" s="1940" t="s">
        <v>1172</v>
      </c>
      <c r="D40" s="1945" t="e">
        <f>IF('数据-取费表'!B3="万元",NUMBERSTRING(INT(D39*10000),2)&amp;"元整",NUMBERSTRING(INT(D39),2)&amp;"元整")</f>
        <v>#VALUE!</v>
      </c>
      <c r="E40" s="1921"/>
    </row>
    <row r="41" spans="1:5" ht="14.25">
      <c r="A41" s="1921"/>
      <c r="B41" s="2755"/>
      <c r="C41" s="1931" t="s">
        <v>1176</v>
      </c>
      <c r="D41" s="1942" t="str">
        <f>IF('数据-取费表'!E3="否",结果表!D115,'结果表 (1修多)'!D118)</f>
        <v>——</v>
      </c>
      <c r="E41" s="1921"/>
    </row>
    <row r="42" spans="1:5" ht="14.25">
      <c r="A42" s="1921"/>
      <c r="B42" s="2754" t="str">
        <f>B21</f>
        <v>——</v>
      </c>
      <c r="C42" s="1943" t="str">
        <f>C28</f>
        <v>总价</v>
      </c>
      <c r="D42" s="1944" t="str">
        <f>IF('数据-取费表'!E3="否",结果表!I114,'结果表 (1修多)'!I115)</f>
        <v>——</v>
      </c>
      <c r="E42" s="1921"/>
    </row>
    <row r="43" spans="1:5" ht="14.25">
      <c r="A43" s="1921"/>
      <c r="B43" s="2756"/>
      <c r="C43" s="1940" t="s">
        <v>1172</v>
      </c>
      <c r="D43" s="1946" t="e">
        <f>IF('数据-取费表'!B3="万元",NUMBERSTRING(INT(D42*10000),2)&amp;"元整",NUMBERSTRING(INT(D42),2)&amp;"元整")</f>
        <v>#VALUE!</v>
      </c>
      <c r="E43" s="1921"/>
    </row>
    <row r="44" spans="1:5" ht="15" thickBot="1">
      <c r="A44" s="1921"/>
      <c r="B44" s="2757"/>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1272</v>
      </c>
      <c r="B2" s="2781" t="s">
        <v>1273</v>
      </c>
      <c r="C2" s="2781" t="s">
        <v>1274</v>
      </c>
      <c r="D2" s="2781" t="str">
        <f>IF('数据-取费表'!E3="否",结果表!D119,'结果表 (1修多)'!D122)</f>
        <v>出让国有建设用地使用权价值</v>
      </c>
      <c r="E2" s="2781"/>
      <c r="F2" s="2781" t="s">
        <v>1275</v>
      </c>
      <c r="G2" s="2781"/>
      <c r="H2" s="2781" t="s">
        <v>1276</v>
      </c>
      <c r="I2" s="2781"/>
    </row>
    <row r="3" spans="1:9" ht="15">
      <c r="A3" s="2774"/>
      <c r="B3" s="2774"/>
      <c r="C3" s="2774"/>
      <c r="D3" s="1044" t="s">
        <v>1277</v>
      </c>
      <c r="E3" s="1044" t="s">
        <v>1278</v>
      </c>
      <c r="F3" s="1044" t="s">
        <v>1277</v>
      </c>
      <c r="G3" s="1044" t="s">
        <v>1279</v>
      </c>
      <c r="H3" s="1044" t="s">
        <v>1277</v>
      </c>
      <c r="I3" s="1044" t="s">
        <v>1279</v>
      </c>
    </row>
    <row r="4" spans="1:9" ht="46.5" customHeight="1">
      <c r="A4" s="1044" t="str">
        <f>项目基本情况!I1</f>
        <v>北京市房地产</v>
      </c>
      <c r="B4" s="1044">
        <f>结果表!B121</f>
        <v>1024.48</v>
      </c>
      <c r="C4" s="1044">
        <f>结果表!C121</f>
        <v>105.21</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4219</v>
      </c>
      <c r="I4" s="1044">
        <f ca="1">IF('数据-取费表'!E3="否",结果表!I121,'结果表 (1修多)'!I124)</f>
        <v>41182</v>
      </c>
    </row>
    <row r="5" spans="1:9" ht="15">
      <c r="A5" s="2774" t="s">
        <v>1280</v>
      </c>
      <c r="B5" s="2774"/>
      <c r="C5" s="2774"/>
      <c r="D5" s="2775" t="str">
        <f>IF('数据-取费表'!E3="否",结果表!D122,'结果表 (1修多)'!D125)</f>
        <v>零元整</v>
      </c>
      <c r="E5" s="2775"/>
      <c r="F5" s="2775" t="str">
        <f>IF('数据-取费表'!E3="否",结果表!F122,'结果表 (1修多)'!F125)</f>
        <v>零元整</v>
      </c>
      <c r="G5" s="2775"/>
      <c r="H5" s="2775" t="str">
        <f ca="1">IF('数据-取费表'!E3="否",结果表!H122,'结果表 (1修多)'!H125)</f>
        <v>肆仟贰佰壹拾玖万元整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1280</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4219</v>
      </c>
      <c r="E8" s="2776"/>
      <c r="F8" s="2776"/>
      <c r="G8" s="2776"/>
      <c r="H8" s="2776"/>
      <c r="I8" s="2776"/>
    </row>
    <row r="9" spans="1:9" ht="15">
      <c r="A9" s="2774" t="s">
        <v>1280</v>
      </c>
      <c r="B9" s="2774"/>
      <c r="C9" s="2774"/>
      <c r="D9" s="2775">
        <f ca="1">IF('数据-取费表'!E3="否",结果表!D126,'结果表 (1修多)'!D129)</f>
        <v>41182</v>
      </c>
      <c r="E9" s="2775"/>
      <c r="F9" s="2775"/>
      <c r="G9" s="2775"/>
      <c r="H9" s="2775"/>
      <c r="I9" s="2775"/>
    </row>
    <row r="10" spans="1:9" ht="15.75">
      <c r="A10" s="2776" t="str">
        <f>IF('数据-取费表'!E3="否",结果表!A127,'结果表 (1修多)'!A130)</f>
        <v/>
      </c>
      <c r="B10" s="2776"/>
      <c r="C10" s="2776"/>
      <c r="D10" s="2776">
        <f ca="1">IF('数据-取费表'!E3="否",结果表!D127,'结果表 (1修多)'!D129)</f>
        <v>41182</v>
      </c>
      <c r="E10" s="2776"/>
      <c r="F10" s="2776"/>
      <c r="G10" s="2776"/>
      <c r="H10" s="2776"/>
      <c r="I10" s="2776"/>
    </row>
    <row r="11" spans="1:9" ht="15">
      <c r="A11" s="2774" t="s">
        <v>1280</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1280</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单位：平方米、万元、元/平方米（币种：人民币）</v>
      </c>
      <c r="B14" s="2779"/>
      <c r="C14" s="2779"/>
      <c r="D14" s="2779"/>
      <c r="E14" s="2779"/>
      <c r="F14" s="2779"/>
      <c r="G14" s="2779"/>
      <c r="H14" s="2779"/>
      <c r="I14" s="2779"/>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6" t="s">
        <v>1294</v>
      </c>
      <c r="B1" s="2786"/>
      <c r="C1" s="2786"/>
      <c r="D1" s="2786"/>
    </row>
    <row r="2" spans="1:4" ht="18">
      <c r="A2" s="2785" t="s">
        <v>1282</v>
      </c>
      <c r="B2" s="2785"/>
      <c r="C2" s="2785"/>
      <c r="D2" s="2785"/>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785" t="s">
        <v>1287</v>
      </c>
      <c r="B7" s="2785"/>
      <c r="C7" s="2785"/>
      <c r="D7" s="2785"/>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787" t="s">
        <v>1296</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8"/>
      <c r="C13" s="2788"/>
      <c r="D13" s="2788"/>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8"/>
      <c r="C14" s="2788"/>
      <c r="D14" s="2788"/>
    </row>
    <row r="15" spans="1:4" ht="15.75" customHeight="1">
      <c r="A15" s="2787" t="str">
        <f>IF(项目基本情况!D4="抵押","4.本次评估估价师所知悉的法定优先受偿款情况说明如下：","——")</f>
        <v>4.本次评估估价师所知悉的法定优先受偿款情况说明如下：</v>
      </c>
      <c r="B15" s="2788"/>
      <c r="C15" s="2788"/>
      <c r="D15" s="2788"/>
    </row>
    <row r="16" spans="1:4" ht="75" customHeight="1">
      <c r="A16" s="2787"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87"/>
      <c r="C16" s="2787"/>
      <c r="D16" s="2787"/>
    </row>
    <row r="17" spans="1:4" ht="63.75" customHeight="1">
      <c r="A17" s="2789" t="s">
        <v>1297</v>
      </c>
      <c r="B17" s="2789"/>
      <c r="C17" s="2789"/>
      <c r="D17" s="2789"/>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1290</v>
      </c>
      <c r="B20" s="2789"/>
      <c r="C20" s="2789"/>
      <c r="D20" s="2789"/>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795" t="s">
        <v>1376</v>
      </c>
      <c r="B15" s="2790" t="s">
        <v>1377</v>
      </c>
      <c r="C15" s="2791"/>
    </row>
    <row r="16" spans="1:7" ht="14.25">
      <c r="A16" s="2796"/>
      <c r="B16" s="2790" t="s">
        <v>1378</v>
      </c>
      <c r="C16" s="2791"/>
    </row>
    <row r="17" spans="1:3" ht="14.25">
      <c r="A17" s="2796"/>
      <c r="B17" s="2790" t="s">
        <v>1379</v>
      </c>
      <c r="C17" s="2791"/>
    </row>
    <row r="18" spans="1:3" ht="14.25">
      <c r="A18" s="2797"/>
      <c r="B18" s="2792" t="s">
        <v>1380</v>
      </c>
      <c r="C18" s="2791"/>
    </row>
    <row r="19" spans="1:3" ht="14.25">
      <c r="A19" s="1974" t="s">
        <v>1381</v>
      </c>
      <c r="B19" s="1975"/>
      <c r="C19" s="1976"/>
    </row>
    <row r="20" spans="1:3" ht="14.25">
      <c r="A20" s="2793" t="s">
        <v>1382</v>
      </c>
      <c r="B20" s="2792" t="s">
        <v>1383</v>
      </c>
      <c r="C20" s="2791"/>
    </row>
    <row r="21" spans="1:3" ht="14.25">
      <c r="A21" s="2793"/>
      <c r="B21" s="2792" t="s">
        <v>1384</v>
      </c>
      <c r="C21" s="2791"/>
    </row>
    <row r="22" spans="1:3" ht="14.25">
      <c r="A22" s="2793"/>
      <c r="B22" s="2792" t="s">
        <v>1385</v>
      </c>
      <c r="C22" s="2791"/>
    </row>
    <row r="23" spans="1:3" ht="14.25">
      <c r="A23" s="2793"/>
      <c r="B23" s="2794" t="s">
        <v>1386</v>
      </c>
      <c r="C23" s="1977" t="s">
        <v>1387</v>
      </c>
    </row>
    <row r="24" spans="1:3" ht="14.25">
      <c r="A24" s="2793"/>
      <c r="B24" s="2794"/>
      <c r="C24" s="1977" t="s">
        <v>1388</v>
      </c>
    </row>
    <row r="25" spans="1:3" ht="14.25">
      <c r="A25" s="2793"/>
      <c r="B25" s="2794"/>
      <c r="C25" s="1977" t="s">
        <v>1389</v>
      </c>
    </row>
    <row r="26" spans="1:3" ht="14.25">
      <c r="A26" s="2793"/>
      <c r="B26" s="2794"/>
      <c r="C26" s="1977" t="s">
        <v>1390</v>
      </c>
    </row>
    <row r="27" spans="1:3" ht="14.25">
      <c r="A27" s="2793"/>
      <c r="B27" s="2794"/>
      <c r="C27" s="1977" t="s">
        <v>1391</v>
      </c>
    </row>
    <row r="28" spans="1:3" ht="14.25">
      <c r="A28" s="2793"/>
      <c r="B28" s="2794"/>
      <c r="C28" s="1977" t="s">
        <v>1392</v>
      </c>
    </row>
    <row r="29" spans="1:3" ht="14.25">
      <c r="A29" s="2793"/>
      <c r="B29" s="2794"/>
      <c r="C29" s="1977" t="s">
        <v>1393</v>
      </c>
    </row>
    <row r="30" spans="1:3" ht="14.25">
      <c r="A30" s="2793"/>
      <c r="B30" s="2794"/>
      <c r="C30" s="1977" t="s">
        <v>1394</v>
      </c>
    </row>
    <row r="31" spans="1:3" ht="14.25">
      <c r="A31" s="2793"/>
      <c r="B31" s="2794"/>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43649</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6">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6">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2813</v>
      </c>
      <c r="B14" s="1026">
        <f ca="1">IF(C14&lt;B2,"已过期",1120040230)</f>
        <v>1120040230</v>
      </c>
      <c r="C14" s="2716">
        <v>43835</v>
      </c>
      <c r="D14" s="1807" t="str">
        <f t="shared" ca="1" si="0"/>
        <v>苏海（注册号：1120040230）</v>
      </c>
      <c r="E14" s="2717" t="s">
        <v>2813</v>
      </c>
      <c r="F14" s="1026">
        <f ca="1">IF(G14&lt;B2,"已过期",98030020)</f>
        <v>98030020</v>
      </c>
      <c r="G14" s="1034">
        <v>47118</v>
      </c>
      <c r="H14" s="1808" t="str">
        <f t="shared" ca="1" si="1"/>
        <v>苏海（注册号：98030020）</v>
      </c>
    </row>
    <row r="15" spans="1:8" ht="24" customHeight="1">
      <c r="A15" s="1809" t="s">
        <v>2815</v>
      </c>
      <c r="B15" s="1026">
        <f ca="1">IF(C15&lt;B2,"已过期",1120070085)</f>
        <v>1120070085</v>
      </c>
      <c r="C15" s="2716">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7" t="s">
        <v>2814</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798" t="s">
        <v>766</v>
      </c>
      <c r="B25" s="2798"/>
      <c r="C25" s="2798"/>
      <c r="D25" s="2798"/>
      <c r="E25" s="2798"/>
      <c r="F25" s="2798"/>
      <c r="G25" s="2798"/>
      <c r="H25" s="2798"/>
    </row>
    <row r="26" spans="1:8" s="1029" customFormat="1" ht="24" customHeight="1">
      <c r="A26" s="2799" t="s">
        <v>767</v>
      </c>
      <c r="B26" s="2799"/>
      <c r="C26" s="2799"/>
      <c r="D26" s="1057"/>
      <c r="E26" s="1057"/>
      <c r="F26" s="2799" t="s">
        <v>768</v>
      </c>
      <c r="G26" s="2799"/>
      <c r="H26" s="2799"/>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2825</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0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本次估价的“房地产价值”是指在正常市场情况下，在价值时点2019年7月1日，估价对象规划用途为，假定未设立法定优先受偿款下的房地产市场价值。</v>
      </c>
    </row>
    <row r="54" spans="1:4">
      <c r="A54" s="2800"/>
      <c r="B54" s="9" t="s">
        <v>1532</v>
      </c>
      <c r="C54" s="9" t="s">
        <v>1533</v>
      </c>
    </row>
    <row r="55" spans="1:4">
      <c r="A55" s="2800"/>
      <c r="B55" s="9" t="s">
        <v>1534</v>
      </c>
      <c r="C55" s="9" t="s">
        <v>1535</v>
      </c>
    </row>
    <row r="56" spans="1:4">
      <c r="A56" s="2800"/>
      <c r="B56" s="9" t="s">
        <v>1536</v>
      </c>
      <c r="C56" s="9" t="s">
        <v>1537</v>
      </c>
    </row>
    <row r="57" spans="1:4">
      <c r="A57" s="2800"/>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2019-07-03T05:42:32Z</dcterms:modified>
</cp:coreProperties>
</file>