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55" windowHeight="13095" tabRatio="899" firstSheet="40"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<sst xmlns="http://schemas.openxmlformats.org/spreadsheetml/2006/main" count="9953" uniqueCount="2857">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</sst>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884029663991"/>
      <name val="宋体"/>
      <charset val="134"/>
    </font>
    <font>
      <sz val="8"/>
      <color indexed="8"/>
      <name val="仿宋_GB2312"/>
      <charset val="134"/>
    </font>
    <font>
      <sz val="11"/>
      <color theme="1"/>
      <name val="宋体"/>
      <charset val="134"/>
    </font>
    <font>
      <b/>
      <vertAlign val="subscript"/>
      <sz val="10"/>
      <name val="宋体"/>
      <charset val="134"/>
    </font>
    <font>
      <b/>
      <sz val="11"/>
      <name val="宋体"/>
      <charset val="134"/>
    </font>
    <font>
      <b/>
      <sz val="11"/>
      <color indexed="8"/>
      <name val="宋体"/>
      <charset val="134"/>
    </font>
    <font>
      <i/>
      <sz val="10"/>
      <name val="宋体"/>
      <charset val="134"/>
    </font>
    <font>
      <b/>
      <sz val="10"/>
      <color indexed="8"/>
      <name val="宋体"/>
      <charset val="134"/>
    </font>
    <font>
      <b/>
      <sz val="11"/>
      <color theme="1"/>
      <name val="宋体"/>
      <charset val="134"/>
    </font>
    <font>
      <sz val="12"/>
      <color indexed="8"/>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b/>
      <sz val="12"/>
      <color indexed="8"/>
      <name val="宋体"/>
      <charset val="134"/>
    </font>
    <font>
      <sz val="14"/>
      <color theme="1"/>
      <name val="宋体"/>
      <charset val="134"/>
    </font>
    <font>
      <b/>
      <sz val="16"/>
      <color indexed="10"/>
      <name val="宋体"/>
      <charset val="134"/>
    </font>
    <font>
      <b/>
      <vertAlign val="subscript"/>
      <sz val="10"/>
      <name val="Arial"/>
      <charset val="134"/>
    </font>
    <font>
      <vertAlign val="superscript"/>
      <sz val="10"/>
      <color indexed="8"/>
      <name val="Arial"/>
      <charset val="134"/>
    </font>
    <font>
      <b/>
      <sz val="14"/>
      <color rgb="FF000000"/>
      <name val="宋体"/>
      <charset val="134"/>
    </font>
    <font>
      <sz val="11"/>
      <color indexed="53"/>
      <name val="宋体"/>
      <charset val="134"/>
    </font>
    <font>
      <i/>
      <sz val="11"/>
      <color theme="3" tint="0.399884029663991"/>
      <name val="宋体"/>
      <charset val="134"/>
    </font>
    <font>
      <sz val="9"/>
      <color indexed="8"/>
      <name val="仿宋_GB2312"/>
      <charset val="134"/>
    </font>
    <font>
      <b/>
      <sz val="16"/>
      <color indexed="10"/>
      <name val="楷体_GB2312"/>
      <charset val="134"/>
    </font>
    <font>
      <b/>
      <sz val="14"/>
      <color theme="1"/>
      <name val="宋体"/>
      <charset val="134"/>
    </font>
    <font>
      <b/>
      <sz val="10"/>
      <color indexed="53"/>
      <name val="宋体"/>
      <charset val="134"/>
    </font>
    <font>
      <b/>
      <i/>
      <sz val="14"/>
      <color theme="3" tint="0.399884029663991"/>
      <name val="宋体"/>
      <charset val="134"/>
    </font>
    <font>
      <sz val="10"/>
      <color indexed="8"/>
      <name val="楷体_GB2312"/>
      <charset val="134"/>
    </font>
    <font>
      <sz val="10"/>
      <color rgb="FFFF0000"/>
      <name val="楷体_GB2312"/>
      <charset val="134"/>
    </font>
    <font>
      <b/>
      <i/>
      <sz val="11"/>
      <color theme="3" tint="0.399884029663991"/>
      <name val="宋体"/>
      <charset val="134"/>
    </font>
    <font>
      <b/>
      <sz val="18"/>
      <color theme="1"/>
      <name val="宋体"/>
      <charset val="134"/>
    </font>
    <font>
      <i/>
      <sz val="10"/>
      <color indexed="8"/>
      <name val="宋体"/>
      <charset val="134"/>
    </font>
    <font>
      <b/>
      <i/>
      <sz val="10"/>
      <color rgb="FFFF0000"/>
      <name val="宋体"/>
      <charset val="134"/>
    </font>
    <font>
      <sz val="14"/>
      <color rgb="FF000000"/>
      <name val="宋体"/>
      <charset val="134"/>
    </font>
    <font>
      <sz val="12"/>
      <color theme="1"/>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2"/>
      <color rgb="FF000000"/>
      <name val="宋体"/>
      <charset val="134"/>
    </font>
    <font>
      <vertAlign val="subscript"/>
      <sz val="10"/>
      <color indexed="8"/>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theme="9" tint="-0.249977111117893"/>
      <name val="宋体"/>
      <charset val="134"/>
    </font>
    <font>
      <b/>
      <sz val="10"/>
      <color indexed="10"/>
      <name val="楷体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2"/>
      <color rgb="FF000000"/>
      <name val="宋体"/>
      <charset val="134"/>
    </font>
    <font>
      <b/>
      <sz val="11"/>
      <color indexed="10"/>
      <name val="宋体"/>
      <charset val="134"/>
    </font>
    <font>
      <vertAlign val="superscript"/>
      <sz val="10"/>
      <color theme="1"/>
      <name val="宋体"/>
      <charset val="134"/>
    </font>
    <font>
      <b/>
      <sz val="11"/>
      <color rgb="FFFF0000"/>
      <name val="宋体"/>
      <charset val="134"/>
    </font>
    <font>
      <sz val="10"/>
      <color rgb="FF707070"/>
      <name val="宋体"/>
      <charset val="134"/>
    </font>
    <font>
      <sz val="8"/>
      <color indexed="8"/>
      <name val="宋体"/>
      <charset val="134"/>
    </font>
    <font>
      <i/>
      <sz val="10"/>
      <name val="楷体_GB2312"/>
      <charset val="134"/>
    </font>
    <font>
      <sz val="14"/>
      <color theme="9" tint="-0.249977111117893"/>
      <name val="宋体"/>
      <charset val="134"/>
    </font>
    <font>
      <sz val="10"/>
      <color indexed="53"/>
      <name val="宋体"/>
      <charset val="134"/>
    </font>
    <font>
      <sz val="9"/>
      <color indexed="8"/>
      <name val="宋体"/>
      <charset val="134"/>
    </font>
    <font>
      <sz val="11"/>
      <color indexed="10"/>
      <name val="宋体"/>
      <charset val="134"/>
    </font>
    <font>
      <b/>
      <sz val="18"/>
      <color indexed="10"/>
      <name val="΢ȭхڬˎ̥"/>
      <charset val="134"/>
    </font>
    <font>
      <sz val="12"/>
      <name val="宋体"/>
      <charset val="0"/>
      <scheme val="minor"/>
    </font>
    <font>
      <sz val="11"/>
      <name val="宋体"/>
      <charset val="134"/>
    </font>
    <font>
      <sz val="14"/>
      <name val="楷体_GB2312"/>
      <charset val="134"/>
    </font>
    <font>
      <sz val="12"/>
      <name val="仿宋_GB2312"/>
      <charset val="134"/>
    </font>
    <font>
      <sz val="16"/>
      <name val="宋体"/>
      <charset val="134"/>
    </font>
    <font>
      <b/>
      <sz val="11"/>
      <name val="宋体"/>
      <charset val="134"/>
    </font>
    <font>
      <sz val="9"/>
      <name val="宋体"/>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17"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8"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18"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4"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2">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7" customWidth="1"/>
    <col min="2" max="2" width="81" style="3438" customWidth="1"/>
    <col min="3" max="16384" width="9" style="3439"/>
  </cols>
  <sheetData>
    <row r="1" s="3435" customFormat="1" ht="16.5" spans="1:2">
      <c r="A1" s="3440" t="s">
        <v>0</v>
      </c>
      <c r="B1" s="3441" t="s">
        <v>1</v>
      </c>
    </row>
    <row r="2" s="3436" customFormat="1" ht="15" spans="1:2">
      <c r="A2" s="3442" t="s">
        <v>2</v>
      </c>
      <c r="B2" s="3443" t="str">
        <f>'预评函-封皮'!B37:I37</f>
        <v>北京市房地产抵押价值预评估</v>
      </c>
    </row>
    <row r="3" spans="1:2">
      <c r="A3" s="3444" t="s">
        <v>3</v>
      </c>
      <c r="B3" s="3445">
        <f>'预评函-封皮'!B40</f>
        <v>0</v>
      </c>
    </row>
    <row r="4" spans="1:2">
      <c r="A4" s="3444" t="s">
        <v>4</v>
      </c>
      <c r="B4" s="3445" t="str">
        <f ca="1">'预评函-封皮'!B46</f>
        <v>（注册号：0)、（注册号：0)</v>
      </c>
    </row>
    <row r="5" s="3435" customFormat="1" ht="15" spans="1:2">
      <c r="A5" s="3446" t="s">
        <v>5</v>
      </c>
      <c r="B5" s="3447" t="str">
        <f>'预评函-封皮'!B49</f>
        <v>康正预评字号</v>
      </c>
    </row>
    <row r="6" s="3436" customFormat="1" ht="15" spans="1:2">
      <c r="A6" s="3442" t="s">
        <v>6</v>
      </c>
      <c r="B6" s="3443" t="str">
        <f>'预评函-1'!A4</f>
        <v>受贵公司委托，我公司对北京市房地产抵押价值进行了预评估。</v>
      </c>
    </row>
    <row r="7" spans="1:2">
      <c r="A7" s="3444" t="s">
        <v>7</v>
      </c>
      <c r="B7" s="3445" t="str">
        <f>'预评函-1'!A7</f>
        <v>估价对象为北京市房地产，为所有。根据《国有土地使用证》[]，估价对象（分摊）出让国有建设用地使用权面积为0平方米，建筑面积为165.59平方米。</v>
      </c>
    </row>
    <row r="8"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c r="A9" s="3444" t="s">
        <v>9</v>
      </c>
      <c r="B9" s="3445" t="str">
        <f>'预评函-1'!A10</f>
        <v>估价对象为北京市房地产,属开发建设的，该项目尚在开发建设中。根据《国有土地使用证》[]，估价对象（分摊）出让国有建设用地使用权面积为0平方米，规划建筑面积为165.59平方米。</v>
      </c>
    </row>
    <row r="10"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4" t="s">
        <v>12</v>
      </c>
      <c r="B12" s="3445" t="str">
        <f>'预评函-1'!A15</f>
        <v>2025年7月14日</v>
      </c>
    </row>
    <row r="13" spans="1:2">
      <c r="A13" s="3444" t="s">
        <v>13</v>
      </c>
      <c r="B13" s="344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4" t="s">
        <v>15</v>
      </c>
      <c r="B15" s="3445" t="str">
        <f>'预评函-1'!A20</f>
        <v>本次估价的“房地产抵押价值”是指估价对象在价值时点的“房地产价值”扣减估价师于价值时点所知悉的法定优先受偿款后的余额。</v>
      </c>
    </row>
    <row r="16"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3435" customFormat="1" ht="15" spans="1:2">
      <c r="A18" s="3446" t="s">
        <v>18</v>
      </c>
      <c r="B18" s="3447" t="str">
        <f>'预评函-1'!A24</f>
        <v>本次评估采用的主估价方法为比较法和收益法。</v>
      </c>
    </row>
    <row r="19" s="3436"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4" t="s">
        <v>20</v>
      </c>
      <c r="B20" s="3445">
        <f ca="1">'预评函-2'!D5</f>
        <v>100</v>
      </c>
    </row>
    <row r="21" spans="1:2">
      <c r="A21" s="3444" t="s">
        <v>21</v>
      </c>
      <c r="B21" s="3445">
        <f ca="1">'预评函-2'!D7</f>
        <v>15829</v>
      </c>
    </row>
    <row r="22" spans="1:2">
      <c r="A22" s="3444" t="s">
        <v>22</v>
      </c>
      <c r="B22" s="3445" t="str">
        <f ca="1">'预评函-2'!D6</f>
        <v>壹佰万元整</v>
      </c>
    </row>
    <row r="23" spans="1:2">
      <c r="A23" s="3444" t="s">
        <v>23</v>
      </c>
      <c r="B23" s="3445" t="str">
        <f>'预评函-2'!B8</f>
        <v>2.估价师知悉的法定优先受偿款</v>
      </c>
    </row>
    <row r="24" spans="1:2">
      <c r="A24" s="3444" t="s">
        <v>24</v>
      </c>
      <c r="B24" s="3445">
        <f>'预评函-2'!D8</f>
        <v>0</v>
      </c>
    </row>
    <row r="25" spans="1:2">
      <c r="A25" s="3444" t="s">
        <v>25</v>
      </c>
      <c r="B25" s="3445" t="str">
        <f>'预评函-2'!D9</f>
        <v>零元整</v>
      </c>
    </row>
    <row r="26" spans="1:2">
      <c r="A26" s="3444" t="s">
        <v>26</v>
      </c>
      <c r="B26" s="3445">
        <f>'预评函-2'!D10</f>
        <v>0</v>
      </c>
    </row>
    <row r="27" spans="1:2">
      <c r="A27" s="3444" t="s">
        <v>27</v>
      </c>
      <c r="B27" s="3445">
        <f>'预评函-2'!D11</f>
        <v>0</v>
      </c>
    </row>
    <row r="28" spans="1:2">
      <c r="A28" s="3444" t="s">
        <v>28</v>
      </c>
      <c r="B28" s="3445">
        <f>'预评函-2'!D12</f>
        <v>0</v>
      </c>
    </row>
    <row r="29" spans="1:2">
      <c r="A29" s="3444" t="s">
        <v>29</v>
      </c>
      <c r="B29" s="3445" t="str">
        <f>'预评函-2'!B13</f>
        <v>3.房地产抵押价值</v>
      </c>
    </row>
    <row r="30" spans="1:2">
      <c r="A30" s="3444" t="s">
        <v>30</v>
      </c>
      <c r="B30" s="3445">
        <f ca="1">'预评函-2'!D13</f>
        <v>100</v>
      </c>
    </row>
    <row r="31" spans="1:2">
      <c r="A31" s="3444" t="s">
        <v>31</v>
      </c>
      <c r="B31" s="3445">
        <f ca="1">'预评函-2'!D15</f>
        <v>15829</v>
      </c>
    </row>
    <row r="32" spans="1:2">
      <c r="A32" s="3444" t="s">
        <v>32</v>
      </c>
      <c r="B32" s="3445" t="str">
        <f ca="1">'预评函-2'!D14</f>
        <v>壹佰万元整</v>
      </c>
    </row>
    <row r="33" spans="1:2">
      <c r="A33" s="3444" t="s">
        <v>33</v>
      </c>
      <c r="B33" s="3445" t="str">
        <f>'预评函-2'!B16</f>
        <v>——</v>
      </c>
    </row>
    <row r="34" spans="1:2">
      <c r="A34" s="3444" t="s">
        <v>34</v>
      </c>
      <c r="B34" s="3445" t="str">
        <f ca="1">'预评函-2'!D16</f>
        <v>——</v>
      </c>
    </row>
    <row r="35" spans="1:2">
      <c r="A35" s="3444" t="s">
        <v>35</v>
      </c>
      <c r="B35" s="3445" t="str">
        <f ca="1">'预评函-2'!D18</f>
        <v>——</v>
      </c>
    </row>
    <row r="36" spans="1:2">
      <c r="A36" s="3444" t="s">
        <v>36</v>
      </c>
      <c r="B36" s="3445" t="e">
        <f ca="1">'预评函-2'!D17</f>
        <v>#VALUE!</v>
      </c>
    </row>
    <row r="37" spans="1:2">
      <c r="A37" s="3444" t="s">
        <v>37</v>
      </c>
      <c r="B37" s="3445" t="str">
        <f>'预评函-2'!B19</f>
        <v>4.抵押净值</v>
      </c>
    </row>
    <row r="38" spans="1:2">
      <c r="A38" s="3444" t="s">
        <v>38</v>
      </c>
      <c r="B38" s="3445">
        <f ca="1">'预评函-2'!D19</f>
        <v>94</v>
      </c>
    </row>
    <row r="39" spans="1:2">
      <c r="A39" s="3444" t="s">
        <v>39</v>
      </c>
      <c r="B39" s="3445">
        <f ca="1">'预评函-2'!D21</f>
        <v>5677</v>
      </c>
    </row>
    <row r="40" spans="1:2">
      <c r="A40" s="3444" t="s">
        <v>40</v>
      </c>
      <c r="B40" s="3445" t="str">
        <f ca="1">'预评函-2'!D20</f>
        <v>玖拾肆万元整</v>
      </c>
    </row>
    <row r="41" spans="1:2">
      <c r="A41" s="3444" t="s">
        <v>41</v>
      </c>
      <c r="B41" s="3445" t="str">
        <f>'预评函-3'!A4</f>
        <v>北京市房地产</v>
      </c>
    </row>
    <row r="42" spans="1:2">
      <c r="A42" s="3444" t="s">
        <v>42</v>
      </c>
      <c r="B42" s="3445" t="str">
        <f>'预评函-3'!B2</f>
        <v>建筑面积</v>
      </c>
    </row>
    <row r="43" spans="1:2">
      <c r="A43" s="3444" t="s">
        <v>43</v>
      </c>
      <c r="B43" s="3445">
        <f>'预评函-3'!B4</f>
        <v>165.59</v>
      </c>
    </row>
    <row r="44" spans="1:2">
      <c r="A44" s="3444" t="s">
        <v>44</v>
      </c>
      <c r="B44" s="3445" t="str">
        <f>'预评函-3'!C2</f>
        <v>(分摊)土地面积</v>
      </c>
    </row>
    <row r="45" spans="1:2">
      <c r="A45" s="3444" t="s">
        <v>45</v>
      </c>
      <c r="B45" s="3445">
        <f>'预评函-3'!C4</f>
        <v>0</v>
      </c>
    </row>
    <row r="46" spans="1:2">
      <c r="A46" s="3444" t="s">
        <v>46</v>
      </c>
      <c r="B46" s="3445" t="str">
        <f>'预评函-3'!D2</f>
        <v>出让国有建设用地使用权价值</v>
      </c>
    </row>
    <row r="47" spans="1:2">
      <c r="A47" s="3444" t="s">
        <v>47</v>
      </c>
      <c r="B47" s="3445">
        <f ca="1">'预评函-3'!D4</f>
        <v>71</v>
      </c>
    </row>
    <row r="48" spans="1:2">
      <c r="A48" s="3444" t="s">
        <v>48</v>
      </c>
      <c r="B48" s="3445">
        <f ca="1">'预评函-3'!E4</f>
        <v>11144</v>
      </c>
    </row>
    <row r="49" spans="1:2">
      <c r="A49" s="3444" t="s">
        <v>49</v>
      </c>
      <c r="B49" s="3445" t="str">
        <f ca="1">'预评函-3'!D5</f>
        <v>柒拾壹万元整</v>
      </c>
    </row>
    <row r="50" spans="1:2">
      <c r="A50" s="3444" t="s">
        <v>50</v>
      </c>
      <c r="B50" s="3445" t="str">
        <f>'预评函-3'!F2</f>
        <v>在建建筑物价值</v>
      </c>
    </row>
    <row r="51" spans="1:2">
      <c r="A51" s="3444" t="s">
        <v>51</v>
      </c>
      <c r="B51" s="3445">
        <f ca="1">'预评函-3'!F4</f>
        <v>30</v>
      </c>
    </row>
    <row r="52" spans="1:2">
      <c r="A52" s="3444" t="s">
        <v>52</v>
      </c>
      <c r="B52" s="3445">
        <f ca="1">'预评函-3'!G4</f>
        <v>4685</v>
      </c>
    </row>
    <row r="53" spans="1:2">
      <c r="A53" s="3444" t="s">
        <v>53</v>
      </c>
      <c r="B53" s="3445" t="str">
        <f ca="1">'预评函-3'!F5</f>
        <v>叁拾万元整</v>
      </c>
    </row>
    <row r="54" spans="1:2">
      <c r="A54" s="3444" t="s">
        <v>54</v>
      </c>
      <c r="B54" s="3445" t="str">
        <f>'预评函-3'!A8</f>
        <v>房地产抵押价值</v>
      </c>
    </row>
    <row r="55" spans="1:2">
      <c r="A55" s="3444" t="s">
        <v>55</v>
      </c>
      <c r="B55" s="3445" t="str">
        <f>'预评函-3'!A10</f>
        <v/>
      </c>
    </row>
    <row r="56" spans="1:2">
      <c r="A56" s="3444" t="s">
        <v>56</v>
      </c>
      <c r="B56" s="3445" t="str">
        <f>'预评函-3'!A12</f>
        <v>抵押净值</v>
      </c>
    </row>
    <row r="57" s="3435" customFormat="1" ht="15" spans="1:2">
      <c r="A57" s="3446" t="s">
        <v>57</v>
      </c>
      <c r="B57" s="3447" t="str">
        <f>'预评函-3'!A6</f>
        <v>估价师知悉的法定优先受偿款</v>
      </c>
    </row>
    <row r="58" s="3436" customFormat="1" ht="15" spans="1:2">
      <c r="A58" s="3442" t="s">
        <v>58</v>
      </c>
      <c r="B58" s="3443" t="str">
        <f>'预评函-4'!A12</f>
        <v>2.本《评估意见函》仅供金融机构进行内部审核使用，不做其他目的之用。</v>
      </c>
    </row>
    <row r="59" spans="1:2">
      <c r="A59" s="3444" t="s">
        <v>59</v>
      </c>
      <c r="B59" s="3445" t="str">
        <f>'预评函-4'!A13</f>
        <v>3.抵押双方在办理抵押登记手续时，应使用本公司出具的正式《房地产评估报告》，特提醒报告使用者注意。</v>
      </c>
    </row>
    <row r="60" spans="1:2">
      <c r="A60" s="3444" t="s">
        <v>60</v>
      </c>
      <c r="B60" s="3445" t="str">
        <f>'预评函-4'!A14</f>
        <v>4.本次评估估价师所知悉的法定优先受偿款情况说明如下：</v>
      </c>
    </row>
    <row r="6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4" t="s">
        <v>62</v>
      </c>
      <c r="B62" s="3445" t="str">
        <f>'预评函-4'!A16</f>
        <v>（2）根据《工程款支付情况说明》，截至价值时点，估价对象不存在应付未付工程款项。（只要没有施工方盖章的，均“设定”进行表述）</v>
      </c>
    </row>
    <row r="63"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4" t="s">
        <v>64</v>
      </c>
      <c r="B64" s="3445" t="str">
        <f>'预评函-4'!A18</f>
        <v>故，本次评估不存在估价师知悉的法定优先受偿款</v>
      </c>
    </row>
    <row r="65"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4" t="s">
        <v>68</v>
      </c>
      <c r="B68" s="3445" t="str">
        <f>'预评函-4'!A22</f>
        <v>8.其他需特殊说明事项：无（注意调整序号）</v>
      </c>
    </row>
    <row r="69" s="3435"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5"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6" customWidth="1"/>
    <col min="2" max="2" width="23.25"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8" width="15.125" style="3297" customWidth="1"/>
  </cols>
  <sheetData>
    <row r="1" s="3295" customFormat="1" ht="40.5" spans="1:28">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c r="X1" s="3301" t="s">
        <v>229</v>
      </c>
      <c r="Y1" s="3301" t="s">
        <v>230</v>
      </c>
      <c r="Z1" s="3301" t="s">
        <v>231</v>
      </c>
      <c r="AA1" s="3301" t="s">
        <v>232</v>
      </c>
      <c r="AB1" s="3301" t="s">
        <v>233</v>
      </c>
    </row>
    <row r="2" spans="1:28">
      <c r="A2" s="3256" t="s">
        <v>124</v>
      </c>
      <c r="B2" s="3256" t="s">
        <v>234</v>
      </c>
      <c r="C2" s="3303" t="s">
        <v>235</v>
      </c>
      <c r="D2" s="3298" t="s">
        <v>236</v>
      </c>
      <c r="E2" s="3298" t="s">
        <v>237</v>
      </c>
      <c r="F2" s="3298" t="s">
        <v>159</v>
      </c>
      <c r="G2" s="3298">
        <v>20</v>
      </c>
      <c r="H2" s="3298" t="s">
        <v>159</v>
      </c>
      <c r="I2" s="3298" t="s">
        <v>238</v>
      </c>
      <c r="J2" s="3298" t="s">
        <v>239</v>
      </c>
      <c r="K2" s="3298" t="s">
        <v>240</v>
      </c>
      <c r="L2" s="3298" t="s">
        <v>240</v>
      </c>
      <c r="M2" s="3298" t="s">
        <v>240</v>
      </c>
      <c r="N2" s="3298" t="s">
        <v>240</v>
      </c>
      <c r="O2" s="3298" t="s">
        <v>240</v>
      </c>
      <c r="P2" s="3298" t="s">
        <v>240</v>
      </c>
      <c r="Q2" s="3298" t="s">
        <v>240</v>
      </c>
      <c r="R2" s="3298" t="s">
        <v>241</v>
      </c>
      <c r="S2" s="3298" t="s">
        <v>240</v>
      </c>
      <c r="T2" s="3298" t="s">
        <v>242</v>
      </c>
      <c r="U2" s="3298" t="s">
        <v>240</v>
      </c>
      <c r="V2" s="3298" t="s">
        <v>243</v>
      </c>
      <c r="W2" s="3298" t="s">
        <v>240</v>
      </c>
      <c r="X2" s="3297" t="s">
        <v>244</v>
      </c>
      <c r="Y2" s="3297" t="s">
        <v>245</v>
      </c>
      <c r="Z2" s="3297" t="s">
        <v>246</v>
      </c>
      <c r="AA2" s="3297" t="s">
        <v>247</v>
      </c>
      <c r="AB2" s="3297" t="s">
        <v>248</v>
      </c>
    </row>
    <row r="3" spans="1:28">
      <c r="A3" s="3256" t="s">
        <v>249</v>
      </c>
      <c r="B3" s="3304" t="s">
        <v>250</v>
      </c>
      <c r="C3" s="3303" t="s">
        <v>251</v>
      </c>
      <c r="D3" s="3298" t="s">
        <v>252</v>
      </c>
      <c r="E3" s="3298" t="s">
        <v>124</v>
      </c>
      <c r="F3" s="3298" t="s">
        <v>160</v>
      </c>
      <c r="G3" s="3298">
        <v>40</v>
      </c>
      <c r="H3" s="3298" t="s">
        <v>160</v>
      </c>
      <c r="I3" s="3298" t="s">
        <v>253</v>
      </c>
      <c r="J3" s="3298" t="s">
        <v>254</v>
      </c>
      <c r="K3" s="3298" t="s">
        <v>255</v>
      </c>
      <c r="L3" s="3298" t="s">
        <v>255</v>
      </c>
      <c r="M3" s="3298" t="s">
        <v>255</v>
      </c>
      <c r="N3" s="3298" t="s">
        <v>255</v>
      </c>
      <c r="O3" s="3298" t="s">
        <v>255</v>
      </c>
      <c r="P3" s="3298" t="s">
        <v>255</v>
      </c>
      <c r="Q3" s="3298" t="s">
        <v>255</v>
      </c>
      <c r="R3" s="3298" t="s">
        <v>256</v>
      </c>
      <c r="S3" s="3298" t="s">
        <v>255</v>
      </c>
      <c r="T3" s="3298" t="s">
        <v>257</v>
      </c>
      <c r="U3" s="3298" t="s">
        <v>255</v>
      </c>
      <c r="V3" s="3298" t="s">
        <v>258</v>
      </c>
      <c r="W3" s="3298" t="s">
        <v>255</v>
      </c>
      <c r="X3" s="3297" t="s">
        <v>259</v>
      </c>
      <c r="Z3" s="3297" t="s">
        <v>260</v>
      </c>
      <c r="AB3" s="3297" t="s">
        <v>261</v>
      </c>
    </row>
    <row r="4" spans="1:28">
      <c r="A4" s="3256" t="s">
        <v>262</v>
      </c>
      <c r="B4" s="3256" t="s">
        <v>263</v>
      </c>
      <c r="C4" s="3303" t="s">
        <v>264</v>
      </c>
      <c r="D4" s="3298" t="s">
        <v>124</v>
      </c>
      <c r="E4" s="3298" t="s">
        <v>265</v>
      </c>
      <c r="F4" s="3298" t="s">
        <v>161</v>
      </c>
      <c r="G4" s="3298">
        <v>50</v>
      </c>
      <c r="H4" s="3298" t="s">
        <v>161</v>
      </c>
      <c r="I4" s="3298" t="s">
        <v>266</v>
      </c>
      <c r="K4" s="3298" t="s">
        <v>267</v>
      </c>
      <c r="L4" s="3298" t="s">
        <v>267</v>
      </c>
      <c r="M4" s="3298" t="s">
        <v>267</v>
      </c>
      <c r="N4" s="3298" t="s">
        <v>267</v>
      </c>
      <c r="O4" s="3298" t="s">
        <v>267</v>
      </c>
      <c r="P4" s="3298" t="s">
        <v>267</v>
      </c>
      <c r="Q4" s="3298" t="s">
        <v>267</v>
      </c>
      <c r="R4" s="3298" t="s">
        <v>268</v>
      </c>
      <c r="S4" s="3298" t="s">
        <v>267</v>
      </c>
      <c r="T4" s="3298" t="s">
        <v>269</v>
      </c>
      <c r="U4" s="3298" t="s">
        <v>267</v>
      </c>
      <c r="W4" s="3298" t="s">
        <v>267</v>
      </c>
      <c r="X4" s="3297" t="s">
        <v>270</v>
      </c>
      <c r="Z4" s="3297" t="s">
        <v>271</v>
      </c>
      <c r="AB4" s="3297" t="s">
        <v>272</v>
      </c>
    </row>
    <row r="5" spans="1:28">
      <c r="A5" s="3256" t="s">
        <v>273</v>
      </c>
      <c r="B5" s="3256" t="s">
        <v>274</v>
      </c>
      <c r="C5" s="3303" t="s">
        <v>275</v>
      </c>
      <c r="F5" s="3298" t="s">
        <v>162</v>
      </c>
      <c r="G5" s="3298">
        <v>70</v>
      </c>
      <c r="H5" s="3298" t="s">
        <v>276</v>
      </c>
      <c r="I5" s="3298" t="s">
        <v>277</v>
      </c>
      <c r="K5" s="3298" t="s">
        <v>278</v>
      </c>
      <c r="L5" s="3298" t="s">
        <v>278</v>
      </c>
      <c r="M5" s="3298" t="s">
        <v>278</v>
      </c>
      <c r="N5" s="3298" t="s">
        <v>278</v>
      </c>
      <c r="O5" s="3298" t="s">
        <v>278</v>
      </c>
      <c r="P5" s="3298" t="s">
        <v>278</v>
      </c>
      <c r="Q5" s="3298" t="s">
        <v>278</v>
      </c>
      <c r="R5" s="3298" t="s">
        <v>279</v>
      </c>
      <c r="S5" s="3298" t="s">
        <v>278</v>
      </c>
      <c r="T5" s="3298" t="s">
        <v>280</v>
      </c>
      <c r="U5" s="3298" t="s">
        <v>278</v>
      </c>
      <c r="W5" s="3298" t="s">
        <v>278</v>
      </c>
      <c r="X5" s="3297" t="s">
        <v>281</v>
      </c>
      <c r="Z5" s="3297" t="s">
        <v>282</v>
      </c>
      <c r="AB5" s="3297" t="s">
        <v>283</v>
      </c>
    </row>
    <row r="6" spans="1:28">
      <c r="A6" s="3256" t="s">
        <v>284</v>
      </c>
      <c r="B6" s="3304" t="s">
        <v>285</v>
      </c>
      <c r="C6" s="3305" t="s">
        <v>286</v>
      </c>
      <c r="F6" s="3298" t="s">
        <v>276</v>
      </c>
      <c r="H6" s="3298" t="s">
        <v>164</v>
      </c>
      <c r="I6" s="3298" t="s">
        <v>287</v>
      </c>
      <c r="K6" s="3298" t="s">
        <v>288</v>
      </c>
      <c r="L6" s="3298" t="s">
        <v>288</v>
      </c>
      <c r="M6" s="3298" t="s">
        <v>288</v>
      </c>
      <c r="N6" s="3298" t="s">
        <v>288</v>
      </c>
      <c r="O6" s="3298" t="s">
        <v>288</v>
      </c>
      <c r="P6" s="3298" t="s">
        <v>288</v>
      </c>
      <c r="Q6" s="3298" t="s">
        <v>288</v>
      </c>
      <c r="R6" s="3298" t="s">
        <v>289</v>
      </c>
      <c r="S6" s="3298" t="s">
        <v>288</v>
      </c>
      <c r="T6" s="3298"/>
      <c r="U6" s="3298" t="s">
        <v>288</v>
      </c>
      <c r="W6" s="3298" t="s">
        <v>288</v>
      </c>
      <c r="X6" s="3297" t="s">
        <v>290</v>
      </c>
      <c r="Z6" s="3297" t="s">
        <v>291</v>
      </c>
      <c r="AB6" s="3297" t="s">
        <v>292</v>
      </c>
    </row>
    <row r="7" spans="1:28">
      <c r="A7" s="3256" t="s">
        <v>293</v>
      </c>
      <c r="B7" s="3304" t="s">
        <v>294</v>
      </c>
      <c r="C7" s="3303" t="s">
        <v>295</v>
      </c>
      <c r="F7" s="3298" t="s">
        <v>296</v>
      </c>
      <c r="H7" s="3298" t="s">
        <v>162</v>
      </c>
      <c r="I7" s="3298" t="s">
        <v>297</v>
      </c>
      <c r="X7" s="3297" t="s">
        <v>298</v>
      </c>
      <c r="Z7" s="3297" t="s">
        <v>299</v>
      </c>
      <c r="AB7" s="3297" t="s">
        <v>300</v>
      </c>
    </row>
    <row r="8" spans="1:28">
      <c r="A8" s="3256" t="s">
        <v>301</v>
      </c>
      <c r="B8" s="3256" t="s">
        <v>302</v>
      </c>
      <c r="C8" s="3303" t="s">
        <v>303</v>
      </c>
      <c r="F8" s="3298" t="s">
        <v>304</v>
      </c>
      <c r="H8" s="3298" t="s">
        <v>231</v>
      </c>
      <c r="I8" s="3298" t="s">
        <v>305</v>
      </c>
      <c r="X8" s="3297" t="s">
        <v>306</v>
      </c>
      <c r="Z8" s="3297" t="s">
        <v>307</v>
      </c>
      <c r="AB8" s="3297" t="s">
        <v>308</v>
      </c>
    </row>
    <row r="9" spans="1:28">
      <c r="A9" s="3256" t="s">
        <v>309</v>
      </c>
      <c r="B9" s="3256" t="s">
        <v>310</v>
      </c>
      <c r="C9" s="3303" t="s">
        <v>311</v>
      </c>
      <c r="F9" s="3298" t="s">
        <v>164</v>
      </c>
      <c r="H9" s="3298"/>
      <c r="I9" s="3297" t="s">
        <v>312</v>
      </c>
      <c r="X9" s="3297" t="s">
        <v>313</v>
      </c>
      <c r="Z9" s="3297" t="s">
        <v>314</v>
      </c>
      <c r="AB9" s="3297" t="s">
        <v>315</v>
      </c>
    </row>
    <row r="10" spans="1:28">
      <c r="A10" s="3256" t="s">
        <v>316</v>
      </c>
      <c r="B10" s="3256" t="s">
        <v>317</v>
      </c>
      <c r="C10" s="3303" t="s">
        <v>318</v>
      </c>
      <c r="F10" s="3298" t="s">
        <v>231</v>
      </c>
      <c r="I10" s="3297" t="s">
        <v>319</v>
      </c>
      <c r="Z10" s="3297" t="s">
        <v>320</v>
      </c>
      <c r="AB10" s="3297" t="s">
        <v>321</v>
      </c>
    </row>
    <row r="11" spans="1:28">
      <c r="A11" s="3256" t="s">
        <v>322</v>
      </c>
      <c r="B11" s="3256" t="s">
        <v>323</v>
      </c>
      <c r="C11" s="3303" t="s">
        <v>324</v>
      </c>
      <c r="F11" s="3298" t="s">
        <v>124</v>
      </c>
      <c r="I11" s="3297" t="s">
        <v>325</v>
      </c>
      <c r="Z11" s="3297" t="s">
        <v>326</v>
      </c>
      <c r="AB11" s="3297" t="s">
        <v>327</v>
      </c>
    </row>
    <row r="12" spans="1:28">
      <c r="A12" s="3256" t="s">
        <v>328</v>
      </c>
      <c r="B12" s="3256" t="s">
        <v>329</v>
      </c>
      <c r="C12" s="3303" t="s">
        <v>330</v>
      </c>
      <c r="I12" s="3297" t="s">
        <v>331</v>
      </c>
      <c r="Z12" s="3297" t="s">
        <v>332</v>
      </c>
      <c r="AB12" s="3297" t="s">
        <v>333</v>
      </c>
    </row>
    <row r="13" spans="1:26">
      <c r="A13" s="3256" t="s">
        <v>334</v>
      </c>
      <c r="B13" s="3256" t="s">
        <v>335</v>
      </c>
      <c r="C13" s="3303" t="s">
        <v>336</v>
      </c>
      <c r="I13" s="3297" t="s">
        <v>337</v>
      </c>
      <c r="Z13" s="3297" t="s">
        <v>338</v>
      </c>
    </row>
    <row r="14" spans="1:26">
      <c r="A14" s="3256" t="s">
        <v>339</v>
      </c>
      <c r="B14" s="3256" t="s">
        <v>340</v>
      </c>
      <c r="C14" s="3298" t="s">
        <v>124</v>
      </c>
      <c r="I14" s="3297" t="s">
        <v>341</v>
      </c>
      <c r="Z14" s="3297" t="s">
        <v>342</v>
      </c>
    </row>
    <row r="15" spans="1:9">
      <c r="A15" s="3256" t="s">
        <v>343</v>
      </c>
      <c r="B15" s="3256" t="s">
        <v>344</v>
      </c>
      <c r="C15" s="3303"/>
      <c r="I15" s="3297" t="s">
        <v>345</v>
      </c>
    </row>
    <row r="16" spans="1:3">
      <c r="A16" s="3256" t="s">
        <v>346</v>
      </c>
      <c r="B16" s="3256" t="s">
        <v>347</v>
      </c>
      <c r="C16" s="3303"/>
    </row>
    <row r="17" spans="1:3">
      <c r="A17" s="3256" t="s">
        <v>348</v>
      </c>
      <c r="B17" s="3256" t="s">
        <v>349</v>
      </c>
      <c r="C17" s="3303"/>
    </row>
    <row r="18" spans="1:3">
      <c r="A18" s="3256" t="s">
        <v>350</v>
      </c>
      <c r="B18" s="3256" t="s">
        <v>351</v>
      </c>
      <c r="C18" s="3303"/>
    </row>
    <row r="19" spans="1:3">
      <c r="A19" s="3256" t="s">
        <v>352</v>
      </c>
      <c r="B19" s="3256" t="s">
        <v>353</v>
      </c>
      <c r="C19" s="3303"/>
    </row>
    <row r="20" spans="1:3">
      <c r="A20" s="3256" t="s">
        <v>354</v>
      </c>
      <c r="B20" s="3256" t="s">
        <v>355</v>
      </c>
      <c r="C20" s="3303"/>
    </row>
    <row r="21" spans="1:3">
      <c r="A21" s="3256" t="s">
        <v>276</v>
      </c>
      <c r="B21" s="3306" t="s">
        <v>356</v>
      </c>
      <c r="C21" s="3303"/>
    </row>
    <row r="22" spans="1:3">
      <c r="A22" s="3256" t="s">
        <v>357</v>
      </c>
      <c r="B22" s="3306" t="s">
        <v>358</v>
      </c>
      <c r="C22" s="3303"/>
    </row>
    <row r="23" spans="1:3">
      <c r="A23" s="3256" t="s">
        <v>359</v>
      </c>
      <c r="B23" s="3256" t="s">
        <v>360</v>
      </c>
      <c r="C23" s="3303"/>
    </row>
    <row r="24" spans="1:3">
      <c r="A24" s="3256" t="s">
        <v>361</v>
      </c>
      <c r="B24" s="3256" t="s">
        <v>360</v>
      </c>
      <c r="C24" s="3303"/>
    </row>
    <row r="25" spans="1:3">
      <c r="A25" s="3256" t="s">
        <v>362</v>
      </c>
      <c r="B25" s="3256" t="s">
        <v>360</v>
      </c>
      <c r="C25" s="3303"/>
    </row>
    <row r="26" spans="1:3">
      <c r="A26" s="3256" t="s">
        <v>363</v>
      </c>
      <c r="B26" s="3256" t="s">
        <v>360</v>
      </c>
      <c r="C26" s="3303"/>
    </row>
    <row r="27" spans="1:3">
      <c r="A27" s="3256" t="s">
        <v>360</v>
      </c>
      <c r="B27" s="3256" t="s">
        <v>360</v>
      </c>
      <c r="C27" s="3303"/>
    </row>
    <row r="28" spans="1:3">
      <c r="A28" s="3256" t="s">
        <v>360</v>
      </c>
      <c r="B28" s="3256" t="s">
        <v>360</v>
      </c>
      <c r="C28" s="3303"/>
    </row>
    <row r="29" spans="1:3">
      <c r="A29" s="3256" t="s">
        <v>360</v>
      </c>
      <c r="B29" s="3256" t="s">
        <v>360</v>
      </c>
      <c r="C29" s="3303"/>
    </row>
    <row r="30" spans="1:3">
      <c r="A30" s="3256" t="s">
        <v>360</v>
      </c>
      <c r="B30" s="3256" t="s">
        <v>360</v>
      </c>
      <c r="C30" s="3303"/>
    </row>
    <row r="31" spans="1:3">
      <c r="A31" s="3256" t="s">
        <v>360</v>
      </c>
      <c r="B31" s="3256" t="s">
        <v>360</v>
      </c>
      <c r="C31" s="3303"/>
    </row>
    <row r="32" spans="1:3">
      <c r="A32" s="3256" t="s">
        <v>360</v>
      </c>
      <c r="B32" s="3256" t="s">
        <v>360</v>
      </c>
      <c r="C32" s="3303"/>
    </row>
    <row r="33" spans="1:3">
      <c r="A33" s="3256" t="s">
        <v>360</v>
      </c>
      <c r="B33" s="3256" t="s">
        <v>360</v>
      </c>
      <c r="C33" s="3303"/>
    </row>
    <row r="34" spans="1:3">
      <c r="A34" s="3256" t="s">
        <v>360</v>
      </c>
      <c r="B34" s="3256" t="s">
        <v>360</v>
      </c>
      <c r="C34" s="3303"/>
    </row>
    <row r="35" spans="1:3">
      <c r="A35" s="3256" t="s">
        <v>360</v>
      </c>
      <c r="B35" s="3256" t="s">
        <v>360</v>
      </c>
      <c r="C35" s="3303"/>
    </row>
    <row r="36" spans="1:3">
      <c r="A36" s="3256" t="s">
        <v>360</v>
      </c>
      <c r="B36" s="3256" t="s">
        <v>360</v>
      </c>
      <c r="C36" s="3303"/>
    </row>
    <row r="37" spans="1:3">
      <c r="A37" s="3256" t="s">
        <v>360</v>
      </c>
      <c r="B37" s="3256" t="s">
        <v>360</v>
      </c>
      <c r="C37" s="3303"/>
    </row>
    <row r="38" spans="1:3">
      <c r="A38" s="3256" t="s">
        <v>360</v>
      </c>
      <c r="B38" s="3256" t="s">
        <v>360</v>
      </c>
      <c r="C38" s="3303"/>
    </row>
    <row r="39" spans="1:3">
      <c r="A39" s="3256" t="s">
        <v>360</v>
      </c>
      <c r="B39" s="3256" t="s">
        <v>360</v>
      </c>
      <c r="C39" s="3303"/>
    </row>
    <row r="40" spans="1:3">
      <c r="A40" s="3256" t="s">
        <v>360</v>
      </c>
      <c r="B40" s="3256" t="s">
        <v>360</v>
      </c>
      <c r="C40" s="3303"/>
    </row>
    <row r="41" spans="1:3">
      <c r="A41" s="3256" t="s">
        <v>360</v>
      </c>
      <c r="B41" s="3256" t="s">
        <v>360</v>
      </c>
      <c r="C41" s="3303"/>
    </row>
    <row r="42" spans="1:3">
      <c r="A42" s="3256" t="s">
        <v>360</v>
      </c>
      <c r="B42" s="3256" t="s">
        <v>360</v>
      </c>
      <c r="C42" s="3303"/>
    </row>
    <row r="43" spans="1:3">
      <c r="A43" s="3256" t="s">
        <v>360</v>
      </c>
      <c r="B43" s="3256" t="s">
        <v>360</v>
      </c>
      <c r="C43" s="3303"/>
    </row>
    <row r="44" spans="1:3">
      <c r="A44" s="3256" t="s">
        <v>360</v>
      </c>
      <c r="B44" s="3256" t="s">
        <v>360</v>
      </c>
      <c r="C44" s="3303"/>
    </row>
    <row r="45" spans="1:3">
      <c r="A45" s="3256" t="s">
        <v>360</v>
      </c>
      <c r="B45" s="3256" t="s">
        <v>360</v>
      </c>
      <c r="C45" s="3303"/>
    </row>
    <row r="46" spans="1:3">
      <c r="A46" s="3256" t="s">
        <v>360</v>
      </c>
      <c r="B46" s="3256" t="s">
        <v>360</v>
      </c>
      <c r="C46" s="3303"/>
    </row>
    <row r="47" spans="1:3">
      <c r="A47" s="3256" t="s">
        <v>360</v>
      </c>
      <c r="B47" s="3256" t="s">
        <v>360</v>
      </c>
      <c r="C47" s="3303"/>
    </row>
    <row r="48" spans="1:3">
      <c r="A48" s="3256" t="s">
        <v>360</v>
      </c>
      <c r="B48" s="3256" t="s">
        <v>360</v>
      </c>
      <c r="C48" s="3303"/>
    </row>
    <row r="49" spans="1:3">
      <c r="A49" s="3256" t="s">
        <v>360</v>
      </c>
      <c r="B49" s="3256" t="s">
        <v>360</v>
      </c>
      <c r="C49" s="3303"/>
    </row>
    <row r="50" spans="1:3">
      <c r="A50" s="3256" t="s">
        <v>360</v>
      </c>
      <c r="B50" s="3256" t="s">
        <v>360</v>
      </c>
      <c r="C50" s="3303"/>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7" t="s">
        <v>368</v>
      </c>
      <c r="D52" s="3297" t="s">
        <v>369</v>
      </c>
    </row>
    <row r="53" spans="1:3">
      <c r="A53" s="3301" t="s">
        <v>370</v>
      </c>
      <c r="B53" s="311" t="s">
        <v>371</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1"/>
      <c r="B54" s="311" t="s">
        <v>372</v>
      </c>
      <c r="C54" s="3297" t="s">
        <v>373</v>
      </c>
    </row>
    <row r="55" spans="1:3">
      <c r="A55" s="3301"/>
      <c r="B55" s="311" t="s">
        <v>374</v>
      </c>
      <c r="C55" s="3297" t="s">
        <v>375</v>
      </c>
    </row>
    <row r="56" spans="1:3">
      <c r="A56" s="3301"/>
      <c r="B56" s="311" t="s">
        <v>376</v>
      </c>
      <c r="C56" s="3297" t="s">
        <v>377</v>
      </c>
    </row>
    <row r="57" spans="1:3">
      <c r="A57" s="3301"/>
      <c r="B57" s="311" t="s">
        <v>378</v>
      </c>
      <c r="C57" s="3297" t="s">
        <v>379</v>
      </c>
    </row>
    <row r="58" spans="1:2">
      <c r="A58" s="3298"/>
      <c r="B58" s="3297"/>
    </row>
    <row r="59" spans="1:2">
      <c r="A59" s="3298"/>
      <c r="B59" s="3297"/>
    </row>
    <row r="60" spans="1:2">
      <c r="A60" s="3298"/>
      <c r="B60" s="3297"/>
    </row>
    <row r="61" spans="1:2">
      <c r="A61" s="3298"/>
      <c r="B61" s="3297"/>
    </row>
    <row r="62" spans="1:2">
      <c r="A62" s="3298"/>
      <c r="B62" s="3297"/>
    </row>
    <row r="63" spans="1:2">
      <c r="A63" s="3298"/>
      <c r="B63" s="3297"/>
    </row>
    <row r="64" spans="1:2">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380</v>
      </c>
      <c r="B1" s="3247"/>
      <c r="C1" s="3247"/>
      <c r="D1" s="3247"/>
      <c r="E1" s="3247"/>
      <c r="F1" s="3248"/>
      <c r="I1" s="3291" t="s">
        <v>381</v>
      </c>
      <c r="J1" s="73"/>
      <c r="K1" s="73"/>
      <c r="L1" s="73"/>
      <c r="M1" s="73"/>
      <c r="N1" s="311"/>
      <c r="O1" s="311"/>
      <c r="P1" s="311"/>
      <c r="Q1" s="311"/>
      <c r="R1" s="311"/>
    </row>
    <row r="2" spans="1:18">
      <c r="A2" s="3249"/>
      <c r="B2" s="3250"/>
      <c r="C2" s="3250"/>
      <c r="D2" s="3250"/>
      <c r="E2" s="3250"/>
      <c r="F2" s="3251"/>
      <c r="I2" s="3292" t="s">
        <v>382</v>
      </c>
      <c r="J2" s="3292"/>
      <c r="K2" s="3292"/>
      <c r="L2" s="3292"/>
      <c r="M2" s="3292"/>
      <c r="N2" s="3292"/>
      <c r="O2" s="3292"/>
      <c r="P2" s="3292"/>
      <c r="Q2" s="3292"/>
      <c r="R2" s="3292"/>
    </row>
    <row r="3" spans="1:18">
      <c r="A3" s="462" t="s">
        <v>383</v>
      </c>
      <c r="B3" s="3252">
        <f>项目基本情况!D3</f>
        <v>45852</v>
      </c>
      <c r="C3" s="463"/>
      <c r="D3" s="463"/>
      <c r="E3" s="463"/>
      <c r="F3" s="3251"/>
      <c r="I3" s="3265"/>
      <c r="J3" s="3265" t="s">
        <v>384</v>
      </c>
      <c r="K3" s="3265" t="s">
        <v>385</v>
      </c>
      <c r="L3" s="3265" t="s">
        <v>386</v>
      </c>
      <c r="M3" s="3265" t="s">
        <v>387</v>
      </c>
      <c r="N3" s="463" t="s">
        <v>388</v>
      </c>
      <c r="O3" s="463" t="s">
        <v>389</v>
      </c>
      <c r="P3" s="463" t="s">
        <v>390</v>
      </c>
      <c r="Q3" s="463" t="s">
        <v>391</v>
      </c>
      <c r="R3" s="463" t="s">
        <v>392</v>
      </c>
    </row>
    <row r="4" spans="1:18">
      <c r="A4" s="462" t="s">
        <v>393</v>
      </c>
      <c r="B4" s="463" t="s">
        <v>394</v>
      </c>
      <c r="C4" s="463" t="s">
        <v>395</v>
      </c>
      <c r="D4" s="463" t="s">
        <v>396</v>
      </c>
      <c r="E4" s="463" t="s">
        <v>397</v>
      </c>
      <c r="F4" s="3251"/>
      <c r="I4" s="3265" t="s">
        <v>398</v>
      </c>
      <c r="J4" s="3265">
        <v>80</v>
      </c>
      <c r="K4" s="3265">
        <v>70</v>
      </c>
      <c r="L4" s="3265">
        <v>20</v>
      </c>
      <c r="M4" s="3265">
        <v>30</v>
      </c>
      <c r="N4" s="463">
        <v>45</v>
      </c>
      <c r="O4" s="463">
        <v>60</v>
      </c>
      <c r="P4" s="463">
        <v>50</v>
      </c>
      <c r="Q4" s="463">
        <v>20</v>
      </c>
      <c r="R4" s="463">
        <v>375</v>
      </c>
    </row>
    <row r="5" spans="1:18">
      <c r="A5" s="3253">
        <v>40</v>
      </c>
      <c r="B5" s="3252">
        <v>46375</v>
      </c>
      <c r="C5" s="463">
        <f>ROUNDDOWN(MIN((B5-B3)/365,A5),2)</f>
        <v>1.43</v>
      </c>
      <c r="D5" s="3254">
        <f>IF(ISERROR(ROUND(POWER(1+E5,A5-C5)*(POWER(1+E5,C5)-1)/(POWER(1+E5,A5)-1),3)),0,ROUND(POWER(1+E5,A5-C5)*(POWER(1+E5,C5)-1)/(POWER(1+E5,A5)-1),4))</f>
        <v>0.0689</v>
      </c>
      <c r="E5" s="3255">
        <v>0.04</v>
      </c>
      <c r="F5" s="3251"/>
      <c r="I5" s="3265" t="s">
        <v>399</v>
      </c>
      <c r="J5" s="3265">
        <v>70</v>
      </c>
      <c r="K5" s="3265">
        <v>60</v>
      </c>
      <c r="L5" s="3265">
        <v>15</v>
      </c>
      <c r="M5" s="3265">
        <v>25</v>
      </c>
      <c r="N5" s="463">
        <v>40</v>
      </c>
      <c r="O5" s="463">
        <v>50</v>
      </c>
      <c r="P5" s="463">
        <v>40</v>
      </c>
      <c r="Q5" s="463">
        <v>15</v>
      </c>
      <c r="R5" s="463">
        <v>315</v>
      </c>
    </row>
    <row r="6" spans="1:18">
      <c r="A6" s="3253">
        <v>50</v>
      </c>
      <c r="B6" s="3252">
        <v>50028</v>
      </c>
      <c r="C6" s="463">
        <f>ROUNDDOWN(MIN((B6-B3)/365,A6),2)</f>
        <v>11.44</v>
      </c>
      <c r="D6" s="3254">
        <f>IF(ISERROR(ROUND(POWER(1+E6,A6-C6)*(POWER(1+E6,C6)-1)/(POWER(1+E6,A6)-1),3)),0,ROUND(POWER(1+E6,A6-C6)*(POWER(1+E6,C6)-1)/(POWER(1+E6,A6)-1),4))</f>
        <v>0.4207</v>
      </c>
      <c r="E6" s="3255">
        <v>0.04</v>
      </c>
      <c r="F6" s="3251"/>
      <c r="I6" s="3265" t="s">
        <v>400</v>
      </c>
      <c r="J6" s="3265">
        <v>60</v>
      </c>
      <c r="K6" s="3265">
        <v>50</v>
      </c>
      <c r="L6" s="3265">
        <v>10</v>
      </c>
      <c r="M6" s="3265">
        <v>20</v>
      </c>
      <c r="N6" s="463">
        <v>35</v>
      </c>
      <c r="O6" s="463">
        <v>40</v>
      </c>
      <c r="P6" s="463">
        <v>30</v>
      </c>
      <c r="Q6" s="463">
        <v>10</v>
      </c>
      <c r="R6" s="463">
        <v>255</v>
      </c>
    </row>
    <row r="7" spans="1:6">
      <c r="A7" s="3253">
        <v>70</v>
      </c>
      <c r="B7" s="3252">
        <v>57333</v>
      </c>
      <c r="C7" s="463">
        <f>ROUNDDOWN(MIN((B7-B3)/365,A7),2)</f>
        <v>31.45</v>
      </c>
      <c r="D7" s="3254">
        <f>IF(ISERROR(ROUND(POWER(1+E7,A7-C7)*(POWER(1+E7,C7)-1)/(POWER(1+E7,A7)-1),3)),0,ROUND(POWER(1+E7,A7-C7)*(POWER(1+E7,C7)-1)/(POWER(1+E7,A7)-1),4))</f>
        <v>0.7574</v>
      </c>
      <c r="E7" s="3255">
        <v>0.04</v>
      </c>
      <c r="F7" s="3251"/>
    </row>
    <row r="8" spans="1:6">
      <c r="A8" s="3249"/>
      <c r="B8" s="3250"/>
      <c r="C8" s="3250"/>
      <c r="D8" s="3250"/>
      <c r="E8" s="3250"/>
      <c r="F8" s="3251"/>
    </row>
    <row r="9" spans="1:6">
      <c r="A9" s="462" t="s">
        <v>401</v>
      </c>
      <c r="B9" s="463"/>
      <c r="C9" s="463"/>
      <c r="D9" s="463"/>
      <c r="E9" s="463"/>
      <c r="F9" s="519"/>
    </row>
    <row r="10" spans="1:6">
      <c r="A10" s="462" t="s">
        <v>402</v>
      </c>
      <c r="B10" s="463"/>
      <c r="C10" s="463"/>
      <c r="D10" s="463" t="s">
        <v>397</v>
      </c>
      <c r="E10" s="463"/>
      <c r="F10" s="519" t="s">
        <v>396</v>
      </c>
    </row>
    <row r="11" spans="1:6">
      <c r="A11" s="462" t="s">
        <v>403</v>
      </c>
      <c r="B11" s="3256">
        <v>70</v>
      </c>
      <c r="C11" s="463" t="s">
        <v>404</v>
      </c>
      <c r="D11" s="3256">
        <v>0.045</v>
      </c>
      <c r="E11" s="463" t="s">
        <v>405</v>
      </c>
      <c r="F11" s="3257">
        <f>ROUND(1-(1/(POWER(1+D11,B11))),4)</f>
        <v>0.9541</v>
      </c>
    </row>
    <row r="12" spans="1:6">
      <c r="A12" s="462" t="s">
        <v>406</v>
      </c>
      <c r="B12" s="3256">
        <v>40</v>
      </c>
      <c r="C12" s="463" t="s">
        <v>407</v>
      </c>
      <c r="D12" s="3256">
        <v>0.045</v>
      </c>
      <c r="E12" s="463" t="s">
        <v>408</v>
      </c>
      <c r="F12" s="3257">
        <f>ROUND(1-(1/(POWER(1+D12,B12))),4)</f>
        <v>0.8281</v>
      </c>
    </row>
    <row r="13" spans="1:6">
      <c r="A13" s="462" t="s">
        <v>409</v>
      </c>
      <c r="B13" s="463"/>
      <c r="C13" s="463"/>
      <c r="D13" s="3250"/>
      <c r="E13" s="3250"/>
      <c r="F13" s="3251"/>
    </row>
    <row r="14" spans="1:6">
      <c r="A14" s="462" t="s">
        <v>410</v>
      </c>
      <c r="B14" s="3256">
        <v>5000</v>
      </c>
      <c r="C14" s="3258"/>
      <c r="D14" s="3250"/>
      <c r="E14" s="3250"/>
      <c r="F14" s="3251"/>
    </row>
    <row r="15" spans="1:6">
      <c r="A15" s="462" t="s">
        <v>411</v>
      </c>
      <c r="B15" s="463">
        <f>ROUND(B14*F12/F11,2)</f>
        <v>4339.69</v>
      </c>
      <c r="C15" s="463">
        <f>ROUND(F12/F11,4)</f>
        <v>0.8679</v>
      </c>
      <c r="D15" s="3250"/>
      <c r="E15" s="3250"/>
      <c r="F15" s="3251"/>
    </row>
    <row r="16" spans="1:6">
      <c r="A16" s="462" t="s">
        <v>412</v>
      </c>
      <c r="B16" s="463"/>
      <c r="C16" s="463"/>
      <c r="D16" s="3250"/>
      <c r="E16" s="3250"/>
      <c r="F16" s="3251"/>
    </row>
    <row r="17" spans="1:6">
      <c r="A17" s="462" t="s">
        <v>411</v>
      </c>
      <c r="B17" s="3256">
        <v>4810</v>
      </c>
      <c r="C17" s="3258"/>
      <c r="D17" s="3250"/>
      <c r="E17" s="3250"/>
      <c r="F17" s="3251"/>
    </row>
    <row r="18" ht="14.25" spans="1:6">
      <c r="A18" s="467" t="s">
        <v>410</v>
      </c>
      <c r="B18" s="522">
        <f>ROUND(B17*F11/F12,2)</f>
        <v>5541.87</v>
      </c>
      <c r="C18" s="522">
        <f>ROUND(F11/F12,4)</f>
        <v>1.1522</v>
      </c>
      <c r="D18" s="3259"/>
      <c r="E18" s="3259"/>
      <c r="F18" s="3260"/>
    </row>
    <row r="19" ht="14.25"/>
    <row r="20" s="3243" customFormat="1" ht="14.25" spans="1:13">
      <c r="A20" s="3261" t="s">
        <v>413</v>
      </c>
      <c r="B20" s="3262"/>
      <c r="C20" s="3262"/>
      <c r="D20" s="3262"/>
      <c r="E20" s="3262"/>
      <c r="F20" s="3262"/>
      <c r="G20" s="3263"/>
      <c r="I20" s="3293" t="s">
        <v>414</v>
      </c>
      <c r="J20" s="3293" t="s">
        <v>415</v>
      </c>
      <c r="K20" s="3293"/>
      <c r="L20" s="3293"/>
      <c r="M20" s="3293"/>
    </row>
    <row r="21" spans="1:10">
      <c r="A21" s="3264"/>
      <c r="B21" s="3265" t="s">
        <v>416</v>
      </c>
      <c r="C21" s="3265" t="s">
        <v>395</v>
      </c>
      <c r="D21" s="3265" t="s">
        <v>417</v>
      </c>
      <c r="E21" s="3265" t="s">
        <v>396</v>
      </c>
      <c r="F21" s="3265" t="s">
        <v>418</v>
      </c>
      <c r="G21" s="3266" t="s">
        <v>419</v>
      </c>
      <c r="I21" s="3245">
        <v>5</v>
      </c>
      <c r="J21" s="3245">
        <v>54.2</v>
      </c>
    </row>
    <row r="22" spans="1:11">
      <c r="A22" s="3264" t="s">
        <v>420</v>
      </c>
      <c r="B22" s="3267">
        <v>70</v>
      </c>
      <c r="C22" s="3267">
        <v>30</v>
      </c>
      <c r="D22" s="3268">
        <v>0.04</v>
      </c>
      <c r="E22" s="3265">
        <f>ROUND(POWER(1+D22,B22-C22)*(POWER(1+D22,C22)-1)/(POWER(1+D22,B22)-1),3)</f>
        <v>0.739</v>
      </c>
      <c r="F22" s="3268">
        <v>0.7</v>
      </c>
      <c r="G22" s="3266">
        <f>ROUND(100*(1-(1-E22)*F22),1)</f>
        <v>81.7</v>
      </c>
      <c r="I22" s="3245">
        <v>10</v>
      </c>
      <c r="J22" s="3245">
        <v>65.4</v>
      </c>
      <c r="K22" s="3245">
        <f>J22-J21</f>
        <v>11.2</v>
      </c>
    </row>
    <row r="23" spans="1:14">
      <c r="A23" s="3264" t="s">
        <v>421</v>
      </c>
      <c r="B23" s="3267">
        <v>70</v>
      </c>
      <c r="C23" s="3267">
        <v>40</v>
      </c>
      <c r="D23" s="3268">
        <v>0.04</v>
      </c>
      <c r="E23" s="3265">
        <f t="shared" ref="E23:E25" si="0">ROUND(POWER(1+D23,B23-C23)*(POWER(1+D23,C23)-1)/(POWER(1+D23,B23)-1),3)</f>
        <v>0.846</v>
      </c>
      <c r="F23" s="3268">
        <f>F22</f>
        <v>0.7</v>
      </c>
      <c r="G23" s="3266">
        <f t="shared" ref="G23:G25" si="1">ROUND(100*(1-(1-E23)*F23),1)</f>
        <v>89.2</v>
      </c>
      <c r="I23" s="3245">
        <v>15</v>
      </c>
      <c r="J23" s="3245">
        <v>74.1</v>
      </c>
      <c r="K23" s="3245">
        <f t="shared" ref="K23:K30" si="2">J23-J22</f>
        <v>8.69999999999999</v>
      </c>
      <c r="L23" s="3245" t="s">
        <v>422</v>
      </c>
      <c r="N23" s="3294" t="s">
        <v>423</v>
      </c>
    </row>
    <row r="24" spans="1:14">
      <c r="A24" s="3264" t="s">
        <v>424</v>
      </c>
      <c r="B24" s="3267">
        <v>70</v>
      </c>
      <c r="C24" s="3267">
        <v>50</v>
      </c>
      <c r="D24" s="3268">
        <v>0.04</v>
      </c>
      <c r="E24" s="3265">
        <f t="shared" si="0"/>
        <v>0.918</v>
      </c>
      <c r="F24" s="3268">
        <f>F23</f>
        <v>0.7</v>
      </c>
      <c r="G24" s="3266">
        <f t="shared" si="1"/>
        <v>94.3</v>
      </c>
      <c r="I24" s="3245">
        <v>20</v>
      </c>
      <c r="J24" s="3245">
        <v>81</v>
      </c>
      <c r="K24" s="3245">
        <f t="shared" si="2"/>
        <v>6.90000000000001</v>
      </c>
      <c r="L24" s="3245" t="s">
        <v>425</v>
      </c>
      <c r="N24" s="3294">
        <v>10</v>
      </c>
    </row>
    <row r="25" spans="1:14">
      <c r="A25" s="3264" t="s">
        <v>426</v>
      </c>
      <c r="B25" s="3267">
        <v>70</v>
      </c>
      <c r="C25" s="3267">
        <v>60</v>
      </c>
      <c r="D25" s="3268">
        <v>0.04</v>
      </c>
      <c r="E25" s="3265">
        <f t="shared" si="0"/>
        <v>0.967</v>
      </c>
      <c r="F25" s="3268">
        <f>F24</f>
        <v>0.7</v>
      </c>
      <c r="G25" s="3266">
        <f t="shared" si="1"/>
        <v>97.7</v>
      </c>
      <c r="I25" s="3245">
        <v>25</v>
      </c>
      <c r="J25" s="3245">
        <v>86.3</v>
      </c>
      <c r="K25" s="3245">
        <f t="shared" si="2"/>
        <v>5.3</v>
      </c>
      <c r="L25" s="3245" t="s">
        <v>427</v>
      </c>
      <c r="N25" s="3294">
        <v>8</v>
      </c>
    </row>
    <row r="26" spans="1:14">
      <c r="A26" s="72"/>
      <c r="B26" s="73"/>
      <c r="C26" s="73"/>
      <c r="D26" s="73"/>
      <c r="E26" s="73"/>
      <c r="F26" s="73"/>
      <c r="G26" s="3269"/>
      <c r="I26" s="3245">
        <v>30</v>
      </c>
      <c r="J26" s="3245">
        <v>90.5</v>
      </c>
      <c r="K26" s="3245">
        <f t="shared" si="2"/>
        <v>4.2</v>
      </c>
      <c r="L26" s="3245" t="s">
        <v>428</v>
      </c>
      <c r="N26" s="3294">
        <v>5</v>
      </c>
    </row>
    <row r="27" spans="1:14">
      <c r="A27" s="72" t="s">
        <v>429</v>
      </c>
      <c r="B27" s="73"/>
      <c r="C27" s="73"/>
      <c r="D27" s="73"/>
      <c r="E27" s="73"/>
      <c r="F27" s="73"/>
      <c r="G27" s="3269"/>
      <c r="I27" s="3245">
        <v>35</v>
      </c>
      <c r="J27" s="3245">
        <v>93.8</v>
      </c>
      <c r="K27" s="3245">
        <f t="shared" si="2"/>
        <v>3.3</v>
      </c>
      <c r="L27" s="3245" t="s">
        <v>430</v>
      </c>
      <c r="N27" s="3294">
        <v>3</v>
      </c>
    </row>
    <row r="28" spans="1:14">
      <c r="A28" s="72" t="s">
        <v>431</v>
      </c>
      <c r="B28" s="73"/>
      <c r="C28" s="73"/>
      <c r="D28" s="73"/>
      <c r="E28" s="73"/>
      <c r="F28" s="73"/>
      <c r="G28" s="3269"/>
      <c r="I28" s="3245">
        <v>40</v>
      </c>
      <c r="J28" s="3245">
        <v>96.4</v>
      </c>
      <c r="K28" s="3245">
        <f t="shared" si="2"/>
        <v>2.60000000000001</v>
      </c>
      <c r="L28" s="3245" t="s">
        <v>432</v>
      </c>
      <c r="N28" s="3294">
        <v>2</v>
      </c>
    </row>
    <row r="29" spans="1:11">
      <c r="A29" s="72" t="s">
        <v>433</v>
      </c>
      <c r="B29" s="73"/>
      <c r="C29" s="73"/>
      <c r="D29" s="73"/>
      <c r="E29" s="73"/>
      <c r="F29" s="73"/>
      <c r="G29" s="3269"/>
      <c r="I29" s="3245">
        <v>45</v>
      </c>
      <c r="J29" s="3245">
        <v>98.4</v>
      </c>
      <c r="K29" s="3245">
        <f t="shared" si="2"/>
        <v>2</v>
      </c>
    </row>
    <row r="30" spans="1:11">
      <c r="A30" s="72" t="s">
        <v>434</v>
      </c>
      <c r="B30" s="73"/>
      <c r="C30" s="73"/>
      <c r="D30" s="73"/>
      <c r="E30" s="73"/>
      <c r="F30" s="73"/>
      <c r="G30" s="3269"/>
      <c r="I30" s="3245">
        <v>50</v>
      </c>
      <c r="J30" s="3245">
        <v>100</v>
      </c>
      <c r="K30" s="3245">
        <f t="shared" si="2"/>
        <v>1.59999999999999</v>
      </c>
    </row>
    <row r="31" spans="1:9">
      <c r="A31" s="72" t="s">
        <v>435</v>
      </c>
      <c r="B31" s="73"/>
      <c r="C31" s="73"/>
      <c r="D31" s="73"/>
      <c r="E31" s="73"/>
      <c r="F31" s="73"/>
      <c r="G31" s="3269"/>
      <c r="I31" s="3245" t="s">
        <v>436</v>
      </c>
    </row>
    <row r="32" spans="1:7">
      <c r="A32" s="72" t="s">
        <v>437</v>
      </c>
      <c r="B32" s="73"/>
      <c r="C32" s="73"/>
      <c r="D32" s="73"/>
      <c r="E32" s="73"/>
      <c r="F32" s="73"/>
      <c r="G32" s="3269"/>
    </row>
    <row r="33" spans="1:10">
      <c r="A33" s="72" t="s">
        <v>438</v>
      </c>
      <c r="B33" s="73"/>
      <c r="C33" s="73"/>
      <c r="D33" s="73"/>
      <c r="E33" s="73"/>
      <c r="F33" s="73"/>
      <c r="G33" s="3269"/>
      <c r="I33" s="3245" t="s">
        <v>414</v>
      </c>
      <c r="J33" s="3245" t="s">
        <v>439</v>
      </c>
    </row>
    <row r="34" spans="1:10">
      <c r="A34" s="72" t="s">
        <v>440</v>
      </c>
      <c r="B34" s="73"/>
      <c r="C34" s="73"/>
      <c r="D34" s="73"/>
      <c r="E34" s="73"/>
      <c r="F34" s="73"/>
      <c r="G34" s="3269"/>
      <c r="I34" s="3245">
        <v>5</v>
      </c>
      <c r="J34" s="3245">
        <v>55.1</v>
      </c>
    </row>
    <row r="35" spans="1:11">
      <c r="A35" s="72" t="s">
        <v>441</v>
      </c>
      <c r="B35" s="73"/>
      <c r="C35" s="73"/>
      <c r="D35" s="73"/>
      <c r="E35" s="73"/>
      <c r="F35" s="73"/>
      <c r="G35" s="3269"/>
      <c r="I35" s="3245">
        <v>10</v>
      </c>
      <c r="J35" s="3245">
        <v>67</v>
      </c>
      <c r="K35" s="3245">
        <f>J35-J34</f>
        <v>11.9</v>
      </c>
    </row>
    <row r="36" spans="1:14">
      <c r="A36" s="72" t="s">
        <v>442</v>
      </c>
      <c r="B36" s="73"/>
      <c r="C36" s="73"/>
      <c r="D36" s="73"/>
      <c r="E36" s="73"/>
      <c r="F36" s="73"/>
      <c r="G36" s="3269"/>
      <c r="I36" s="3245">
        <v>15</v>
      </c>
      <c r="J36" s="3245">
        <v>76.3</v>
      </c>
      <c r="K36" s="3245">
        <f t="shared" ref="K36:K41" si="3">J36-J35</f>
        <v>9.3</v>
      </c>
      <c r="L36" s="3245" t="s">
        <v>422</v>
      </c>
      <c r="N36" s="3294" t="s">
        <v>423</v>
      </c>
    </row>
    <row r="37" spans="1:14">
      <c r="A37" s="72" t="s">
        <v>443</v>
      </c>
      <c r="B37" s="73"/>
      <c r="C37" s="73"/>
      <c r="D37" s="73"/>
      <c r="E37" s="73"/>
      <c r="F37" s="73"/>
      <c r="G37" s="3269"/>
      <c r="I37" s="3245">
        <v>20</v>
      </c>
      <c r="J37" s="3245">
        <v>83.6</v>
      </c>
      <c r="K37" s="3245">
        <f t="shared" si="3"/>
        <v>7.3</v>
      </c>
      <c r="L37" s="3245" t="s">
        <v>425</v>
      </c>
      <c r="N37" s="3294">
        <v>10</v>
      </c>
    </row>
    <row r="38" spans="1:14">
      <c r="A38" s="72" t="s">
        <v>444</v>
      </c>
      <c r="B38" s="73"/>
      <c r="C38" s="73"/>
      <c r="D38" s="73"/>
      <c r="E38" s="73"/>
      <c r="F38" s="73"/>
      <c r="G38" s="3269"/>
      <c r="I38" s="3245">
        <v>25</v>
      </c>
      <c r="J38" s="3245">
        <v>89.3</v>
      </c>
      <c r="K38" s="3245">
        <f t="shared" si="3"/>
        <v>5.7</v>
      </c>
      <c r="L38" s="3245" t="s">
        <v>427</v>
      </c>
      <c r="N38" s="3294">
        <v>8</v>
      </c>
    </row>
    <row r="39" spans="1:14">
      <c r="A39" s="72"/>
      <c r="B39" s="73"/>
      <c r="C39" s="73"/>
      <c r="D39" s="73"/>
      <c r="E39" s="73"/>
      <c r="F39" s="73"/>
      <c r="G39" s="3269"/>
      <c r="I39" s="3245">
        <v>30</v>
      </c>
      <c r="J39" s="3245">
        <v>93.8</v>
      </c>
      <c r="K39" s="3245">
        <f t="shared" si="3"/>
        <v>4.5</v>
      </c>
      <c r="L39" s="3245" t="s">
        <v>428</v>
      </c>
      <c r="N39" s="3294">
        <v>6</v>
      </c>
    </row>
    <row r="40" spans="1:14">
      <c r="A40" s="3270" t="s">
        <v>445</v>
      </c>
      <c r="B40" s="3271"/>
      <c r="C40" s="3271"/>
      <c r="D40" s="3271"/>
      <c r="E40" s="3271"/>
      <c r="F40" s="3271"/>
      <c r="G40" s="3272"/>
      <c r="I40" s="3245">
        <v>35</v>
      </c>
      <c r="J40" s="3245">
        <v>97.2</v>
      </c>
      <c r="K40" s="3245">
        <f t="shared" si="3"/>
        <v>3.40000000000001</v>
      </c>
      <c r="L40" s="3245" t="s">
        <v>430</v>
      </c>
      <c r="N40" s="3294">
        <v>3</v>
      </c>
    </row>
    <row r="41" spans="1:11">
      <c r="A41" s="3273" t="s">
        <v>446</v>
      </c>
      <c r="B41" s="3274" t="s">
        <v>447</v>
      </c>
      <c r="C41" s="3275" t="s">
        <v>448</v>
      </c>
      <c r="D41" s="3275" t="s">
        <v>449</v>
      </c>
      <c r="E41" s="3276"/>
      <c r="F41" s="3277"/>
      <c r="G41" s="3278"/>
      <c r="I41" s="3245">
        <v>40</v>
      </c>
      <c r="J41" s="3245">
        <v>100</v>
      </c>
      <c r="K41" s="3245">
        <f t="shared" si="3"/>
        <v>2.8</v>
      </c>
    </row>
    <row r="42" spans="1:7">
      <c r="A42" s="3273" t="s">
        <v>233</v>
      </c>
      <c r="B42" s="3274" t="s">
        <v>450</v>
      </c>
      <c r="C42" s="3275" t="s">
        <v>450</v>
      </c>
      <c r="D42" s="3279" t="s">
        <v>451</v>
      </c>
      <c r="E42" s="3271" t="s">
        <v>452</v>
      </c>
      <c r="F42" s="3271"/>
      <c r="G42" s="3272"/>
    </row>
    <row r="43" spans="1:10">
      <c r="A43" s="3273" t="s">
        <v>232</v>
      </c>
      <c r="B43" s="3274" t="s">
        <v>453</v>
      </c>
      <c r="C43" s="3275" t="s">
        <v>454</v>
      </c>
      <c r="D43" s="3275" t="s">
        <v>455</v>
      </c>
      <c r="E43" s="3276" t="s">
        <v>456</v>
      </c>
      <c r="F43" s="3277"/>
      <c r="G43" s="3278"/>
      <c r="I43" s="3245" t="s">
        <v>414</v>
      </c>
      <c r="J43" s="3245" t="s">
        <v>457</v>
      </c>
    </row>
    <row r="44" spans="1:10">
      <c r="A44" s="3273" t="s">
        <v>458</v>
      </c>
      <c r="B44" s="3274" t="s">
        <v>459</v>
      </c>
      <c r="C44" s="3275" t="s">
        <v>460</v>
      </c>
      <c r="D44" s="3279">
        <v>0.5</v>
      </c>
      <c r="E44" s="3276" t="s">
        <v>461</v>
      </c>
      <c r="F44" s="3277"/>
      <c r="G44" s="3278"/>
      <c r="I44" s="3245">
        <v>30</v>
      </c>
      <c r="J44" s="3245">
        <v>81.7</v>
      </c>
    </row>
    <row r="45" ht="14.25" spans="1:11">
      <c r="A45" s="3280" t="s">
        <v>462</v>
      </c>
      <c r="B45" s="3281" t="s">
        <v>450</v>
      </c>
      <c r="C45" s="3282" t="s">
        <v>450</v>
      </c>
      <c r="D45" s="3282" t="s">
        <v>463</v>
      </c>
      <c r="E45" s="3283" t="s">
        <v>464</v>
      </c>
      <c r="F45" s="3283"/>
      <c r="G45" s="3284"/>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25"/>
    <row r="49" spans="1:1">
      <c r="A49" s="3246" t="s">
        <v>465</v>
      </c>
    </row>
    <row r="50" spans="1:4">
      <c r="A50" s="3258" t="s">
        <v>466</v>
      </c>
      <c r="B50" s="3258" t="s">
        <v>467</v>
      </c>
      <c r="C50" s="3258" t="s">
        <v>468</v>
      </c>
      <c r="D50" s="3258" t="s">
        <v>469</v>
      </c>
    </row>
    <row r="51" spans="1:4">
      <c r="A51" s="3258" t="s">
        <v>470</v>
      </c>
      <c r="B51" s="3258">
        <f>B52+B53</f>
        <v>15000</v>
      </c>
      <c r="C51" s="3285">
        <f>D51/B51</f>
        <v>2666.66666666667</v>
      </c>
      <c r="D51" s="3258">
        <f>D52+D53</f>
        <v>40000000</v>
      </c>
    </row>
    <row r="52" spans="1:4">
      <c r="A52" s="3286" t="s">
        <v>471</v>
      </c>
      <c r="B52" s="3287">
        <v>10000</v>
      </c>
      <c r="C52" s="3287">
        <v>1500</v>
      </c>
      <c r="D52" s="3286">
        <f>C52*B52</f>
        <v>15000000</v>
      </c>
    </row>
    <row r="53" spans="1:4">
      <c r="A53" s="3286" t="s">
        <v>472</v>
      </c>
      <c r="B53" s="3287">
        <v>5000</v>
      </c>
      <c r="C53" s="3287">
        <v>5000</v>
      </c>
      <c r="D53" s="3286">
        <f>C53*B53</f>
        <v>25000000</v>
      </c>
    </row>
    <row r="54" spans="1:4">
      <c r="A54" s="3258" t="s">
        <v>473</v>
      </c>
      <c r="B54" s="3258">
        <f>B51</f>
        <v>15000</v>
      </c>
      <c r="C54" s="3256">
        <v>700</v>
      </c>
      <c r="D54" s="3258">
        <f t="shared" ref="D54:D55" si="5">C54*B54</f>
        <v>10500000</v>
      </c>
    </row>
    <row r="55" spans="1:4">
      <c r="A55" s="3258" t="s">
        <v>474</v>
      </c>
      <c r="B55" s="3258">
        <f>B51</f>
        <v>15000</v>
      </c>
      <c r="C55" s="3256">
        <v>1500</v>
      </c>
      <c r="D55" s="3258">
        <f t="shared" si="5"/>
        <v>22500000</v>
      </c>
    </row>
    <row r="56" spans="1:4">
      <c r="A56" s="3258" t="s">
        <v>475</v>
      </c>
      <c r="B56" s="3258">
        <f>B51</f>
        <v>15000</v>
      </c>
      <c r="C56" s="3288">
        <f>C51+C54+C55</f>
        <v>4866.66666666667</v>
      </c>
      <c r="D56" s="3258">
        <f>D51+D54+D55</f>
        <v>73000000</v>
      </c>
    </row>
    <row r="58" spans="1:4">
      <c r="A58" s="3258" t="s">
        <v>476</v>
      </c>
      <c r="B58" s="3289">
        <v>0.05</v>
      </c>
      <c r="C58" s="3258">
        <f>C56*(1+B58)</f>
        <v>5110</v>
      </c>
      <c r="D58" s="3258">
        <f>D56*B58</f>
        <v>3650000</v>
      </c>
    </row>
    <row r="60" spans="1:4">
      <c r="A60" s="3258" t="s">
        <v>477</v>
      </c>
      <c r="B60" s="3256">
        <v>3500</v>
      </c>
      <c r="C60" s="3256">
        <f>C53</f>
        <v>5000</v>
      </c>
      <c r="D60" s="3258">
        <f>C60*B60</f>
        <v>17500000</v>
      </c>
    </row>
    <row r="62" spans="1:4">
      <c r="A62" s="3258" t="s">
        <v>392</v>
      </c>
      <c r="B62" s="3256">
        <f>B51</f>
        <v>15000</v>
      </c>
      <c r="C62" s="3290">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3" customWidth="1"/>
    <col min="10" max="10" width="10" style="2949" customWidth="1"/>
    <col min="11" max="11" width="10" style="3104" customWidth="1"/>
    <col min="12" max="13" width="10" style="3105" customWidth="1"/>
    <col min="14" max="14" width="10" style="2949" customWidth="1"/>
    <col min="15" max="15" width="10" style="531" customWidth="1"/>
    <col min="16" max="17" width="10" style="2949"/>
    <col min="18" max="18" width="10" style="2949" customWidth="1"/>
    <col min="19" max="30" width="10" style="2949"/>
    <col min="31" max="16384" width="10" style="2773"/>
  </cols>
  <sheetData>
    <row r="1" ht="13.5" spans="1:28">
      <c r="A1" s="3106" t="s">
        <v>478</v>
      </c>
      <c r="B1" s="3107" t="str">
        <f>IF(B10="北京市","北京市",C10)&amp;F10&amp;IF(结果表办公!G1="在建","出让国有建设用地使用权及在建建筑物",IF(结果表办公!G1="土地","出让国有建设用地使用权",))&amp;B9&amp;"预评估"</f>
        <v>北京市房地产抵押价值预评估</v>
      </c>
      <c r="C1" s="3108"/>
      <c r="D1" s="3108"/>
      <c r="E1" s="3108"/>
      <c r="F1" s="3108"/>
      <c r="G1" s="3108"/>
      <c r="H1" s="3108"/>
      <c r="I1" s="3216"/>
      <c r="J1" s="2734"/>
      <c r="K1" s="3207"/>
      <c r="L1" s="3217"/>
      <c r="M1" s="3217"/>
      <c r="N1" s="3109"/>
      <c r="O1" s="1420"/>
      <c r="P1" s="3109"/>
      <c r="Q1" s="3109"/>
      <c r="R1" s="3109"/>
      <c r="S1" s="1267" t="str">
        <f>IF(B10="北京市","北京市",C10)&amp;F10&amp;IF(结果表办公!G1="在建","出让国有建设用地使用权及在建建筑物房地产抵押价值",IF(结果表办公!G1="土地","出让国有建设用地使用权抵押价值",B9))</f>
        <v>北京市房地产抵押价值</v>
      </c>
      <c r="T1" s="2773"/>
      <c r="U1" s="2773"/>
      <c r="V1" s="2773"/>
      <c r="W1" s="2773"/>
      <c r="X1" s="2773"/>
      <c r="Y1" s="2773"/>
      <c r="Z1" s="2773"/>
      <c r="AA1" s="2773"/>
      <c r="AB1" s="2773"/>
    </row>
    <row r="2" spans="1:28">
      <c r="A2" s="3109" t="s">
        <v>479</v>
      </c>
      <c r="B2" s="533"/>
      <c r="D2" s="3110"/>
      <c r="E2" s="3111"/>
      <c r="F2" s="3111"/>
      <c r="G2" s="2872"/>
      <c r="H2" s="2872"/>
      <c r="I2" s="2872"/>
      <c r="J2" s="2734"/>
      <c r="K2" s="3207"/>
      <c r="L2" s="3217"/>
      <c r="M2" s="3217"/>
      <c r="N2" s="3109"/>
      <c r="O2" s="1420"/>
      <c r="P2" s="3109"/>
      <c r="Q2" s="3109"/>
      <c r="R2" s="3109"/>
      <c r="S2" s="1267" t="str">
        <f>IF(B10="北京市","北京市",C10)&amp;F10&amp;IF(结果表办公!G1="在建","出让国有建设用地使用权及在建建筑物房地产",IF(结果表办公!G1="土地","出让国有建设用地使用权","房地产"))</f>
        <v>北京市房地产</v>
      </c>
      <c r="T2" s="2773"/>
      <c r="U2" s="2773"/>
      <c r="V2" s="2773"/>
      <c r="W2" s="2773"/>
      <c r="X2" s="2773"/>
      <c r="Y2" s="2773"/>
      <c r="Z2" s="2773"/>
      <c r="AA2" s="2773"/>
      <c r="AB2" s="2773"/>
    </row>
    <row r="3" spans="1:28">
      <c r="A3" s="688" t="s">
        <v>480</v>
      </c>
      <c r="B3" s="3112"/>
      <c r="C3" s="3113" t="s">
        <v>481</v>
      </c>
      <c r="D3" s="3112">
        <v>45852</v>
      </c>
      <c r="E3" s="2872"/>
      <c r="F3" s="2872"/>
      <c r="G3" s="2872"/>
      <c r="H3" s="2872"/>
      <c r="I3" s="2872"/>
      <c r="J3" s="2734"/>
      <c r="K3" s="3207"/>
      <c r="L3" s="3217"/>
      <c r="M3" s="3217"/>
      <c r="N3" s="3109"/>
      <c r="O3" s="1420"/>
      <c r="P3" s="3109"/>
      <c r="Q3" s="3109"/>
      <c r="R3" s="3109"/>
      <c r="S3" s="1267"/>
      <c r="T3" s="2773"/>
      <c r="U3" s="2773"/>
      <c r="V3" s="2773"/>
      <c r="W3" s="2773"/>
      <c r="X3" s="2773"/>
      <c r="Y3" s="2773"/>
      <c r="Z3" s="2773"/>
      <c r="AA3" s="2773"/>
      <c r="AB3" s="2773"/>
    </row>
    <row r="4" ht="13.5" spans="1:28">
      <c r="A4" s="712" t="s">
        <v>482</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34"/>
      <c r="K4" s="1399" t="str">
        <f ca="1">CONCATENATE(B4,"（注册号：",C4,")、",D4,"（注册号：",E4,")")</f>
        <v>（注册号：0)、（注册号：0)</v>
      </c>
      <c r="L4" s="3217"/>
      <c r="M4" s="3217"/>
      <c r="N4" s="3109"/>
      <c r="O4" s="1420"/>
      <c r="P4" s="3109"/>
      <c r="Q4" s="3109"/>
      <c r="R4" s="3109"/>
      <c r="S4" s="1267"/>
      <c r="T4" s="2773"/>
      <c r="U4" s="2773"/>
      <c r="V4" s="2773"/>
      <c r="W4" s="2773"/>
      <c r="X4" s="2773"/>
      <c r="Y4" s="2773"/>
      <c r="Z4" s="2773"/>
      <c r="AA4" s="2773"/>
      <c r="AB4" s="2773"/>
    </row>
    <row r="5" ht="13.5" spans="1:28">
      <c r="A5" s="3116" t="s">
        <v>483</v>
      </c>
      <c r="B5" s="3117"/>
      <c r="C5" s="3118"/>
      <c r="D5" s="3119"/>
      <c r="E5" s="2872"/>
      <c r="F5" s="2872"/>
      <c r="G5" s="2872"/>
      <c r="H5" s="2872"/>
      <c r="I5" s="2872"/>
      <c r="J5" s="2734"/>
      <c r="K5" s="1399" t="str">
        <f ca="1">IF(F4="——","",IF(H4="——",F4&amp;"（注册号："&amp;G4&amp;")",CONCATENATE(F4,"（注册号：",G4,")、",H4,"（注册号：",I4,")")))</f>
        <v>（注册号：0)、（注册号：0)</v>
      </c>
      <c r="L5" s="3217"/>
      <c r="M5" s="3217"/>
      <c r="N5" s="3109"/>
      <c r="O5" s="1420"/>
      <c r="P5" s="3109"/>
      <c r="Q5" s="3109"/>
      <c r="R5" s="3109"/>
      <c r="S5" s="2773"/>
      <c r="T5" s="2773"/>
      <c r="U5" s="2773"/>
      <c r="V5" s="2773"/>
      <c r="W5" s="2773"/>
      <c r="X5" s="2773"/>
      <c r="Y5" s="2773"/>
      <c r="Z5" s="2773"/>
      <c r="AA5" s="2773"/>
      <c r="AB5" s="2773"/>
    </row>
    <row r="6" spans="1:18">
      <c r="A6" s="3120" t="s">
        <v>484</v>
      </c>
      <c r="B6" s="3121"/>
      <c r="C6" s="3122"/>
      <c r="D6" s="3123"/>
      <c r="E6" s="3111"/>
      <c r="F6" s="2872"/>
      <c r="G6" s="2872"/>
      <c r="H6" s="2872"/>
      <c r="I6" s="2872"/>
      <c r="J6" s="2734"/>
      <c r="K6" s="3218" t="str">
        <f>IF(COUNTIF(B6,"*上海银行*"),"上海银行","")</f>
        <v/>
      </c>
      <c r="L6" s="3219"/>
      <c r="M6" s="3219"/>
      <c r="N6" s="2734"/>
      <c r="O6" s="1421"/>
      <c r="P6" s="2734"/>
      <c r="Q6" s="2734"/>
      <c r="R6" s="2734"/>
    </row>
    <row r="7" spans="1:18">
      <c r="A7" s="3120" t="s">
        <v>485</v>
      </c>
      <c r="B7" s="3124"/>
      <c r="C7" s="3122"/>
      <c r="D7" s="3123"/>
      <c r="E7" s="3111"/>
      <c r="F7" s="2872"/>
      <c r="G7" s="2872"/>
      <c r="H7" s="2872"/>
      <c r="I7" s="2872"/>
      <c r="J7" s="2734"/>
      <c r="K7" s="3220"/>
      <c r="L7" s="3219"/>
      <c r="M7" s="3219"/>
      <c r="N7" s="2734"/>
      <c r="O7" s="1421"/>
      <c r="P7" s="2734"/>
      <c r="Q7" s="2734"/>
      <c r="R7" s="2734"/>
    </row>
    <row r="8" spans="1:18">
      <c r="A8" s="3125" t="s">
        <v>486</v>
      </c>
      <c r="B8" s="3126" t="s">
        <v>367</v>
      </c>
      <c r="C8" s="3127"/>
      <c r="D8" s="3128" t="s">
        <v>487</v>
      </c>
      <c r="E8" s="3129" t="s">
        <v>372</v>
      </c>
      <c r="F8" s="3130"/>
      <c r="G8" s="2872"/>
      <c r="H8" s="2872"/>
      <c r="I8" s="2872"/>
      <c r="J8" s="2734"/>
      <c r="K8" s="3221"/>
      <c r="L8" s="3219"/>
      <c r="M8" s="3219"/>
      <c r="N8" s="2734"/>
      <c r="O8" s="1421"/>
      <c r="P8" s="2734"/>
      <c r="Q8" s="2734"/>
      <c r="R8" s="2734"/>
    </row>
    <row r="9" ht="13.5" spans="1:18">
      <c r="A9" s="3131" t="s">
        <v>488</v>
      </c>
      <c r="B9" s="3132" t="s">
        <v>372</v>
      </c>
      <c r="C9" s="3133"/>
      <c r="D9" s="3134"/>
      <c r="E9" s="3132" t="s">
        <v>378</v>
      </c>
      <c r="F9" s="3135"/>
      <c r="G9" s="3136"/>
      <c r="H9" s="3136"/>
      <c r="I9" s="3136"/>
      <c r="J9" s="2734"/>
      <c r="K9" s="3220"/>
      <c r="L9" s="3219"/>
      <c r="M9" s="3219"/>
      <c r="N9" s="2734"/>
      <c r="O9" s="1421"/>
      <c r="P9" s="2734"/>
      <c r="Q9" s="2734"/>
      <c r="R9" s="2734"/>
    </row>
    <row r="10" ht="13.5" spans="1:18">
      <c r="A10" s="3137" t="s">
        <v>489</v>
      </c>
      <c r="B10" s="3138" t="s">
        <v>490</v>
      </c>
      <c r="C10" s="3139"/>
      <c r="D10" s="3119"/>
      <c r="E10" s="3140" t="s">
        <v>491</v>
      </c>
      <c r="F10" s="3141"/>
      <c r="G10" s="3142"/>
      <c r="H10" s="3143"/>
      <c r="I10" s="3222"/>
      <c r="J10" s="2734"/>
      <c r="K10" s="3220"/>
      <c r="L10" s="3219"/>
      <c r="M10" s="3219"/>
      <c r="N10" s="2734"/>
      <c r="O10" s="1421"/>
      <c r="P10" s="2734"/>
      <c r="Q10" s="2734"/>
      <c r="R10" s="2734"/>
    </row>
    <row r="11" spans="1:18">
      <c r="A11" s="3144" t="s">
        <v>492</v>
      </c>
      <c r="B11" s="3145" t="s">
        <v>493</v>
      </c>
      <c r="C11" s="3146"/>
      <c r="D11" s="3147"/>
      <c r="E11" s="3109"/>
      <c r="F11" s="3109"/>
      <c r="G11" s="3109"/>
      <c r="H11" s="3109"/>
      <c r="I11" s="3109"/>
      <c r="J11" s="3223"/>
      <c r="K11" s="3219"/>
      <c r="L11" s="3219"/>
      <c r="M11" s="3219"/>
      <c r="N11" s="2734"/>
      <c r="O11" s="1421"/>
      <c r="P11" s="2734"/>
      <c r="Q11" s="2734"/>
      <c r="R11" s="2734"/>
    </row>
    <row r="12" spans="1:30">
      <c r="A12" s="3148" t="s">
        <v>494</v>
      </c>
      <c r="B12" s="731" t="s">
        <v>495</v>
      </c>
      <c r="C12" s="3149" t="s">
        <v>496</v>
      </c>
      <c r="D12" s="3149" t="s">
        <v>497</v>
      </c>
      <c r="E12" s="3149" t="s">
        <v>498</v>
      </c>
      <c r="F12" s="3149" t="s">
        <v>499</v>
      </c>
      <c r="G12" s="3149" t="s">
        <v>500</v>
      </c>
      <c r="H12" s="3149" t="s">
        <v>501</v>
      </c>
      <c r="I12" s="3208" t="s">
        <v>231</v>
      </c>
      <c r="J12" s="3224"/>
      <c r="K12" s="3219"/>
      <c r="L12" s="3219"/>
      <c r="M12" s="2734"/>
      <c r="N12" s="1421"/>
      <c r="O12" s="2734"/>
      <c r="P12" s="2734"/>
      <c r="Q12" s="2734"/>
      <c r="AD12" s="2773"/>
    </row>
    <row r="13" spans="1:30">
      <c r="A13" s="3150" t="s">
        <v>502</v>
      </c>
      <c r="B13" s="3151" t="s">
        <v>503</v>
      </c>
      <c r="C13" s="3152"/>
      <c r="D13" s="3152"/>
      <c r="E13" s="3152">
        <v>58305</v>
      </c>
      <c r="F13" s="3152">
        <f>E13</f>
        <v>58305</v>
      </c>
      <c r="G13" s="3152">
        <f>E13</f>
        <v>58305</v>
      </c>
      <c r="H13" s="3152"/>
      <c r="I13" s="3152"/>
      <c r="J13" s="3224"/>
      <c r="K13" s="3219"/>
      <c r="L13" s="3219"/>
      <c r="M13" s="2734"/>
      <c r="N13" s="1421"/>
      <c r="O13" s="2734"/>
      <c r="P13" s="2734"/>
      <c r="Q13" s="2734"/>
      <c r="AD13" s="2773"/>
    </row>
    <row r="14" spans="1:30">
      <c r="A14" s="717"/>
      <c r="B14" s="3151" t="s">
        <v>504</v>
      </c>
      <c r="C14" s="3153"/>
      <c r="D14" s="3153"/>
      <c r="E14" s="3153">
        <v>50</v>
      </c>
      <c r="F14" s="3153">
        <v>50</v>
      </c>
      <c r="G14" s="3153">
        <v>50</v>
      </c>
      <c r="H14" s="3153"/>
      <c r="I14" s="3153"/>
      <c r="J14" s="3225"/>
      <c r="K14" s="3219"/>
      <c r="L14" s="3219"/>
      <c r="M14" s="2734"/>
      <c r="N14" s="1421"/>
      <c r="O14" s="2734"/>
      <c r="P14" s="2734"/>
      <c r="Q14" s="2734"/>
      <c r="AD14" s="2773"/>
    </row>
    <row r="15" spans="1:30">
      <c r="A15" s="724"/>
      <c r="B15" s="3154" t="s">
        <v>505</v>
      </c>
      <c r="C15" s="3155" t="str">
        <f>IF(A13="出让",IF(C13="","",ROUNDDOWN(MIN((C13-$D$3)/365,C14),2)),C14)</f>
        <v/>
      </c>
      <c r="D15" s="3155" t="str">
        <f>IF(A13="出让",IF(D13="","",ROUNDDOWN(MIN((D13-$D$3)/365,D14),2)),D14)</f>
        <v/>
      </c>
      <c r="E15" s="3155">
        <f>IF(A13="出让",IF(E13="","",ROUNDDOWN(MIN((E13-$D$3)/365,E14),2)),E14)</f>
        <v>34.11</v>
      </c>
      <c r="F15" s="3155">
        <f>IF(A13="出让",IF(F13="","",ROUNDDOWN(MIN((F13-$D$3)/365,F14),2)),F14)</f>
        <v>34.11</v>
      </c>
      <c r="G15" s="3155">
        <f>IF(A13="出让",IF(G13="","",ROUNDDOWN(MIN((G13-$D$3)/365,G14),2)),G14)</f>
        <v>34.11</v>
      </c>
      <c r="H15" s="3155" t="str">
        <f>IF(A13="出让",IF(H13="","",ROUNDDOWN(MIN((H13-$D$3)/365,H14),2)),H14)</f>
        <v/>
      </c>
      <c r="I15" s="3155" t="str">
        <f>IF(A13="出让",IF(I13="","",ROUNDDOWN(MIN((I13-$D$3)/365,I14),2)),I14)</f>
        <v/>
      </c>
      <c r="J15" s="3226"/>
      <c r="K15" s="1421"/>
      <c r="L15" s="1421"/>
      <c r="M15" s="2734"/>
      <c r="N15" s="1421"/>
      <c r="O15" s="2734"/>
      <c r="P15" s="2734"/>
      <c r="Q15" s="2734"/>
      <c r="AD15" s="2773"/>
    </row>
    <row r="16" spans="1:18">
      <c r="A16" s="3140" t="s">
        <v>506</v>
      </c>
      <c r="B16" s="3156"/>
      <c r="C16" s="3157"/>
      <c r="D16" s="3158"/>
      <c r="E16" s="3159" t="s">
        <v>507</v>
      </c>
      <c r="F16" s="3160"/>
      <c r="G16" s="3161"/>
      <c r="H16" s="3161"/>
      <c r="I16" s="3227"/>
      <c r="J16" s="2734"/>
      <c r="K16" s="3228"/>
      <c r="L16" s="1421"/>
      <c r="M16" s="1421"/>
      <c r="N16" s="2734"/>
      <c r="O16" s="1421"/>
      <c r="P16" s="2734"/>
      <c r="Q16" s="2734"/>
      <c r="R16" s="2734"/>
    </row>
    <row r="17" spans="1:22">
      <c r="A17" s="701" t="s">
        <v>508</v>
      </c>
      <c r="B17" s="688" t="s">
        <v>509</v>
      </c>
      <c r="C17" s="593">
        <f>'数据-汇总表'!E3</f>
        <v>165.59</v>
      </c>
      <c r="D17" s="743" t="s">
        <v>510</v>
      </c>
      <c r="E17" s="3162" t="s">
        <v>511</v>
      </c>
      <c r="F17" s="3163"/>
      <c r="G17" s="3163"/>
      <c r="H17" s="3163"/>
      <c r="I17" s="3229"/>
      <c r="J17" s="2734"/>
      <c r="K17" s="3230"/>
      <c r="L17" s="1421"/>
      <c r="M17" s="1421"/>
      <c r="N17" s="2734"/>
      <c r="O17" s="1421"/>
      <c r="P17" s="2734"/>
      <c r="Q17" s="2734"/>
      <c r="R17" s="2734"/>
      <c r="S17" s="2734"/>
      <c r="T17" s="2734"/>
      <c r="U17" s="2734"/>
      <c r="V17" s="2734"/>
    </row>
    <row r="18" ht="24.75" spans="1:22">
      <c r="A18" s="3164" t="s">
        <v>512</v>
      </c>
      <c r="B18" s="712" t="s">
        <v>513</v>
      </c>
      <c r="C18" s="3165">
        <f>'数据-汇总表'!D3</f>
        <v>0</v>
      </c>
      <c r="D18" s="736" t="s">
        <v>510</v>
      </c>
      <c r="E18" s="3166" t="s">
        <v>514</v>
      </c>
      <c r="F18" s="3167"/>
      <c r="G18" s="3167"/>
      <c r="H18" s="3167"/>
      <c r="I18" s="3231"/>
      <c r="J18" s="2734"/>
      <c r="K18" s="3230"/>
      <c r="L18" s="1421"/>
      <c r="M18" s="1421"/>
      <c r="N18" s="2734"/>
      <c r="O18" s="1421"/>
      <c r="P18" s="2734"/>
      <c r="Q18" s="2734"/>
      <c r="R18" s="2734"/>
      <c r="S18" s="2734"/>
      <c r="T18" s="2734"/>
      <c r="U18" s="2734"/>
      <c r="V18" s="2734"/>
    </row>
    <row r="19" ht="37.5" spans="1:22">
      <c r="A19" s="753" t="s">
        <v>515</v>
      </c>
      <c r="B19" s="693" t="s">
        <v>516</v>
      </c>
      <c r="C19" s="3168"/>
      <c r="D19" s="3169" t="s">
        <v>517</v>
      </c>
      <c r="E19" s="3170"/>
      <c r="F19" s="3171" t="str">
        <f>IF(AND(C19="是",E19="否"),"是否提供他项权证或相关说明","")</f>
        <v/>
      </c>
      <c r="G19" s="3172"/>
      <c r="H19" s="2872"/>
      <c r="I19" s="2872"/>
      <c r="J19" s="2734"/>
      <c r="K19" s="3220"/>
      <c r="L19" s="3219"/>
      <c r="M19" s="3219"/>
      <c r="N19" s="2734"/>
      <c r="O19" s="1421"/>
      <c r="P19" s="2734"/>
      <c r="Q19" s="2734"/>
      <c r="R19" s="2734"/>
      <c r="S19" s="2734"/>
      <c r="T19" s="2734"/>
      <c r="U19" s="2734"/>
      <c r="V19" s="2734"/>
    </row>
    <row r="20" spans="1:28">
      <c r="A20" s="3173" t="s">
        <v>518</v>
      </c>
      <c r="B20" s="3174" t="s">
        <v>519</v>
      </c>
      <c r="C20" s="3175"/>
      <c r="D20" s="3176" t="s">
        <v>520</v>
      </c>
      <c r="E20" s="3177"/>
      <c r="F20" s="3178" t="s">
        <v>521</v>
      </c>
      <c r="G20" s="2872"/>
      <c r="H20" s="2872"/>
      <c r="I20" s="2872"/>
      <c r="J20" s="2734"/>
      <c r="K20" s="3037"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1420"/>
      <c r="P20" s="3109"/>
      <c r="Q20" s="3109"/>
      <c r="R20" s="3109"/>
      <c r="S20" s="3109"/>
      <c r="T20" s="3109"/>
      <c r="U20" s="3109"/>
      <c r="V20" s="3109"/>
      <c r="W20" s="2773"/>
      <c r="X20" s="2773"/>
      <c r="Y20" s="2773"/>
      <c r="Z20" s="2773"/>
      <c r="AA20" s="2773"/>
      <c r="AB20" s="2773"/>
    </row>
    <row r="21" ht="24.75" spans="1:28">
      <c r="A21" s="3173"/>
      <c r="B21" s="3179" t="s">
        <v>523</v>
      </c>
      <c r="C21" s="2760" t="s">
        <v>524</v>
      </c>
      <c r="D21" s="3180" t="s">
        <v>525</v>
      </c>
      <c r="E21" s="3181" t="s">
        <v>524</v>
      </c>
      <c r="F21" s="3182"/>
      <c r="G21" s="2872"/>
      <c r="H21" s="2872"/>
      <c r="I21" s="2872"/>
      <c r="J21" s="2734"/>
      <c r="K21" s="3037"/>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1420"/>
      <c r="P21" s="3109"/>
      <c r="Q21" s="3109"/>
      <c r="R21" s="3109"/>
      <c r="S21" s="3109"/>
      <c r="T21" s="3109"/>
      <c r="U21" s="3109"/>
      <c r="V21" s="3109"/>
      <c r="W21" s="2773"/>
      <c r="X21" s="2773"/>
      <c r="Y21" s="2773"/>
      <c r="Z21" s="2773"/>
      <c r="AA21" s="2773"/>
      <c r="AB21" s="2773"/>
    </row>
    <row r="22" ht="24.75" spans="1:28">
      <c r="A22" s="3173"/>
      <c r="B22" s="3183" t="s">
        <v>526</v>
      </c>
      <c r="C22" s="2760" t="s">
        <v>527</v>
      </c>
      <c r="D22" s="2872"/>
      <c r="E22" s="2872"/>
      <c r="F22" s="2872"/>
      <c r="G22" s="2872"/>
      <c r="H22" s="2872"/>
      <c r="I22" s="2872"/>
      <c r="J22" s="2734"/>
      <c r="K22" s="3037"/>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1420"/>
      <c r="P22" s="3109"/>
      <c r="Q22" s="3109"/>
      <c r="R22" s="3109"/>
      <c r="S22" s="3109"/>
      <c r="T22" s="3109"/>
      <c r="U22" s="3109"/>
      <c r="V22" s="3109"/>
      <c r="W22" s="2773"/>
      <c r="X22" s="2773"/>
      <c r="Y22" s="2773"/>
      <c r="Z22" s="2773"/>
      <c r="AA22" s="2773"/>
      <c r="AB22" s="2773"/>
    </row>
    <row r="23" spans="1:22">
      <c r="A23" s="3184" t="s">
        <v>528</v>
      </c>
      <c r="B23" s="2757" t="s">
        <v>529</v>
      </c>
      <c r="C23" s="3185"/>
      <c r="D23" s="3186" t="s">
        <v>529</v>
      </c>
      <c r="E23" s="3187"/>
      <c r="F23" s="2872"/>
      <c r="G23" s="2872"/>
      <c r="H23" s="2872"/>
      <c r="I23" s="2872"/>
      <c r="J23" s="2734"/>
      <c r="K23" s="3218"/>
      <c r="L23" s="579"/>
      <c r="M23" s="3219"/>
      <c r="N23" s="2734"/>
      <c r="O23" s="1421"/>
      <c r="P23" s="2734"/>
      <c r="Q23" s="2734"/>
      <c r="R23" s="2734"/>
      <c r="S23" s="2734"/>
      <c r="T23" s="2734"/>
      <c r="U23" s="2734"/>
      <c r="V23" s="2734"/>
    </row>
    <row r="24" spans="1:22">
      <c r="A24" s="3184"/>
      <c r="B24" s="2757" t="s">
        <v>530</v>
      </c>
      <c r="C24" s="2733"/>
      <c r="D24" s="3184" t="s">
        <v>530</v>
      </c>
      <c r="E24" s="3188"/>
      <c r="F24" s="2872"/>
      <c r="G24" s="2872"/>
      <c r="H24" s="2872"/>
      <c r="I24" s="2872"/>
      <c r="J24" s="2734"/>
      <c r="K24" s="3218"/>
      <c r="L24" s="579"/>
      <c r="M24" s="3219"/>
      <c r="N24" s="2734"/>
      <c r="O24" s="1421"/>
      <c r="P24" s="2734"/>
      <c r="Q24" s="2734"/>
      <c r="R24" s="2734"/>
      <c r="S24" s="2734"/>
      <c r="T24" s="2734"/>
      <c r="U24" s="2734"/>
      <c r="V24" s="2734"/>
    </row>
    <row r="25" spans="1:22">
      <c r="A25" s="3184"/>
      <c r="B25" s="2757" t="s">
        <v>531</v>
      </c>
      <c r="C25" s="2733"/>
      <c r="D25" s="3184" t="s">
        <v>531</v>
      </c>
      <c r="E25" s="3188"/>
      <c r="F25" s="2872"/>
      <c r="G25" s="2872"/>
      <c r="H25" s="2872"/>
      <c r="I25" s="2872"/>
      <c r="J25" s="2734"/>
      <c r="K25" s="3220"/>
      <c r="L25" s="3219"/>
      <c r="M25" s="3219"/>
      <c r="N25" s="2734"/>
      <c r="O25" s="1421"/>
      <c r="P25" s="2734"/>
      <c r="Q25" s="2734"/>
      <c r="R25" s="2734"/>
      <c r="S25" s="2734"/>
      <c r="T25" s="2734"/>
      <c r="U25" s="2734"/>
      <c r="V25" s="2734"/>
    </row>
    <row r="26" ht="13.5" spans="1:22">
      <c r="A26" s="3189"/>
      <c r="B26" s="3190" t="s">
        <v>532</v>
      </c>
      <c r="C26" s="3191"/>
      <c r="D26" s="3189" t="s">
        <v>532</v>
      </c>
      <c r="E26" s="3192"/>
      <c r="F26" s="3136"/>
      <c r="G26" s="3136"/>
      <c r="H26" s="3136"/>
      <c r="I26" s="3136"/>
      <c r="J26" s="2734"/>
      <c r="K26" s="3220"/>
      <c r="L26" s="3219"/>
      <c r="M26" s="3219"/>
      <c r="N26" s="2734"/>
      <c r="O26" s="1421"/>
      <c r="P26" s="2734"/>
      <c r="Q26" s="2734"/>
      <c r="R26" s="2734"/>
      <c r="S26" s="2734"/>
      <c r="T26" s="2734"/>
      <c r="U26" s="2734"/>
      <c r="V26" s="2734"/>
    </row>
    <row r="27" ht="13.5" spans="1:22">
      <c r="A27" s="717" t="s">
        <v>533</v>
      </c>
      <c r="B27" s="724" t="s">
        <v>534</v>
      </c>
      <c r="C27" s="3193"/>
      <c r="D27" s="3194"/>
      <c r="E27" s="2872"/>
      <c r="F27" s="2872"/>
      <c r="G27" s="2872"/>
      <c r="H27" s="2872"/>
      <c r="I27" s="2872"/>
      <c r="J27" s="2734"/>
      <c r="K27" s="3228"/>
      <c r="L27" s="1421"/>
      <c r="M27" s="1421"/>
      <c r="N27" s="2734"/>
      <c r="O27" s="1421"/>
      <c r="P27" s="2734"/>
      <c r="Q27" s="2734"/>
      <c r="R27" s="2734"/>
      <c r="S27" s="2734"/>
      <c r="T27" s="2734"/>
      <c r="U27" s="2734"/>
      <c r="V27" s="2734"/>
    </row>
    <row r="28" spans="1:22">
      <c r="A28" s="717"/>
      <c r="B28" s="688" t="s">
        <v>535</v>
      </c>
      <c r="C28" s="3195"/>
      <c r="D28" s="3196"/>
      <c r="E28" s="2872"/>
      <c r="F28" s="2872"/>
      <c r="G28" s="2872"/>
      <c r="H28" s="2872"/>
      <c r="I28" s="2872"/>
      <c r="J28" s="2734"/>
      <c r="K28" s="3220"/>
      <c r="L28" s="3219"/>
      <c r="M28" s="3219"/>
      <c r="N28" s="2734"/>
      <c r="O28" s="1421"/>
      <c r="P28" s="2734"/>
      <c r="Q28" s="2734"/>
      <c r="R28" s="2734"/>
      <c r="S28" s="2734"/>
      <c r="T28" s="2734"/>
      <c r="U28" s="2734"/>
      <c r="V28" s="2734"/>
    </row>
    <row r="29" spans="1:22">
      <c r="A29" s="717"/>
      <c r="B29" s="688" t="s">
        <v>536</v>
      </c>
      <c r="C29" s="3197"/>
      <c r="D29" s="3198"/>
      <c r="E29" s="2872"/>
      <c r="F29" s="2872"/>
      <c r="G29" s="2872"/>
      <c r="H29" s="2872"/>
      <c r="I29" s="2872"/>
      <c r="J29" s="2734"/>
      <c r="K29" s="3220"/>
      <c r="L29" s="3219"/>
      <c r="M29" s="3219"/>
      <c r="N29" s="2734"/>
      <c r="O29" s="1421"/>
      <c r="P29" s="2734"/>
      <c r="Q29" s="2734"/>
      <c r="R29" s="2734"/>
      <c r="S29" s="2734"/>
      <c r="T29" s="2734"/>
      <c r="U29" s="2734"/>
      <c r="V29" s="2734"/>
    </row>
    <row r="30" spans="1:22">
      <c r="A30" s="724"/>
      <c r="B30" s="688" t="s">
        <v>537</v>
      </c>
      <c r="C30" s="3199"/>
      <c r="D30" s="3200"/>
      <c r="E30" s="2872"/>
      <c r="F30" s="2872"/>
      <c r="G30" s="2872"/>
      <c r="H30" s="2872"/>
      <c r="I30" s="2872"/>
      <c r="J30" s="2734"/>
      <c r="K30" s="3220"/>
      <c r="L30" s="3219"/>
      <c r="M30" s="3219"/>
      <c r="N30" s="2734"/>
      <c r="O30" s="1421"/>
      <c r="P30" s="2734"/>
      <c r="Q30" s="2734"/>
      <c r="R30" s="2734"/>
      <c r="S30" s="2734"/>
      <c r="T30" s="2734"/>
      <c r="U30" s="2734"/>
      <c r="V30" s="2734"/>
    </row>
    <row r="31" spans="1:22">
      <c r="A31" s="3201" t="s">
        <v>538</v>
      </c>
      <c r="B31" s="3202"/>
      <c r="C31" s="840" t="str">
        <f>IF(B31="现房","成新及维护状况正常否",IF(B31="在建","工程状态是否正常",IF(B31="土地","是否闲置","-")))</f>
        <v>-</v>
      </c>
      <c r="D31" s="1437"/>
      <c r="E31" s="3203"/>
      <c r="F31" s="2872"/>
      <c r="G31" s="2872"/>
      <c r="H31" s="2872"/>
      <c r="I31" s="2872"/>
      <c r="J31" s="2734"/>
      <c r="K31" s="3218"/>
      <c r="L31" s="3219"/>
      <c r="M31" s="3219"/>
      <c r="N31" s="2734"/>
      <c r="O31" s="1421"/>
      <c r="P31" s="2734"/>
      <c r="Q31" s="2734"/>
      <c r="R31" s="2734"/>
      <c r="S31" s="2734"/>
      <c r="T31" s="2734"/>
      <c r="U31" s="2734"/>
      <c r="V31" s="2734"/>
    </row>
    <row r="32" spans="1:22">
      <c r="A32" s="1395"/>
      <c r="B32" s="3202"/>
      <c r="C32" s="840" t="str">
        <f>IF(B32="现房","成新及维护状况是否正常",IF(B32="在建","工程状态是否正常",IF(B32="土地","是否闲置","-")))</f>
        <v>-</v>
      </c>
      <c r="D32" s="1437"/>
      <c r="E32" s="3203"/>
      <c r="F32" s="2872"/>
      <c r="G32" s="2872"/>
      <c r="H32" s="2872"/>
      <c r="I32" s="2872"/>
      <c r="J32" s="2734"/>
      <c r="K32" s="3220"/>
      <c r="L32" s="3219"/>
      <c r="M32" s="3219"/>
      <c r="N32" s="2734"/>
      <c r="O32" s="1421"/>
      <c r="P32" s="2734"/>
      <c r="Q32" s="2734"/>
      <c r="R32" s="2734"/>
      <c r="S32" s="2734"/>
      <c r="T32" s="2734"/>
      <c r="U32" s="2734"/>
      <c r="V32" s="2734"/>
    </row>
    <row r="33" spans="1:22">
      <c r="A33" s="1395"/>
      <c r="B33" s="3204"/>
      <c r="C33" s="1394" t="str">
        <f>IF(B33="现房","成新及维护状况是否正常",IF(B33="在建","工程状态是否正常",IF(B33="土地","是否闲置","-")))</f>
        <v>-</v>
      </c>
      <c r="D33" s="699"/>
      <c r="E33" s="3205"/>
      <c r="F33" s="2872"/>
      <c r="G33" s="2872"/>
      <c r="H33" s="2872"/>
      <c r="I33" s="2872"/>
      <c r="J33" s="2734"/>
      <c r="K33" s="3220"/>
      <c r="L33" s="3219"/>
      <c r="M33" s="3219"/>
      <c r="N33" s="2734"/>
      <c r="O33" s="1421"/>
      <c r="P33" s="2734"/>
      <c r="Q33" s="2734"/>
      <c r="R33" s="2734"/>
      <c r="S33" s="2734"/>
      <c r="T33" s="2734"/>
      <c r="U33" s="2734"/>
      <c r="V33" s="2734"/>
    </row>
    <row r="34" spans="1:22">
      <c r="A34" s="688" t="s">
        <v>539</v>
      </c>
      <c r="B34" s="1664"/>
      <c r="C34" s="1664"/>
      <c r="D34" s="1664"/>
      <c r="E34" s="1664"/>
      <c r="F34" s="1664"/>
      <c r="G34" s="1664"/>
      <c r="H34" s="1664"/>
      <c r="I34" s="2872"/>
      <c r="J34" s="2734"/>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4"/>
      <c r="V34" s="2734"/>
    </row>
    <row r="35" spans="1:22">
      <c r="A35" s="3206"/>
      <c r="B35" s="593" t="s">
        <v>548</v>
      </c>
      <c r="C35" s="593"/>
      <c r="D35" s="593"/>
      <c r="E35" s="593"/>
      <c r="F35" s="593">
        <f>C10</f>
        <v>0</v>
      </c>
      <c r="G35" s="2872"/>
      <c r="H35" s="2872"/>
      <c r="I35" s="2872"/>
      <c r="J35" s="2734"/>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4"/>
      <c r="V35" s="2734"/>
    </row>
    <row r="36" spans="1:22">
      <c r="A36" s="3207"/>
      <c r="B36" s="593" t="s">
        <v>497</v>
      </c>
      <c r="C36" s="593" t="s">
        <v>498</v>
      </c>
      <c r="D36" s="593" t="s">
        <v>496</v>
      </c>
      <c r="E36" s="593" t="s">
        <v>501</v>
      </c>
      <c r="F36" s="3208" t="s">
        <v>231</v>
      </c>
      <c r="G36" s="2872"/>
      <c r="H36" s="2872"/>
      <c r="I36" s="2872"/>
      <c r="J36" s="2734"/>
      <c r="K36" s="3220"/>
      <c r="L36" s="3219"/>
      <c r="M36" s="3219"/>
      <c r="N36" s="2734"/>
      <c r="O36" s="1421"/>
      <c r="P36" s="2734"/>
      <c r="Q36" s="2734"/>
      <c r="R36" s="2734"/>
      <c r="S36" s="2734"/>
      <c r="T36" s="2734"/>
      <c r="U36" s="2734"/>
      <c r="V36" s="2734"/>
    </row>
    <row r="37" spans="1:22">
      <c r="A37" s="3209" t="s">
        <v>549</v>
      </c>
      <c r="B37" s="3210"/>
      <c r="C37" s="3210" t="s">
        <v>303</v>
      </c>
      <c r="D37" s="3210"/>
      <c r="E37" s="3210"/>
      <c r="F37" s="3210"/>
      <c r="G37" s="2872"/>
      <c r="H37" s="2872"/>
      <c r="I37" s="2872"/>
      <c r="J37" s="2734"/>
      <c r="K37" s="3220"/>
      <c r="L37" s="3219"/>
      <c r="M37" s="3219"/>
      <c r="N37" s="2734"/>
      <c r="O37" s="1421"/>
      <c r="P37" s="2734"/>
      <c r="Q37" s="2734"/>
      <c r="R37" s="2734"/>
      <c r="S37" s="2734"/>
      <c r="T37" s="2734"/>
      <c r="U37" s="2734"/>
      <c r="V37" s="2734"/>
    </row>
    <row r="38" ht="13.5" spans="1:22">
      <c r="A38" s="3211" t="s">
        <v>550</v>
      </c>
      <c r="B38" s="3212"/>
      <c r="C38" s="3212" t="s">
        <v>551</v>
      </c>
      <c r="D38" s="3212"/>
      <c r="E38" s="3212"/>
      <c r="F38" s="3212"/>
      <c r="G38" s="3136"/>
      <c r="H38" s="3136"/>
      <c r="I38" s="3136"/>
      <c r="J38" s="2734"/>
      <c r="K38" s="3220"/>
      <c r="L38" s="3219"/>
      <c r="M38" s="3219"/>
      <c r="N38" s="2734"/>
      <c r="O38" s="1421"/>
      <c r="P38" s="2734"/>
      <c r="Q38" s="2734"/>
      <c r="R38" s="2734"/>
      <c r="S38" s="2734"/>
      <c r="T38" s="2734"/>
      <c r="U38" s="2734"/>
      <c r="V38" s="2734"/>
    </row>
    <row r="39" s="3103" customFormat="1" ht="14.25" spans="1:30">
      <c r="A39" s="3213" t="s">
        <v>552</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1420"/>
      <c r="J40" s="2734"/>
      <c r="K40" s="3218"/>
      <c r="L40" s="1421"/>
      <c r="M40" s="1421"/>
      <c r="N40" s="2734"/>
      <c r="O40" s="1421"/>
      <c r="P40" s="2734"/>
      <c r="Q40" s="2734"/>
      <c r="R40" s="2734"/>
      <c r="S40" s="2734"/>
      <c r="T40" s="2734"/>
      <c r="U40" s="2734"/>
      <c r="V40" s="2734"/>
    </row>
    <row r="41" spans="1:22">
      <c r="A41" s="3215" t="s">
        <v>553</v>
      </c>
      <c r="B41" s="1283"/>
      <c r="C41" s="1437"/>
      <c r="D41" s="3109"/>
      <c r="E41" s="3109"/>
      <c r="F41" s="3109"/>
      <c r="G41" s="3109"/>
      <c r="H41" s="3109"/>
      <c r="I41" s="1420"/>
      <c r="J41" s="2734"/>
      <c r="K41" s="3220"/>
      <c r="L41" s="3219"/>
      <c r="M41" s="3219"/>
      <c r="N41" s="2734"/>
      <c r="O41" s="1421"/>
      <c r="P41" s="2734"/>
      <c r="Q41" s="2734"/>
      <c r="R41" s="2734"/>
      <c r="S41" s="2734"/>
      <c r="T41" s="2734"/>
      <c r="U41" s="2734"/>
      <c r="V41" s="2734"/>
    </row>
    <row r="42" ht="24.75" spans="1:22">
      <c r="A42" s="731" t="s">
        <v>554</v>
      </c>
      <c r="B42" s="593" t="s">
        <v>555</v>
      </c>
      <c r="C42" s="593" t="s">
        <v>556</v>
      </c>
      <c r="D42" s="593" t="s">
        <v>557</v>
      </c>
      <c r="E42" s="593" t="s">
        <v>558</v>
      </c>
      <c r="F42" s="593" t="s">
        <v>559</v>
      </c>
      <c r="G42" s="593" t="s">
        <v>560</v>
      </c>
      <c r="H42" s="593" t="s">
        <v>561</v>
      </c>
      <c r="I42" s="593" t="s">
        <v>562</v>
      </c>
      <c r="J42" s="3235" t="s">
        <v>563</v>
      </c>
      <c r="K42" s="3236" t="s">
        <v>564</v>
      </c>
      <c r="L42" s="3236" t="s">
        <v>565</v>
      </c>
      <c r="M42" s="3236" t="s">
        <v>566</v>
      </c>
      <c r="N42" s="3237" t="s">
        <v>567</v>
      </c>
      <c r="O42" s="3237" t="s">
        <v>568</v>
      </c>
      <c r="P42" s="3237" t="s">
        <v>569</v>
      </c>
      <c r="Q42" s="3242" t="s">
        <v>570</v>
      </c>
      <c r="R42" s="3242" t="s">
        <v>571</v>
      </c>
      <c r="S42" s="2734"/>
      <c r="T42" s="2734"/>
      <c r="U42" s="2734"/>
      <c r="V42" s="2734"/>
    </row>
    <row r="43" s="2949" customFormat="1" spans="1:22">
      <c r="A43" s="3050"/>
      <c r="B43" s="546"/>
      <c r="C43" s="546"/>
      <c r="D43" s="546"/>
      <c r="E43" s="546"/>
      <c r="F43" s="546"/>
      <c r="G43" s="546"/>
      <c r="H43" s="546"/>
      <c r="I43" s="546"/>
      <c r="J43" s="3238"/>
      <c r="K43" s="3239"/>
      <c r="L43" s="3239"/>
      <c r="M43" s="546"/>
      <c r="N43" s="546"/>
      <c r="O43" s="546"/>
      <c r="P43" s="546"/>
      <c r="Q43" s="546"/>
      <c r="R43" s="546"/>
      <c r="S43" s="2734"/>
      <c r="T43" s="2734"/>
      <c r="U43" s="2734"/>
      <c r="V43" s="2734"/>
    </row>
    <row r="44" s="2949" customFormat="1" spans="1:22">
      <c r="A44" s="3050"/>
      <c r="B44" s="3050"/>
      <c r="C44" s="546"/>
      <c r="D44" s="546"/>
      <c r="E44" s="546"/>
      <c r="F44" s="546"/>
      <c r="G44" s="546"/>
      <c r="H44" s="546"/>
      <c r="I44" s="546"/>
      <c r="J44" s="3238"/>
      <c r="K44" s="3239"/>
      <c r="L44" s="3239"/>
      <c r="M44" s="546"/>
      <c r="N44" s="546"/>
      <c r="O44" s="546"/>
      <c r="P44" s="546"/>
      <c r="Q44" s="546"/>
      <c r="R44" s="546"/>
      <c r="S44" s="2734"/>
      <c r="T44" s="2734"/>
      <c r="U44" s="2734"/>
      <c r="V44" s="2734"/>
    </row>
    <row r="45" s="2949" customFormat="1" spans="1:22">
      <c r="A45" s="3050"/>
      <c r="B45" s="3050"/>
      <c r="C45" s="546"/>
      <c r="D45" s="546"/>
      <c r="E45" s="546"/>
      <c r="F45" s="546"/>
      <c r="G45" s="546"/>
      <c r="H45" s="546"/>
      <c r="I45" s="546"/>
      <c r="J45" s="3238"/>
      <c r="K45" s="3239"/>
      <c r="L45" s="3239"/>
      <c r="M45" s="546"/>
      <c r="N45" s="546"/>
      <c r="O45" s="546"/>
      <c r="P45" s="546"/>
      <c r="Q45" s="546"/>
      <c r="R45" s="546"/>
      <c r="S45" s="2734"/>
      <c r="T45" s="2734"/>
      <c r="U45" s="2734"/>
      <c r="V45" s="2734"/>
    </row>
    <row r="46" s="2949" customFormat="1" spans="1:22">
      <c r="A46" s="3050"/>
      <c r="B46" s="3050"/>
      <c r="C46" s="546"/>
      <c r="D46" s="546"/>
      <c r="E46" s="546"/>
      <c r="F46" s="546"/>
      <c r="G46" s="546"/>
      <c r="H46" s="546"/>
      <c r="I46" s="546"/>
      <c r="J46" s="3238"/>
      <c r="K46" s="3239"/>
      <c r="L46" s="3239"/>
      <c r="M46" s="546"/>
      <c r="N46" s="546"/>
      <c r="O46" s="546"/>
      <c r="P46" s="546"/>
      <c r="Q46" s="546"/>
      <c r="R46" s="546"/>
      <c r="S46" s="2734"/>
      <c r="T46" s="2734"/>
      <c r="U46" s="2734"/>
      <c r="V46" s="2734"/>
    </row>
    <row r="47" s="2949" customFormat="1" spans="1:22">
      <c r="A47" s="3050"/>
      <c r="B47" s="3050"/>
      <c r="C47" s="546"/>
      <c r="D47" s="546"/>
      <c r="E47" s="546"/>
      <c r="F47" s="546"/>
      <c r="G47" s="546"/>
      <c r="H47" s="546"/>
      <c r="I47" s="546"/>
      <c r="J47" s="3238"/>
      <c r="K47" s="3239"/>
      <c r="L47" s="3239"/>
      <c r="M47" s="546"/>
      <c r="N47" s="546"/>
      <c r="O47" s="546"/>
      <c r="P47" s="546"/>
      <c r="Q47" s="546"/>
      <c r="R47" s="546"/>
      <c r="S47" s="2734"/>
      <c r="T47" s="2734"/>
      <c r="U47" s="2734"/>
      <c r="V47" s="2734"/>
    </row>
    <row r="48" s="2949" customFormat="1" spans="1:22">
      <c r="A48" s="3050"/>
      <c r="B48" s="3050"/>
      <c r="C48" s="546"/>
      <c r="D48" s="546"/>
      <c r="E48" s="546"/>
      <c r="F48" s="546"/>
      <c r="G48" s="546"/>
      <c r="H48" s="546"/>
      <c r="I48" s="546"/>
      <c r="J48" s="3238"/>
      <c r="K48" s="3239"/>
      <c r="L48" s="3239"/>
      <c r="M48" s="546"/>
      <c r="N48" s="546"/>
      <c r="O48" s="546"/>
      <c r="P48" s="546"/>
      <c r="Q48" s="546"/>
      <c r="R48" s="546"/>
      <c r="S48" s="2734"/>
      <c r="T48" s="2734"/>
      <c r="U48" s="2734"/>
      <c r="V48" s="2734"/>
    </row>
    <row r="49" s="2949" customFormat="1" spans="1:22">
      <c r="A49" s="3050"/>
      <c r="B49" s="3050"/>
      <c r="C49" s="546"/>
      <c r="D49" s="546"/>
      <c r="E49" s="546"/>
      <c r="F49" s="546"/>
      <c r="G49" s="546"/>
      <c r="H49" s="546"/>
      <c r="I49" s="546"/>
      <c r="J49" s="3238"/>
      <c r="K49" s="3239"/>
      <c r="L49" s="3239"/>
      <c r="M49" s="546"/>
      <c r="N49" s="546"/>
      <c r="O49" s="546"/>
      <c r="P49" s="546"/>
      <c r="Q49" s="546"/>
      <c r="R49" s="546"/>
      <c r="S49" s="2734"/>
      <c r="T49" s="2734"/>
      <c r="U49" s="2734"/>
      <c r="V49" s="2734"/>
    </row>
    <row r="50" s="2949" customFormat="1" spans="1:22">
      <c r="A50" s="3050"/>
      <c r="B50" s="3050"/>
      <c r="C50" s="546"/>
      <c r="D50" s="546"/>
      <c r="E50" s="546"/>
      <c r="F50" s="546"/>
      <c r="G50" s="546"/>
      <c r="H50" s="546"/>
      <c r="I50" s="546"/>
      <c r="J50" s="3238"/>
      <c r="K50" s="3239"/>
      <c r="L50" s="3239"/>
      <c r="M50" s="546"/>
      <c r="N50" s="546"/>
      <c r="O50" s="546"/>
      <c r="P50" s="546"/>
      <c r="Q50" s="546"/>
      <c r="R50" s="546"/>
      <c r="S50" s="2734"/>
      <c r="T50" s="2734"/>
      <c r="U50" s="2734"/>
      <c r="V50" s="2734"/>
    </row>
    <row r="51" s="2949" customFormat="1" spans="1:18">
      <c r="A51" s="3050"/>
      <c r="B51" s="3050"/>
      <c r="C51" s="546"/>
      <c r="D51" s="546"/>
      <c r="E51" s="546"/>
      <c r="F51" s="546"/>
      <c r="G51" s="546"/>
      <c r="H51" s="546"/>
      <c r="I51" s="546"/>
      <c r="J51" s="3238"/>
      <c r="K51" s="3239"/>
      <c r="L51" s="3239"/>
      <c r="M51" s="546"/>
      <c r="N51" s="546"/>
      <c r="O51" s="546"/>
      <c r="P51" s="546"/>
      <c r="Q51" s="546"/>
      <c r="R51" s="546"/>
    </row>
    <row r="52" s="2949" customFormat="1" spans="1:18">
      <c r="A52" s="3050"/>
      <c r="B52" s="3050"/>
      <c r="C52" s="3050"/>
      <c r="D52" s="3050"/>
      <c r="E52" s="3050"/>
      <c r="F52" s="546"/>
      <c r="G52" s="3050"/>
      <c r="H52" s="3050"/>
      <c r="I52" s="3050"/>
      <c r="J52" s="3240"/>
      <c r="K52" s="3239"/>
      <c r="L52" s="3239"/>
      <c r="M52" s="3239"/>
      <c r="N52" s="3050"/>
      <c r="O52" s="3050"/>
      <c r="P52" s="3050"/>
      <c r="Q52" s="3050"/>
      <c r="R52" s="3050"/>
    </row>
    <row r="53" s="2949" customFormat="1" spans="1:18">
      <c r="A53" s="3050"/>
      <c r="B53" s="3050"/>
      <c r="C53" s="3050"/>
      <c r="D53" s="3050"/>
      <c r="E53" s="3050"/>
      <c r="F53" s="546"/>
      <c r="G53" s="3050"/>
      <c r="H53" s="3050"/>
      <c r="I53" s="3050"/>
      <c r="J53" s="3240"/>
      <c r="K53" s="3239"/>
      <c r="L53" s="3239"/>
      <c r="M53" s="3239"/>
      <c r="N53" s="3050"/>
      <c r="O53" s="3050"/>
      <c r="P53" s="3050"/>
      <c r="Q53" s="3050"/>
      <c r="R53" s="3050"/>
    </row>
    <row r="54" s="2949" customFormat="1" spans="1:18">
      <c r="A54" s="3050"/>
      <c r="B54" s="3050"/>
      <c r="C54" s="3050"/>
      <c r="D54" s="3050"/>
      <c r="E54" s="3050"/>
      <c r="F54" s="546"/>
      <c r="G54" s="3050"/>
      <c r="H54" s="3050"/>
      <c r="I54" s="3050"/>
      <c r="J54" s="3240"/>
      <c r="K54" s="3239"/>
      <c r="L54" s="3239"/>
      <c r="M54" s="3239"/>
      <c r="N54" s="3050"/>
      <c r="O54" s="3050"/>
      <c r="P54" s="3050"/>
      <c r="Q54" s="3050"/>
      <c r="R54" s="3050"/>
    </row>
    <row r="55" s="2949" customFormat="1" spans="1:18">
      <c r="A55" s="3050"/>
      <c r="B55" s="3050"/>
      <c r="C55" s="3050"/>
      <c r="D55" s="3050"/>
      <c r="E55" s="3050"/>
      <c r="F55" s="546"/>
      <c r="G55" s="3050"/>
      <c r="H55" s="3050"/>
      <c r="I55" s="3050"/>
      <c r="J55" s="3240"/>
      <c r="K55" s="3239"/>
      <c r="L55" s="3239"/>
      <c r="M55" s="3239"/>
      <c r="N55" s="3050"/>
      <c r="O55" s="3050"/>
      <c r="P55" s="3050"/>
      <c r="Q55" s="3050"/>
      <c r="R55" s="3050"/>
    </row>
    <row r="56" s="2949" customFormat="1" spans="1:18">
      <c r="A56" s="3050"/>
      <c r="B56" s="3050"/>
      <c r="C56" s="3050"/>
      <c r="D56" s="3050"/>
      <c r="E56" s="3050"/>
      <c r="F56" s="546"/>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1371" t="s">
        <v>572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573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2" t="s">
        <v>575</v>
      </c>
      <c r="AZ2" s="3083"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3" customFormat="1" ht="12.75" spans="1:72">
      <c r="A3" s="3028"/>
      <c r="B3" s="3029">
        <f>IF(C3="否",G5-AT5,G5)</f>
        <v>165.59</v>
      </c>
      <c r="C3" s="3030"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4"/>
      <c r="AZ3" s="546"/>
      <c r="BA3" s="3071"/>
      <c r="BB3" s="1420"/>
      <c r="BC3" s="1420"/>
      <c r="BD3" s="1420"/>
      <c r="BE3" s="1420"/>
      <c r="BF3" s="1420"/>
      <c r="BG3" s="1420"/>
      <c r="BH3" s="1420"/>
      <c r="BI3" s="1420"/>
      <c r="BJ3" s="1420"/>
      <c r="BK3" s="1420"/>
      <c r="BL3" s="1420"/>
      <c r="BM3" s="1420"/>
      <c r="BN3" s="1420"/>
      <c r="BO3" s="1420"/>
      <c r="BP3" s="1420"/>
      <c r="BQ3" s="1420"/>
      <c r="BR3" s="1420"/>
      <c r="BS3" s="1420"/>
      <c r="BT3" s="1420"/>
    </row>
    <row r="4" s="3023" customFormat="1" ht="13.5" spans="1:72">
      <c r="A4" s="1692"/>
      <c r="B4" s="3031"/>
      <c r="C4" s="3032"/>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5"/>
      <c r="BB4" s="1420"/>
      <c r="BC4" s="1420"/>
      <c r="BD4" s="1420"/>
      <c r="BE4" s="1420"/>
      <c r="BF4" s="1420"/>
      <c r="BG4" s="1420"/>
      <c r="BH4" s="1420"/>
      <c r="BI4" s="1420"/>
      <c r="BJ4" s="1420"/>
      <c r="BK4" s="1420"/>
      <c r="BL4" s="1420"/>
      <c r="BM4" s="1420"/>
      <c r="BN4" s="1420"/>
      <c r="BO4" s="1420"/>
      <c r="BP4" s="1420"/>
      <c r="BQ4" s="1420"/>
      <c r="BR4" s="1420"/>
      <c r="BS4" s="1420"/>
      <c r="BT4" s="1420"/>
    </row>
    <row r="5" s="3023" customFormat="1" ht="12.75" spans="1:72">
      <c r="A5" s="840" t="s">
        <v>579</v>
      </c>
      <c r="B5" s="1279"/>
      <c r="C5" s="1279"/>
      <c r="D5" s="1436"/>
      <c r="E5" s="3033" t="s">
        <v>124</v>
      </c>
      <c r="F5" s="3033">
        <f>SUM(F13:F587)</f>
        <v>0</v>
      </c>
      <c r="G5" s="3033">
        <f>SUM(G13:G587)</f>
        <v>165.59</v>
      </c>
      <c r="H5" s="3033">
        <f t="shared" ref="H5:AT5" si="0">SUM(H13:H656)</f>
        <v>165.59</v>
      </c>
      <c r="I5" s="3033">
        <f t="shared" si="0"/>
        <v>63.37</v>
      </c>
      <c r="J5" s="3033">
        <f t="shared" si="0"/>
        <v>0</v>
      </c>
      <c r="K5" s="3033">
        <f t="shared" si="0"/>
        <v>61.73</v>
      </c>
      <c r="L5" s="3033">
        <f t="shared" si="0"/>
        <v>0</v>
      </c>
      <c r="M5" s="3033">
        <f t="shared" si="0"/>
        <v>40.49</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278"/>
      <c r="AV5" s="840" t="s">
        <v>579</v>
      </c>
      <c r="AW5" s="1279"/>
      <c r="AX5" s="1279"/>
      <c r="AY5" s="541" t="s">
        <v>124</v>
      </c>
      <c r="AZ5" s="3086">
        <f t="shared" ref="AZ5:BT5" si="1">SUM(AZ13:AZ656)</f>
        <v>165.59</v>
      </c>
      <c r="BA5" s="3086">
        <f t="shared" si="1"/>
        <v>165.59</v>
      </c>
      <c r="BB5" s="3086">
        <f t="shared" si="1"/>
        <v>63.37</v>
      </c>
      <c r="BC5" s="3086">
        <f t="shared" si="1"/>
        <v>61.73</v>
      </c>
      <c r="BD5" s="3086">
        <f t="shared" si="1"/>
        <v>40.49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2.75" spans="1:72">
      <c r="A6" s="840" t="s">
        <v>580</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840" t="s">
        <v>580</v>
      </c>
      <c r="AW6" s="3034"/>
      <c r="AX6" s="3034"/>
      <c r="AY6" s="3087">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4.75" spans="1:72">
      <c r="A7" s="3037" t="s">
        <v>581</v>
      </c>
      <c r="B7" s="3037" t="s">
        <v>582</v>
      </c>
      <c r="C7" s="3037" t="s">
        <v>555</v>
      </c>
      <c r="D7" s="3037" t="s">
        <v>583</v>
      </c>
      <c r="E7" s="3037" t="s">
        <v>580</v>
      </c>
      <c r="F7" s="3037" t="s">
        <v>584</v>
      </c>
      <c r="G7" s="1394" t="s">
        <v>585</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1436"/>
      <c r="AU7" s="3038" t="s">
        <v>586</v>
      </c>
      <c r="AV7" s="3076" t="s">
        <v>581</v>
      </c>
      <c r="AW7" s="1420" t="s">
        <v>582</v>
      </c>
      <c r="AX7" s="3076" t="s">
        <v>555</v>
      </c>
      <c r="AY7" s="1279" t="s">
        <v>587</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75" customFormat="1" ht="24" spans="1:72">
      <c r="A8" s="3039"/>
      <c r="B8" s="3039"/>
      <c r="C8" s="3039"/>
      <c r="D8" s="3039"/>
      <c r="E8" s="3039"/>
      <c r="F8" s="3039"/>
      <c r="G8" s="3040" t="s">
        <v>588</v>
      </c>
      <c r="H8" s="3041" t="s">
        <v>589</v>
      </c>
      <c r="I8" s="3056"/>
      <c r="J8" s="592"/>
      <c r="K8" s="592"/>
      <c r="L8" s="592"/>
      <c r="M8" s="592"/>
      <c r="N8" s="592"/>
      <c r="O8" s="592"/>
      <c r="P8" s="592"/>
      <c r="Q8" s="592"/>
      <c r="R8" s="592"/>
      <c r="S8" s="592"/>
      <c r="T8" s="592"/>
      <c r="U8" s="592"/>
      <c r="V8" s="3063"/>
      <c r="W8" s="592"/>
      <c r="X8" s="592"/>
      <c r="Y8" s="592"/>
      <c r="Z8" s="592"/>
      <c r="AA8" s="3063"/>
      <c r="AB8" s="3065"/>
      <c r="AC8" s="1459" t="s">
        <v>590</v>
      </c>
      <c r="AD8" s="3066"/>
      <c r="AE8" s="3067"/>
      <c r="AF8" s="592"/>
      <c r="AG8" s="592"/>
      <c r="AH8" s="592"/>
      <c r="AI8" s="592"/>
      <c r="AJ8" s="592"/>
      <c r="AK8" s="592"/>
      <c r="AL8" s="592"/>
      <c r="AM8" s="592"/>
      <c r="AN8" s="592"/>
      <c r="AO8" s="592"/>
      <c r="AP8" s="592"/>
      <c r="AQ8" s="592"/>
      <c r="AR8" s="592"/>
      <c r="AS8" s="592"/>
      <c r="AT8" s="680" t="s">
        <v>591</v>
      </c>
      <c r="AU8" s="3039"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5" customFormat="1" ht="12.75" spans="1:72">
      <c r="A9" s="3039"/>
      <c r="B9" s="3039"/>
      <c r="C9" s="3039"/>
      <c r="D9" s="3039"/>
      <c r="E9" s="3039"/>
      <c r="F9" s="3039"/>
      <c r="G9" s="680"/>
      <c r="H9" s="3042" t="s">
        <v>593</v>
      </c>
      <c r="I9" s="3057" t="s">
        <v>471</v>
      </c>
      <c r="J9" s="1459"/>
      <c r="K9" s="3057" t="s">
        <v>472</v>
      </c>
      <c r="L9" s="1459"/>
      <c r="M9" s="3057" t="s">
        <v>472</v>
      </c>
      <c r="N9" s="1459"/>
      <c r="O9" s="3057"/>
      <c r="P9" s="1459"/>
      <c r="Q9" s="3057"/>
      <c r="R9" s="1459"/>
      <c r="S9" s="3057"/>
      <c r="T9" s="1459"/>
      <c r="U9" s="3057"/>
      <c r="V9" s="1459"/>
      <c r="W9" s="3057"/>
      <c r="X9" s="3064"/>
      <c r="Y9" s="3057"/>
      <c r="Z9" s="1459"/>
      <c r="AA9" s="3057"/>
      <c r="AB9" s="1459"/>
      <c r="AC9" s="3040"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7"/>
      <c r="AT9" s="3039"/>
      <c r="AU9" s="3039" t="s">
        <v>596</v>
      </c>
      <c r="AV9" s="680"/>
      <c r="AW9" s="1369"/>
      <c r="AX9" s="680"/>
      <c r="AY9" s="3043"/>
      <c r="AZ9" s="3043" t="s">
        <v>588</v>
      </c>
      <c r="BA9" s="3088" t="s">
        <v>597</v>
      </c>
      <c r="BB9" s="3089"/>
      <c r="BC9" s="740"/>
      <c r="BD9" s="740"/>
      <c r="BE9" s="740"/>
      <c r="BF9" s="740"/>
      <c r="BG9" s="740"/>
      <c r="BH9" s="740"/>
      <c r="BI9" s="740"/>
      <c r="BJ9" s="740"/>
      <c r="BK9" s="3093"/>
      <c r="BL9" s="840" t="s">
        <v>598</v>
      </c>
      <c r="BM9" s="592"/>
      <c r="BN9" s="3056"/>
      <c r="BO9" s="592"/>
      <c r="BP9" s="592"/>
      <c r="BQ9" s="592"/>
      <c r="BR9" s="592"/>
      <c r="BS9" s="592"/>
      <c r="BT9" s="729"/>
    </row>
    <row r="10" s="2775" customFormat="1" ht="12.75" spans="1:72">
      <c r="A10" s="3039"/>
      <c r="B10" s="3039"/>
      <c r="C10" s="3039"/>
      <c r="D10" s="3039"/>
      <c r="E10" s="3039"/>
      <c r="F10" s="3039"/>
      <c r="G10" s="680"/>
      <c r="H10" s="3043"/>
      <c r="I10" s="3057" t="s">
        <v>230</v>
      </c>
      <c r="J10" s="1459"/>
      <c r="K10" s="3058" t="s">
        <v>599</v>
      </c>
      <c r="L10" s="1459"/>
      <c r="M10" s="3058" t="s">
        <v>600</v>
      </c>
      <c r="N10" s="1459"/>
      <c r="O10" s="3058"/>
      <c r="P10" s="1459"/>
      <c r="Q10" s="3058"/>
      <c r="R10" s="1459"/>
      <c r="S10" s="3058"/>
      <c r="T10" s="1459"/>
      <c r="U10" s="3058"/>
      <c r="V10" s="1459"/>
      <c r="W10" s="3058"/>
      <c r="X10" s="1459"/>
      <c r="Y10" s="3058"/>
      <c r="Z10" s="1459"/>
      <c r="AA10" s="3058"/>
      <c r="AB10" s="1459"/>
      <c r="AC10" s="680"/>
      <c r="AD10" s="840" t="s">
        <v>601</v>
      </c>
      <c r="AE10" s="3068"/>
      <c r="AF10" s="840" t="s">
        <v>601</v>
      </c>
      <c r="AG10" s="3068"/>
      <c r="AH10" s="840" t="s">
        <v>602</v>
      </c>
      <c r="AI10" s="3068"/>
      <c r="AJ10" s="840" t="s">
        <v>602</v>
      </c>
      <c r="AK10" s="3068"/>
      <c r="AL10" s="840" t="s">
        <v>603</v>
      </c>
      <c r="AM10" s="694"/>
      <c r="AN10" s="840" t="s">
        <v>603</v>
      </c>
      <c r="AO10" s="694"/>
      <c r="AP10" s="840" t="s">
        <v>604</v>
      </c>
      <c r="AQ10" s="694"/>
      <c r="AR10" s="840" t="s">
        <v>604</v>
      </c>
      <c r="AS10" s="694"/>
      <c r="AT10" s="3039"/>
      <c r="AU10" s="3039"/>
      <c r="AV10" s="680"/>
      <c r="AW10" s="1369"/>
      <c r="AX10" s="680"/>
      <c r="AY10" s="3043"/>
      <c r="AZ10" s="3043"/>
      <c r="BA10" s="3044" t="s">
        <v>593</v>
      </c>
      <c r="BB10" s="3090"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7" t="str">
        <f>AR9</f>
        <v>地下</v>
      </c>
    </row>
    <row r="11" s="2775" customFormat="1" ht="12.75" spans="1:72">
      <c r="A11" s="3039"/>
      <c r="B11" s="3039"/>
      <c r="C11" s="3039"/>
      <c r="D11" s="3039"/>
      <c r="E11" s="3039"/>
      <c r="F11" s="3039"/>
      <c r="G11" s="680"/>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680"/>
      <c r="AD11" s="3069" t="s">
        <v>605</v>
      </c>
      <c r="AE11" s="647"/>
      <c r="AF11" s="3069" t="s">
        <v>605</v>
      </c>
      <c r="AG11" s="647"/>
      <c r="AH11" s="3069" t="s">
        <v>606</v>
      </c>
      <c r="AI11" s="3073"/>
      <c r="AJ11" s="3069" t="s">
        <v>606</v>
      </c>
      <c r="AK11" s="647"/>
      <c r="AL11" s="591"/>
      <c r="AM11" s="647"/>
      <c r="AN11" s="591"/>
      <c r="AO11" s="647"/>
      <c r="AP11" s="591"/>
      <c r="AQ11" s="647"/>
      <c r="AR11" s="591"/>
      <c r="AS11" s="647"/>
      <c r="AT11" s="1369"/>
      <c r="AU11" s="3039"/>
      <c r="AV11" s="680"/>
      <c r="AW11" s="1369"/>
      <c r="AX11" s="680"/>
      <c r="AY11" s="3043"/>
      <c r="AZ11" s="3043"/>
      <c r="BA11" s="3043"/>
      <c r="BB11" s="3065" t="str">
        <f>I10</f>
        <v>办公</v>
      </c>
      <c r="BC11" s="3065" t="str">
        <f>K10</f>
        <v>仓储</v>
      </c>
      <c r="BD11" s="3065" t="str">
        <f>M10</f>
        <v>车库—办公</v>
      </c>
      <c r="BE11" s="3065">
        <f>O10</f>
        <v>0</v>
      </c>
      <c r="BF11" s="3065">
        <f>Q10</f>
        <v>0</v>
      </c>
      <c r="BG11" s="3065">
        <f>S10</f>
        <v>0</v>
      </c>
      <c r="BH11" s="3065">
        <f>U10</f>
        <v>0</v>
      </c>
      <c r="BI11" s="3065">
        <f>W10</f>
        <v>0</v>
      </c>
      <c r="BJ11" s="3065">
        <f>Y10</f>
        <v>0</v>
      </c>
      <c r="BK11" s="3065">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8" t="str">
        <f>AR10</f>
        <v>未注明</v>
      </c>
    </row>
    <row r="12" s="3023" customFormat="1" ht="12.75" spans="1:72">
      <c r="A12" s="3045"/>
      <c r="B12" s="3045"/>
      <c r="C12" s="3045"/>
      <c r="D12" s="3045"/>
      <c r="E12" s="3045"/>
      <c r="F12" s="3045"/>
      <c r="G12" s="1687"/>
      <c r="H12" s="3046"/>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0"/>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5" t="s">
        <v>608</v>
      </c>
      <c r="AT12" s="3078"/>
      <c r="AU12" s="3045"/>
      <c r="AV12" s="3079"/>
      <c r="AW12" s="1420"/>
      <c r="AX12" s="3079"/>
      <c r="AY12" s="3091"/>
      <c r="AZ12" s="3043"/>
      <c r="BA12" s="3044"/>
      <c r="BB12" s="590">
        <f>I11</f>
        <v>0</v>
      </c>
      <c r="BC12" s="3092">
        <f>K11</f>
        <v>0</v>
      </c>
      <c r="BD12" s="3092">
        <f>M11</f>
        <v>0</v>
      </c>
      <c r="BE12" s="3065">
        <f>O11</f>
        <v>0</v>
      </c>
      <c r="BF12" s="3065">
        <f>Q11</f>
        <v>0</v>
      </c>
      <c r="BG12" s="3065">
        <f>S11</f>
        <v>0</v>
      </c>
      <c r="BH12" s="3065">
        <f>U11</f>
        <v>0</v>
      </c>
      <c r="BI12" s="3065">
        <f>W11</f>
        <v>0</v>
      </c>
      <c r="BJ12" s="3065">
        <f>Y11</f>
        <v>0</v>
      </c>
      <c r="BK12" s="3065">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8">
        <f>AR11</f>
        <v>0</v>
      </c>
    </row>
    <row r="13" s="3023" customFormat="1" ht="12.75" spans="1:72">
      <c r="A13" s="546"/>
      <c r="B13" s="546"/>
      <c r="C13" s="546"/>
      <c r="D13" s="3047" t="s">
        <v>609</v>
      </c>
      <c r="E13" s="3033">
        <f>IF($C$3="是",ROUND($A$3*G13/$B$3,2),ROUND($A$3*(G13-AT13)/$B$3,2))</f>
        <v>0</v>
      </c>
      <c r="F13" s="3048"/>
      <c r="G13" s="3049">
        <f>H13+AC13+AT13</f>
        <v>165.59</v>
      </c>
      <c r="H13" s="3036">
        <f>SUMIF(I$12:AB$12,"总值",I13:AB13)</f>
        <v>165.59</v>
      </c>
      <c r="I13" s="3061">
        <f>清单、结果表!E5</f>
        <v>63.37</v>
      </c>
      <c r="J13" s="3061"/>
      <c r="K13" s="3061">
        <f>清单、结果表!E9</f>
        <v>61.73</v>
      </c>
      <c r="L13" s="3061"/>
      <c r="M13" s="3061">
        <f>清单、结果表!E13</f>
        <v>40.49</v>
      </c>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593">
        <f t="shared" ref="AV13:AX17" si="6">A13</f>
        <v>0</v>
      </c>
      <c r="AW13" s="593">
        <f t="shared" si="6"/>
        <v>0</v>
      </c>
      <c r="AX13" s="593">
        <f t="shared" si="6"/>
        <v>0</v>
      </c>
      <c r="AY13" s="1436">
        <f>ROUND($AY$6*AZ13/$AZ$5,2)</f>
        <v>0</v>
      </c>
      <c r="AZ13" s="3033">
        <f>BA13+BL13</f>
        <v>165.59</v>
      </c>
      <c r="BA13" s="3033">
        <f>SUM(BB13:BK13)</f>
        <v>165.59</v>
      </c>
      <c r="BB13" s="3033">
        <f>IF($D13="是",I13-J13,0)</f>
        <v>63.37</v>
      </c>
      <c r="BC13" s="3033">
        <f>IF($D13="是",K13-L13,0)</f>
        <v>61.73</v>
      </c>
      <c r="BD13" s="3033">
        <f>IF($D13="是",M13-N13,0)</f>
        <v>40.49</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75" spans="1:72">
      <c r="A14" s="546"/>
      <c r="B14" s="546"/>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593">
        <f t="shared" si="6"/>
        <v>0</v>
      </c>
      <c r="AW14" s="593">
        <f t="shared" si="6"/>
        <v>0</v>
      </c>
      <c r="AX14" s="593">
        <f t="shared" si="6"/>
        <v>0</v>
      </c>
      <c r="AY14" s="1436">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75" spans="1:72">
      <c r="A15" s="546"/>
      <c r="B15" s="546"/>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593">
        <f t="shared" si="6"/>
        <v>0</v>
      </c>
      <c r="AW15" s="593">
        <f t="shared" si="6"/>
        <v>0</v>
      </c>
      <c r="AX15" s="593">
        <f t="shared" si="6"/>
        <v>0</v>
      </c>
      <c r="AY15" s="1436">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75" spans="1:72">
      <c r="A16" s="546"/>
      <c r="B16" s="546"/>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593">
        <f t="shared" si="6"/>
        <v>0</v>
      </c>
      <c r="AW16" s="593">
        <f t="shared" si="6"/>
        <v>0</v>
      </c>
      <c r="AX16" s="593">
        <f t="shared" si="6"/>
        <v>0</v>
      </c>
      <c r="AY16" s="1436">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75" spans="1:72">
      <c r="A17" s="546"/>
      <c r="B17" s="546"/>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593">
        <f t="shared" si="6"/>
        <v>0</v>
      </c>
      <c r="AW17" s="593">
        <f t="shared" si="6"/>
        <v>0</v>
      </c>
      <c r="AX17" s="593">
        <f t="shared" si="6"/>
        <v>0</v>
      </c>
      <c r="AY17" s="1436">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243"/>
      <c r="B18" s="1102"/>
      <c r="C18" s="1102"/>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1213">
        <f t="shared" ref="AV18:AV112" si="11">A18</f>
        <v>0</v>
      </c>
      <c r="AW18" s="1213">
        <f t="shared" ref="AW18:AW112" si="12">B18</f>
        <v>0</v>
      </c>
      <c r="AX18" s="1213">
        <f t="shared" ref="AX18:AX112" si="13">C18</f>
        <v>0</v>
      </c>
      <c r="AY18" s="1133">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243"/>
      <c r="B19" s="1102"/>
      <c r="C19" s="1102"/>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1213">
        <f t="shared" si="11"/>
        <v>0</v>
      </c>
      <c r="AW19" s="1213">
        <f t="shared" si="12"/>
        <v>0</v>
      </c>
      <c r="AX19" s="1213">
        <f t="shared" si="13"/>
        <v>0</v>
      </c>
      <c r="AY19" s="1133">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243"/>
      <c r="B20" s="1102"/>
      <c r="C20" s="1102"/>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1213">
        <f t="shared" si="11"/>
        <v>0</v>
      </c>
      <c r="AW20" s="1213">
        <f t="shared" si="12"/>
        <v>0</v>
      </c>
      <c r="AX20" s="1213">
        <f t="shared" si="13"/>
        <v>0</v>
      </c>
      <c r="AY20" s="1133">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243"/>
      <c r="B21" s="1102"/>
      <c r="C21" s="1102"/>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1213">
        <f t="shared" si="11"/>
        <v>0</v>
      </c>
      <c r="AW21" s="1213">
        <f t="shared" si="12"/>
        <v>0</v>
      </c>
      <c r="AX21" s="1213">
        <f t="shared" si="13"/>
        <v>0</v>
      </c>
      <c r="AY21" s="1133">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243"/>
      <c r="B22" s="1102"/>
      <c r="C22" s="1102"/>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1213">
        <f t="shared" si="11"/>
        <v>0</v>
      </c>
      <c r="AW22" s="1213">
        <f t="shared" si="12"/>
        <v>0</v>
      </c>
      <c r="AX22" s="1213">
        <f t="shared" si="13"/>
        <v>0</v>
      </c>
      <c r="AY22" s="1133">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243"/>
      <c r="B23" s="1102"/>
      <c r="C23" s="1102"/>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1213">
        <f t="shared" si="11"/>
        <v>0</v>
      </c>
      <c r="AW23" s="1213">
        <f t="shared" si="12"/>
        <v>0</v>
      </c>
      <c r="AX23" s="1213">
        <f t="shared" si="13"/>
        <v>0</v>
      </c>
      <c r="AY23" s="1133">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243"/>
      <c r="B24" s="1102"/>
      <c r="C24" s="1102"/>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1213">
        <f t="shared" si="11"/>
        <v>0</v>
      </c>
      <c r="AW24" s="1213">
        <f t="shared" si="12"/>
        <v>0</v>
      </c>
      <c r="AX24" s="1213">
        <f t="shared" si="13"/>
        <v>0</v>
      </c>
      <c r="AY24" s="1133">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243"/>
      <c r="B25" s="1102"/>
      <c r="C25" s="1102"/>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1213">
        <f t="shared" si="11"/>
        <v>0</v>
      </c>
      <c r="AW25" s="1213">
        <f t="shared" si="12"/>
        <v>0</v>
      </c>
      <c r="AX25" s="1213">
        <f t="shared" si="13"/>
        <v>0</v>
      </c>
      <c r="AY25" s="1133">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243"/>
      <c r="B26" s="1102"/>
      <c r="C26" s="1102"/>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1213">
        <f t="shared" si="11"/>
        <v>0</v>
      </c>
      <c r="AW26" s="1213">
        <f t="shared" si="12"/>
        <v>0</v>
      </c>
      <c r="AX26" s="1213">
        <f t="shared" si="13"/>
        <v>0</v>
      </c>
      <c r="AY26" s="1133">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243"/>
      <c r="B27" s="1102"/>
      <c r="C27" s="1102"/>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1213">
        <f t="shared" si="11"/>
        <v>0</v>
      </c>
      <c r="AW27" s="1213">
        <f t="shared" si="12"/>
        <v>0</v>
      </c>
      <c r="AX27" s="1213">
        <f t="shared" si="13"/>
        <v>0</v>
      </c>
      <c r="AY27" s="1133">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243"/>
      <c r="B28" s="1102"/>
      <c r="C28" s="1102"/>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1213">
        <f t="shared" si="11"/>
        <v>0</v>
      </c>
      <c r="AW28" s="1213">
        <f t="shared" si="12"/>
        <v>0</v>
      </c>
      <c r="AX28" s="1213">
        <f t="shared" si="13"/>
        <v>0</v>
      </c>
      <c r="AY28" s="1133">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243"/>
      <c r="B29" s="1102"/>
      <c r="C29" s="1102"/>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1213">
        <f t="shared" si="11"/>
        <v>0</v>
      </c>
      <c r="AW29" s="1213">
        <f t="shared" si="12"/>
        <v>0</v>
      </c>
      <c r="AX29" s="1213">
        <f t="shared" si="13"/>
        <v>0</v>
      </c>
      <c r="AY29" s="1133">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243"/>
      <c r="B30" s="1102"/>
      <c r="C30" s="1102"/>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1213">
        <f t="shared" si="11"/>
        <v>0</v>
      </c>
      <c r="AW30" s="1213">
        <f t="shared" si="12"/>
        <v>0</v>
      </c>
      <c r="AX30" s="1213">
        <f t="shared" si="13"/>
        <v>0</v>
      </c>
      <c r="AY30" s="1133">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243"/>
      <c r="B31" s="1102"/>
      <c r="C31" s="1102"/>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1213">
        <f t="shared" si="11"/>
        <v>0</v>
      </c>
      <c r="AW31" s="1213">
        <f t="shared" si="12"/>
        <v>0</v>
      </c>
      <c r="AX31" s="1213">
        <f t="shared" si="13"/>
        <v>0</v>
      </c>
      <c r="AY31" s="1133">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243"/>
      <c r="B32" s="1102"/>
      <c r="C32" s="1102"/>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1213">
        <f t="shared" si="11"/>
        <v>0</v>
      </c>
      <c r="AW32" s="1213">
        <f t="shared" si="12"/>
        <v>0</v>
      </c>
      <c r="AX32" s="1213">
        <f t="shared" si="13"/>
        <v>0</v>
      </c>
      <c r="AY32" s="1133">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243"/>
      <c r="B33" s="1102"/>
      <c r="C33" s="1102"/>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1213">
        <f t="shared" si="11"/>
        <v>0</v>
      </c>
      <c r="AW33" s="1213">
        <f t="shared" si="12"/>
        <v>0</v>
      </c>
      <c r="AX33" s="1213">
        <f t="shared" si="13"/>
        <v>0</v>
      </c>
      <c r="AY33" s="1133">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243"/>
      <c r="B34" s="1102"/>
      <c r="C34" s="1102"/>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1213">
        <f t="shared" si="11"/>
        <v>0</v>
      </c>
      <c r="AW34" s="1213">
        <f t="shared" si="12"/>
        <v>0</v>
      </c>
      <c r="AX34" s="1213">
        <f t="shared" si="13"/>
        <v>0</v>
      </c>
      <c r="AY34" s="1133">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243"/>
      <c r="B35" s="1102"/>
      <c r="C35" s="1102"/>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1213">
        <f t="shared" si="11"/>
        <v>0</v>
      </c>
      <c r="AW35" s="1213">
        <f t="shared" si="12"/>
        <v>0</v>
      </c>
      <c r="AX35" s="1213">
        <f t="shared" si="13"/>
        <v>0</v>
      </c>
      <c r="AY35" s="1133">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243"/>
      <c r="B36" s="1102"/>
      <c r="C36" s="1102"/>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1213">
        <f t="shared" si="11"/>
        <v>0</v>
      </c>
      <c r="AW36" s="1213">
        <f t="shared" si="12"/>
        <v>0</v>
      </c>
      <c r="AX36" s="1213">
        <f t="shared" si="13"/>
        <v>0</v>
      </c>
      <c r="AY36" s="1133">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243"/>
      <c r="B37" s="1102"/>
      <c r="C37" s="1102"/>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1213">
        <f t="shared" si="11"/>
        <v>0</v>
      </c>
      <c r="AW37" s="1213">
        <f t="shared" si="12"/>
        <v>0</v>
      </c>
      <c r="AX37" s="1213">
        <f t="shared" si="13"/>
        <v>0</v>
      </c>
      <c r="AY37" s="1133">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243"/>
      <c r="B38" s="1102"/>
      <c r="C38" s="1102"/>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1213">
        <f t="shared" si="11"/>
        <v>0</v>
      </c>
      <c r="AW38" s="1213">
        <f t="shared" si="12"/>
        <v>0</v>
      </c>
      <c r="AX38" s="1213">
        <f t="shared" si="13"/>
        <v>0</v>
      </c>
      <c r="AY38" s="1133">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243"/>
      <c r="B39" s="1102"/>
      <c r="C39" s="1102"/>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1213">
        <f t="shared" si="11"/>
        <v>0</v>
      </c>
      <c r="AW39" s="1213">
        <f t="shared" si="12"/>
        <v>0</v>
      </c>
      <c r="AX39" s="1213">
        <f t="shared" si="13"/>
        <v>0</v>
      </c>
      <c r="AY39" s="1133">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243"/>
      <c r="B40" s="1102"/>
      <c r="C40" s="1102"/>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1213">
        <f t="shared" si="11"/>
        <v>0</v>
      </c>
      <c r="AW40" s="1213">
        <f t="shared" si="12"/>
        <v>0</v>
      </c>
      <c r="AX40" s="1213">
        <f t="shared" si="13"/>
        <v>0</v>
      </c>
      <c r="AY40" s="1133">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243"/>
      <c r="B41" s="1102"/>
      <c r="C41" s="1102"/>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1213">
        <f t="shared" si="11"/>
        <v>0</v>
      </c>
      <c r="AW41" s="1213">
        <f t="shared" si="12"/>
        <v>0</v>
      </c>
      <c r="AX41" s="1213">
        <f t="shared" si="13"/>
        <v>0</v>
      </c>
      <c r="AY41" s="1133">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243"/>
      <c r="B42" s="1102"/>
      <c r="C42" s="1102"/>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1213">
        <f t="shared" si="11"/>
        <v>0</v>
      </c>
      <c r="AW42" s="1213">
        <f t="shared" si="12"/>
        <v>0</v>
      </c>
      <c r="AX42" s="1213">
        <f t="shared" si="13"/>
        <v>0</v>
      </c>
      <c r="AY42" s="1133">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243"/>
      <c r="B43" s="1102"/>
      <c r="C43" s="1102"/>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1213">
        <f t="shared" si="11"/>
        <v>0</v>
      </c>
      <c r="AW43" s="1213">
        <f t="shared" si="12"/>
        <v>0</v>
      </c>
      <c r="AX43" s="1213">
        <f t="shared" si="13"/>
        <v>0</v>
      </c>
      <c r="AY43" s="1133">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243"/>
      <c r="B44" s="1102"/>
      <c r="C44" s="1102"/>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1213">
        <f t="shared" si="11"/>
        <v>0</v>
      </c>
      <c r="AW44" s="1213">
        <f t="shared" si="12"/>
        <v>0</v>
      </c>
      <c r="AX44" s="1213">
        <f t="shared" si="13"/>
        <v>0</v>
      </c>
      <c r="AY44" s="1133">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243"/>
      <c r="B45" s="1102"/>
      <c r="C45" s="1102"/>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1213">
        <f t="shared" si="11"/>
        <v>0</v>
      </c>
      <c r="AW45" s="1213">
        <f t="shared" si="12"/>
        <v>0</v>
      </c>
      <c r="AX45" s="1213">
        <f t="shared" si="13"/>
        <v>0</v>
      </c>
      <c r="AY45" s="1133">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243"/>
      <c r="B46" s="1102"/>
      <c r="C46" s="1102"/>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1213">
        <f t="shared" si="11"/>
        <v>0</v>
      </c>
      <c r="AW46" s="1213">
        <f t="shared" si="12"/>
        <v>0</v>
      </c>
      <c r="AX46" s="1213">
        <f t="shared" si="13"/>
        <v>0</v>
      </c>
      <c r="AY46" s="1133">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243"/>
      <c r="B47" s="1102"/>
      <c r="C47" s="1102"/>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1213">
        <f t="shared" si="11"/>
        <v>0</v>
      </c>
      <c r="AW47" s="1213">
        <f t="shared" si="12"/>
        <v>0</v>
      </c>
      <c r="AX47" s="1213">
        <f t="shared" si="13"/>
        <v>0</v>
      </c>
      <c r="AY47" s="1133">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243"/>
      <c r="B48" s="1102"/>
      <c r="C48" s="1102"/>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1213">
        <f t="shared" si="11"/>
        <v>0</v>
      </c>
      <c r="AW48" s="1213">
        <f t="shared" si="12"/>
        <v>0</v>
      </c>
      <c r="AX48" s="1213">
        <f t="shared" si="13"/>
        <v>0</v>
      </c>
      <c r="AY48" s="1133">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243"/>
      <c r="B49" s="1102"/>
      <c r="C49" s="1102"/>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1213">
        <f t="shared" si="11"/>
        <v>0</v>
      </c>
      <c r="AW49" s="1213">
        <f t="shared" si="12"/>
        <v>0</v>
      </c>
      <c r="AX49" s="1213">
        <f t="shared" si="13"/>
        <v>0</v>
      </c>
      <c r="AY49" s="1133">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243"/>
      <c r="B50" s="1102"/>
      <c r="C50" s="1102"/>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1213">
        <f t="shared" si="11"/>
        <v>0</v>
      </c>
      <c r="AW50" s="1213">
        <f t="shared" si="12"/>
        <v>0</v>
      </c>
      <c r="AX50" s="1213">
        <f t="shared" si="13"/>
        <v>0</v>
      </c>
      <c r="AY50" s="1133">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243"/>
      <c r="B51" s="1102"/>
      <c r="C51" s="1102"/>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1213">
        <f t="shared" si="11"/>
        <v>0</v>
      </c>
      <c r="AW51" s="1213">
        <f t="shared" si="12"/>
        <v>0</v>
      </c>
      <c r="AX51" s="1213">
        <f t="shared" si="13"/>
        <v>0</v>
      </c>
      <c r="AY51" s="1133">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243"/>
      <c r="B52" s="1102"/>
      <c r="C52" s="1102"/>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1213">
        <f t="shared" si="11"/>
        <v>0</v>
      </c>
      <c r="AW52" s="1213">
        <f t="shared" si="12"/>
        <v>0</v>
      </c>
      <c r="AX52" s="1213">
        <f t="shared" si="13"/>
        <v>0</v>
      </c>
      <c r="AY52" s="1133">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243"/>
      <c r="B53" s="1102"/>
      <c r="C53" s="1102"/>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1213">
        <f t="shared" si="11"/>
        <v>0</v>
      </c>
      <c r="AW53" s="1213">
        <f t="shared" si="12"/>
        <v>0</v>
      </c>
      <c r="AX53" s="1213">
        <f t="shared" si="13"/>
        <v>0</v>
      </c>
      <c r="AY53" s="1133">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243"/>
      <c r="B54" s="1102"/>
      <c r="C54" s="1102"/>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1213">
        <f t="shared" si="11"/>
        <v>0</v>
      </c>
      <c r="AW54" s="1213">
        <f t="shared" si="12"/>
        <v>0</v>
      </c>
      <c r="AX54" s="1213">
        <f t="shared" si="13"/>
        <v>0</v>
      </c>
      <c r="AY54" s="1133">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243"/>
      <c r="B55" s="1102"/>
      <c r="C55" s="1102"/>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1213">
        <f t="shared" si="11"/>
        <v>0</v>
      </c>
      <c r="AW55" s="1213">
        <f t="shared" si="12"/>
        <v>0</v>
      </c>
      <c r="AX55" s="1213">
        <f t="shared" si="13"/>
        <v>0</v>
      </c>
      <c r="AY55" s="1133">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243"/>
      <c r="B56" s="1102"/>
      <c r="C56" s="1102"/>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1213">
        <f t="shared" si="11"/>
        <v>0</v>
      </c>
      <c r="AW56" s="1213">
        <f t="shared" si="12"/>
        <v>0</v>
      </c>
      <c r="AX56" s="1213">
        <f t="shared" si="13"/>
        <v>0</v>
      </c>
      <c r="AY56" s="1133">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243"/>
      <c r="B57" s="1102"/>
      <c r="C57" s="1102"/>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1213">
        <f t="shared" si="11"/>
        <v>0</v>
      </c>
      <c r="AW57" s="1213">
        <f t="shared" si="12"/>
        <v>0</v>
      </c>
      <c r="AX57" s="1213">
        <f t="shared" si="13"/>
        <v>0</v>
      </c>
      <c r="AY57" s="1133">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243"/>
      <c r="B58" s="1102"/>
      <c r="C58" s="1102"/>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1213">
        <f t="shared" si="11"/>
        <v>0</v>
      </c>
      <c r="AW58" s="1213">
        <f t="shared" si="12"/>
        <v>0</v>
      </c>
      <c r="AX58" s="1213">
        <f t="shared" si="13"/>
        <v>0</v>
      </c>
      <c r="AY58" s="1133">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243"/>
      <c r="B59" s="1102"/>
      <c r="C59" s="1102"/>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1213">
        <f t="shared" si="11"/>
        <v>0</v>
      </c>
      <c r="AW59" s="1213">
        <f t="shared" si="12"/>
        <v>0</v>
      </c>
      <c r="AX59" s="1213">
        <f t="shared" si="13"/>
        <v>0</v>
      </c>
      <c r="AY59" s="1133">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243"/>
      <c r="B60" s="1102"/>
      <c r="C60" s="1102"/>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1213">
        <f t="shared" si="11"/>
        <v>0</v>
      </c>
      <c r="AW60" s="1213">
        <f t="shared" si="12"/>
        <v>0</v>
      </c>
      <c r="AX60" s="1213">
        <f t="shared" si="13"/>
        <v>0</v>
      </c>
      <c r="AY60" s="1133">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243"/>
      <c r="B61" s="1102"/>
      <c r="C61" s="1102"/>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1213">
        <f t="shared" si="11"/>
        <v>0</v>
      </c>
      <c r="AW61" s="1213">
        <f t="shared" si="12"/>
        <v>0</v>
      </c>
      <c r="AX61" s="1213">
        <f t="shared" si="13"/>
        <v>0</v>
      </c>
      <c r="AY61" s="1133">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243"/>
      <c r="B62" s="1102"/>
      <c r="C62" s="1102"/>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1213">
        <f t="shared" si="11"/>
        <v>0</v>
      </c>
      <c r="AW62" s="1213">
        <f t="shared" si="12"/>
        <v>0</v>
      </c>
      <c r="AX62" s="1213">
        <f t="shared" si="13"/>
        <v>0</v>
      </c>
      <c r="AY62" s="1133">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243"/>
      <c r="B63" s="1102"/>
      <c r="C63" s="1102"/>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1213">
        <f t="shared" si="11"/>
        <v>0</v>
      </c>
      <c r="AW63" s="1213">
        <f t="shared" si="12"/>
        <v>0</v>
      </c>
      <c r="AX63" s="1213">
        <f t="shared" si="13"/>
        <v>0</v>
      </c>
      <c r="AY63" s="1133">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243"/>
      <c r="B64" s="1102"/>
      <c r="C64" s="1102"/>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1213">
        <f t="shared" si="11"/>
        <v>0</v>
      </c>
      <c r="AW64" s="1213">
        <f t="shared" si="12"/>
        <v>0</v>
      </c>
      <c r="AX64" s="1213">
        <f t="shared" si="13"/>
        <v>0</v>
      </c>
      <c r="AY64" s="1133">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243"/>
      <c r="B65" s="1102"/>
      <c r="C65" s="1102"/>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1213">
        <f t="shared" si="11"/>
        <v>0</v>
      </c>
      <c r="AW65" s="1213">
        <f t="shared" si="12"/>
        <v>0</v>
      </c>
      <c r="AX65" s="1213">
        <f t="shared" si="13"/>
        <v>0</v>
      </c>
      <c r="AY65" s="1133">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243"/>
      <c r="B66" s="1102"/>
      <c r="C66" s="1102"/>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1213">
        <f t="shared" si="11"/>
        <v>0</v>
      </c>
      <c r="AW66" s="1213">
        <f t="shared" si="12"/>
        <v>0</v>
      </c>
      <c r="AX66" s="1213">
        <f t="shared" si="13"/>
        <v>0</v>
      </c>
      <c r="AY66" s="1133">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243"/>
      <c r="B67" s="1102"/>
      <c r="C67" s="1102"/>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1213">
        <f t="shared" si="11"/>
        <v>0</v>
      </c>
      <c r="AW67" s="1213">
        <f t="shared" si="12"/>
        <v>0</v>
      </c>
      <c r="AX67" s="1213">
        <f t="shared" si="13"/>
        <v>0</v>
      </c>
      <c r="AY67" s="1133">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243"/>
      <c r="B68" s="1102"/>
      <c r="C68" s="1102"/>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1213">
        <f t="shared" si="11"/>
        <v>0</v>
      </c>
      <c r="AW68" s="1213">
        <f t="shared" si="12"/>
        <v>0</v>
      </c>
      <c r="AX68" s="1213">
        <f t="shared" si="13"/>
        <v>0</v>
      </c>
      <c r="AY68" s="1133">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243"/>
      <c r="B69" s="1102"/>
      <c r="C69" s="1102"/>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1213">
        <f t="shared" si="11"/>
        <v>0</v>
      </c>
      <c r="AW69" s="1213">
        <f t="shared" si="12"/>
        <v>0</v>
      </c>
      <c r="AX69" s="1213">
        <f t="shared" si="13"/>
        <v>0</v>
      </c>
      <c r="AY69" s="1133">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243"/>
      <c r="B70" s="1102"/>
      <c r="C70" s="1102"/>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1213">
        <f t="shared" si="11"/>
        <v>0</v>
      </c>
      <c r="AW70" s="1213">
        <f t="shared" si="12"/>
        <v>0</v>
      </c>
      <c r="AX70" s="1213">
        <f t="shared" si="13"/>
        <v>0</v>
      </c>
      <c r="AY70" s="1133">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243"/>
      <c r="B71" s="1102"/>
      <c r="C71" s="1102"/>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1213">
        <f t="shared" si="11"/>
        <v>0</v>
      </c>
      <c r="AW71" s="1213">
        <f t="shared" si="12"/>
        <v>0</v>
      </c>
      <c r="AX71" s="1213">
        <f t="shared" si="13"/>
        <v>0</v>
      </c>
      <c r="AY71" s="1133">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243"/>
      <c r="B72" s="1102"/>
      <c r="C72" s="1102"/>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1213">
        <f t="shared" si="11"/>
        <v>0</v>
      </c>
      <c r="AW72" s="1213">
        <f t="shared" si="12"/>
        <v>0</v>
      </c>
      <c r="AX72" s="1213">
        <f t="shared" si="13"/>
        <v>0</v>
      </c>
      <c r="AY72" s="1133">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243"/>
      <c r="B73" s="1102"/>
      <c r="C73" s="1102"/>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1213">
        <f t="shared" si="11"/>
        <v>0</v>
      </c>
      <c r="AW73" s="1213">
        <f t="shared" si="12"/>
        <v>0</v>
      </c>
      <c r="AX73" s="1213">
        <f t="shared" si="13"/>
        <v>0</v>
      </c>
      <c r="AY73" s="1133">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243"/>
      <c r="B74" s="1102"/>
      <c r="C74" s="1102"/>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1213">
        <f t="shared" si="11"/>
        <v>0</v>
      </c>
      <c r="AW74" s="1213">
        <f t="shared" si="12"/>
        <v>0</v>
      </c>
      <c r="AX74" s="1213">
        <f t="shared" si="13"/>
        <v>0</v>
      </c>
      <c r="AY74" s="1133">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243"/>
      <c r="B75" s="1102"/>
      <c r="C75" s="1102"/>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1213">
        <f t="shared" si="11"/>
        <v>0</v>
      </c>
      <c r="AW75" s="1213">
        <f t="shared" si="12"/>
        <v>0</v>
      </c>
      <c r="AX75" s="1213">
        <f t="shared" si="13"/>
        <v>0</v>
      </c>
      <c r="AY75" s="1133">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243"/>
      <c r="B76" s="1102"/>
      <c r="C76" s="1102"/>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1213">
        <f t="shared" si="11"/>
        <v>0</v>
      </c>
      <c r="AW76" s="1213">
        <f t="shared" si="12"/>
        <v>0</v>
      </c>
      <c r="AX76" s="1213">
        <f t="shared" si="13"/>
        <v>0</v>
      </c>
      <c r="AY76" s="1133">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243"/>
      <c r="B77" s="1102"/>
      <c r="C77" s="1102"/>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1213">
        <f t="shared" si="11"/>
        <v>0</v>
      </c>
      <c r="AW77" s="1213">
        <f t="shared" si="12"/>
        <v>0</v>
      </c>
      <c r="AX77" s="1213">
        <f t="shared" si="13"/>
        <v>0</v>
      </c>
      <c r="AY77" s="1133">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243"/>
      <c r="B78" s="1102"/>
      <c r="C78" s="1102"/>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1213">
        <f t="shared" si="11"/>
        <v>0</v>
      </c>
      <c r="AW78" s="1213">
        <f t="shared" si="12"/>
        <v>0</v>
      </c>
      <c r="AX78" s="1213">
        <f t="shared" si="13"/>
        <v>0</v>
      </c>
      <c r="AY78" s="1133">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243"/>
      <c r="B79" s="1102"/>
      <c r="C79" s="1102"/>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1213">
        <f t="shared" si="11"/>
        <v>0</v>
      </c>
      <c r="AW79" s="1213">
        <f t="shared" si="12"/>
        <v>0</v>
      </c>
      <c r="AX79" s="1213">
        <f t="shared" si="13"/>
        <v>0</v>
      </c>
      <c r="AY79" s="1133">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243"/>
      <c r="B80" s="1102"/>
      <c r="C80" s="1102"/>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1213">
        <f t="shared" si="11"/>
        <v>0</v>
      </c>
      <c r="AW80" s="1213">
        <f t="shared" si="12"/>
        <v>0</v>
      </c>
      <c r="AX80" s="1213">
        <f t="shared" si="13"/>
        <v>0</v>
      </c>
      <c r="AY80" s="1133">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243"/>
      <c r="B81" s="1102"/>
      <c r="C81" s="1102"/>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1213">
        <f t="shared" si="11"/>
        <v>0</v>
      </c>
      <c r="AW81" s="1213">
        <f t="shared" si="12"/>
        <v>0</v>
      </c>
      <c r="AX81" s="1213">
        <f t="shared" si="13"/>
        <v>0</v>
      </c>
      <c r="AY81" s="1133">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243"/>
      <c r="B82" s="1102"/>
      <c r="C82" s="1102"/>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1213">
        <f t="shared" si="11"/>
        <v>0</v>
      </c>
      <c r="AW82" s="1213">
        <f t="shared" si="12"/>
        <v>0</v>
      </c>
      <c r="AX82" s="1213">
        <f t="shared" si="13"/>
        <v>0</v>
      </c>
      <c r="AY82" s="1133">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243"/>
      <c r="B83" s="1102"/>
      <c r="C83" s="1102"/>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1213">
        <f t="shared" si="11"/>
        <v>0</v>
      </c>
      <c r="AW83" s="1213">
        <f t="shared" si="12"/>
        <v>0</v>
      </c>
      <c r="AX83" s="1213">
        <f t="shared" si="13"/>
        <v>0</v>
      </c>
      <c r="AY83" s="1133">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243"/>
      <c r="B84" s="1102"/>
      <c r="C84" s="1102"/>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1213">
        <f t="shared" si="11"/>
        <v>0</v>
      </c>
      <c r="AW84" s="1213">
        <f t="shared" si="12"/>
        <v>0</v>
      </c>
      <c r="AX84" s="1213">
        <f t="shared" si="13"/>
        <v>0</v>
      </c>
      <c r="AY84" s="1133">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243"/>
      <c r="B85" s="1102"/>
      <c r="C85" s="1102"/>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1213">
        <f t="shared" si="11"/>
        <v>0</v>
      </c>
      <c r="AW85" s="1213">
        <f t="shared" si="12"/>
        <v>0</v>
      </c>
      <c r="AX85" s="1213">
        <f t="shared" si="13"/>
        <v>0</v>
      </c>
      <c r="AY85" s="1133">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243"/>
      <c r="B86" s="1102"/>
      <c r="C86" s="1102"/>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1213">
        <f t="shared" si="11"/>
        <v>0</v>
      </c>
      <c r="AW86" s="1213">
        <f t="shared" si="12"/>
        <v>0</v>
      </c>
      <c r="AX86" s="1213">
        <f t="shared" si="13"/>
        <v>0</v>
      </c>
      <c r="AY86" s="1133">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243"/>
      <c r="B87" s="1102"/>
      <c r="C87" s="1102"/>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1213">
        <f t="shared" si="11"/>
        <v>0</v>
      </c>
      <c r="AW87" s="1213">
        <f t="shared" si="12"/>
        <v>0</v>
      </c>
      <c r="AX87" s="1213">
        <f t="shared" si="13"/>
        <v>0</v>
      </c>
      <c r="AY87" s="1133">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243"/>
      <c r="B88" s="1102"/>
      <c r="C88" s="1102"/>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1213">
        <f t="shared" si="11"/>
        <v>0</v>
      </c>
      <c r="AW88" s="1213">
        <f t="shared" si="12"/>
        <v>0</v>
      </c>
      <c r="AX88" s="1213">
        <f t="shared" si="13"/>
        <v>0</v>
      </c>
      <c r="AY88" s="1133">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243"/>
      <c r="B89" s="1102"/>
      <c r="C89" s="1102"/>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1213">
        <f t="shared" si="11"/>
        <v>0</v>
      </c>
      <c r="AW89" s="1213">
        <f t="shared" si="12"/>
        <v>0</v>
      </c>
      <c r="AX89" s="1213">
        <f t="shared" si="13"/>
        <v>0</v>
      </c>
      <c r="AY89" s="1133">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243"/>
      <c r="B90" s="1102"/>
      <c r="C90" s="1102"/>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1213">
        <f t="shared" si="11"/>
        <v>0</v>
      </c>
      <c r="AW90" s="1213">
        <f t="shared" si="12"/>
        <v>0</v>
      </c>
      <c r="AX90" s="1213">
        <f t="shared" si="13"/>
        <v>0</v>
      </c>
      <c r="AY90" s="1133">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243"/>
      <c r="B91" s="1102"/>
      <c r="C91" s="1102"/>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1213">
        <f t="shared" si="11"/>
        <v>0</v>
      </c>
      <c r="AW91" s="1213">
        <f t="shared" si="12"/>
        <v>0</v>
      </c>
      <c r="AX91" s="1213">
        <f t="shared" si="13"/>
        <v>0</v>
      </c>
      <c r="AY91" s="1133">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243"/>
      <c r="B92" s="1102"/>
      <c r="C92" s="1102"/>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1213">
        <f t="shared" si="11"/>
        <v>0</v>
      </c>
      <c r="AW92" s="1213">
        <f t="shared" si="12"/>
        <v>0</v>
      </c>
      <c r="AX92" s="1213">
        <f t="shared" si="13"/>
        <v>0</v>
      </c>
      <c r="AY92" s="1133">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243"/>
      <c r="B93" s="1102"/>
      <c r="C93" s="1102"/>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1213">
        <f t="shared" si="11"/>
        <v>0</v>
      </c>
      <c r="AW93" s="1213">
        <f t="shared" si="12"/>
        <v>0</v>
      </c>
      <c r="AX93" s="1213">
        <f t="shared" si="13"/>
        <v>0</v>
      </c>
      <c r="AY93" s="1133">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243"/>
      <c r="B94" s="1102"/>
      <c r="C94" s="1102"/>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1213">
        <f t="shared" si="11"/>
        <v>0</v>
      </c>
      <c r="AW94" s="1213">
        <f t="shared" si="12"/>
        <v>0</v>
      </c>
      <c r="AX94" s="1213">
        <f t="shared" si="13"/>
        <v>0</v>
      </c>
      <c r="AY94" s="1133">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243"/>
      <c r="B95" s="1102"/>
      <c r="C95" s="1102"/>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1213">
        <f t="shared" si="11"/>
        <v>0</v>
      </c>
      <c r="AW95" s="1213">
        <f t="shared" si="12"/>
        <v>0</v>
      </c>
      <c r="AX95" s="1213">
        <f t="shared" si="13"/>
        <v>0</v>
      </c>
      <c r="AY95" s="1133">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243"/>
      <c r="B96" s="1102"/>
      <c r="C96" s="1102"/>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1213">
        <f t="shared" si="11"/>
        <v>0</v>
      </c>
      <c r="AW96" s="1213">
        <f t="shared" si="12"/>
        <v>0</v>
      </c>
      <c r="AX96" s="1213">
        <f t="shared" si="13"/>
        <v>0</v>
      </c>
      <c r="AY96" s="1133">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243"/>
      <c r="B97" s="1102"/>
      <c r="C97" s="1102"/>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1213">
        <f t="shared" si="11"/>
        <v>0</v>
      </c>
      <c r="AW97" s="1213">
        <f t="shared" si="12"/>
        <v>0</v>
      </c>
      <c r="AX97" s="1213">
        <f t="shared" si="13"/>
        <v>0</v>
      </c>
      <c r="AY97" s="1133">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243"/>
      <c r="B98" s="1102"/>
      <c r="C98" s="1102"/>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1213">
        <f t="shared" si="11"/>
        <v>0</v>
      </c>
      <c r="AW98" s="1213">
        <f t="shared" si="12"/>
        <v>0</v>
      </c>
      <c r="AX98" s="1213">
        <f t="shared" si="13"/>
        <v>0</v>
      </c>
      <c r="AY98" s="1133">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243"/>
      <c r="B99" s="1102"/>
      <c r="C99" s="1102"/>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1213">
        <f t="shared" si="11"/>
        <v>0</v>
      </c>
      <c r="AW99" s="1213">
        <f t="shared" si="12"/>
        <v>0</v>
      </c>
      <c r="AX99" s="1213">
        <f t="shared" si="13"/>
        <v>0</v>
      </c>
      <c r="AY99" s="1133">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243"/>
      <c r="B100" s="1102"/>
      <c r="C100" s="1102"/>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1213">
        <f t="shared" si="11"/>
        <v>0</v>
      </c>
      <c r="AW100" s="1213">
        <f t="shared" si="12"/>
        <v>0</v>
      </c>
      <c r="AX100" s="1213">
        <f t="shared" si="13"/>
        <v>0</v>
      </c>
      <c r="AY100" s="1133">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243"/>
      <c r="B101" s="1102"/>
      <c r="C101" s="1102"/>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1213">
        <f t="shared" si="11"/>
        <v>0</v>
      </c>
      <c r="AW101" s="1213">
        <f t="shared" si="12"/>
        <v>0</v>
      </c>
      <c r="AX101" s="1213">
        <f t="shared" si="13"/>
        <v>0</v>
      </c>
      <c r="AY101" s="1133">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243"/>
      <c r="B102" s="1102"/>
      <c r="C102" s="1102"/>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1213">
        <f t="shared" si="11"/>
        <v>0</v>
      </c>
      <c r="AW102" s="1213">
        <f t="shared" si="12"/>
        <v>0</v>
      </c>
      <c r="AX102" s="1213">
        <f t="shared" si="13"/>
        <v>0</v>
      </c>
      <c r="AY102" s="1133">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243"/>
      <c r="B103" s="1102"/>
      <c r="C103" s="1102"/>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1213">
        <f t="shared" si="11"/>
        <v>0</v>
      </c>
      <c r="AW103" s="1213">
        <f t="shared" si="12"/>
        <v>0</v>
      </c>
      <c r="AX103" s="1213">
        <f t="shared" si="13"/>
        <v>0</v>
      </c>
      <c r="AY103" s="1133">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243"/>
      <c r="B104" s="1102"/>
      <c r="C104" s="1102"/>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1213">
        <f t="shared" si="11"/>
        <v>0</v>
      </c>
      <c r="AW104" s="1213">
        <f t="shared" si="12"/>
        <v>0</v>
      </c>
      <c r="AX104" s="1213">
        <f t="shared" si="13"/>
        <v>0</v>
      </c>
      <c r="AY104" s="1133">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243"/>
      <c r="B105" s="1102"/>
      <c r="C105" s="1102"/>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1213">
        <f t="shared" si="11"/>
        <v>0</v>
      </c>
      <c r="AW105" s="1213">
        <f t="shared" si="12"/>
        <v>0</v>
      </c>
      <c r="AX105" s="1213">
        <f t="shared" si="13"/>
        <v>0</v>
      </c>
      <c r="AY105" s="1133">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243"/>
      <c r="B106" s="1102"/>
      <c r="C106" s="1102"/>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1213">
        <f t="shared" si="11"/>
        <v>0</v>
      </c>
      <c r="AW106" s="1213">
        <f t="shared" si="12"/>
        <v>0</v>
      </c>
      <c r="AX106" s="1213">
        <f t="shared" si="13"/>
        <v>0</v>
      </c>
      <c r="AY106" s="1133">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243"/>
      <c r="B107" s="1102"/>
      <c r="C107" s="1102"/>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1213">
        <f t="shared" si="11"/>
        <v>0</v>
      </c>
      <c r="AW107" s="1213">
        <f t="shared" si="12"/>
        <v>0</v>
      </c>
      <c r="AX107" s="1213">
        <f t="shared" si="13"/>
        <v>0</v>
      </c>
      <c r="AY107" s="1133">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243"/>
      <c r="B108" s="1102"/>
      <c r="C108" s="1102"/>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1213">
        <f t="shared" si="11"/>
        <v>0</v>
      </c>
      <c r="AW108" s="1213">
        <f t="shared" si="12"/>
        <v>0</v>
      </c>
      <c r="AX108" s="1213">
        <f t="shared" si="13"/>
        <v>0</v>
      </c>
      <c r="AY108" s="1133">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243"/>
      <c r="B109" s="1102"/>
      <c r="C109" s="1102"/>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1213">
        <f t="shared" si="11"/>
        <v>0</v>
      </c>
      <c r="AW109" s="1213">
        <f t="shared" si="12"/>
        <v>0</v>
      </c>
      <c r="AX109" s="1213">
        <f t="shared" si="13"/>
        <v>0</v>
      </c>
      <c r="AY109" s="1133">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243"/>
      <c r="B110" s="1243"/>
      <c r="C110" s="1243"/>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2136"/>
      <c r="AV110" s="1213">
        <f t="shared" si="11"/>
        <v>0</v>
      </c>
      <c r="AW110" s="1213">
        <f t="shared" si="12"/>
        <v>0</v>
      </c>
      <c r="AX110" s="1213">
        <f t="shared" si="13"/>
        <v>0</v>
      </c>
      <c r="AY110" s="1133">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243"/>
      <c r="B111" s="1243"/>
      <c r="C111" s="1243"/>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2136"/>
      <c r="AV111" s="1213">
        <f t="shared" si="11"/>
        <v>0</v>
      </c>
      <c r="AW111" s="1213">
        <f t="shared" si="12"/>
        <v>0</v>
      </c>
      <c r="AX111" s="1213">
        <f t="shared" si="13"/>
        <v>0</v>
      </c>
      <c r="AY111" s="1133">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243"/>
      <c r="B112" s="1243"/>
      <c r="C112" s="1243"/>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2136"/>
      <c r="AV112" s="1213">
        <f t="shared" si="11"/>
        <v>0</v>
      </c>
      <c r="AW112" s="1213">
        <f t="shared" si="12"/>
        <v>0</v>
      </c>
      <c r="AX112" s="1213">
        <f t="shared" si="13"/>
        <v>0</v>
      </c>
      <c r="AY112" s="1133">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243"/>
      <c r="B113" s="1102"/>
      <c r="C113" s="1102"/>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1213">
        <f t="shared" ref="AV113:AV144" si="62">A113</f>
        <v>0</v>
      </c>
      <c r="AW113" s="1213">
        <f t="shared" ref="AW113:AW144" si="63">B113</f>
        <v>0</v>
      </c>
      <c r="AX113" s="1213">
        <f t="shared" ref="AX113:AX144" si="64">C113</f>
        <v>0</v>
      </c>
      <c r="AY113" s="1133">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243"/>
      <c r="B114" s="1102"/>
      <c r="C114" s="1102"/>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1213">
        <f t="shared" si="62"/>
        <v>0</v>
      </c>
      <c r="AW114" s="1213">
        <f t="shared" si="63"/>
        <v>0</v>
      </c>
      <c r="AX114" s="1213">
        <f t="shared" si="64"/>
        <v>0</v>
      </c>
      <c r="AY114" s="1133">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243"/>
      <c r="B115" s="1102"/>
      <c r="C115" s="1102"/>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1213">
        <f t="shared" si="62"/>
        <v>0</v>
      </c>
      <c r="AW115" s="1213">
        <f t="shared" si="63"/>
        <v>0</v>
      </c>
      <c r="AX115" s="1213">
        <f t="shared" si="64"/>
        <v>0</v>
      </c>
      <c r="AY115" s="1133">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243"/>
      <c r="B116" s="1102"/>
      <c r="C116" s="1102"/>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1213">
        <f t="shared" si="62"/>
        <v>0</v>
      </c>
      <c r="AW116" s="1213">
        <f t="shared" si="63"/>
        <v>0</v>
      </c>
      <c r="AX116" s="1213">
        <f t="shared" si="64"/>
        <v>0</v>
      </c>
      <c r="AY116" s="1133">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243"/>
      <c r="B117" s="1102"/>
      <c r="C117" s="1102"/>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1213">
        <f t="shared" si="62"/>
        <v>0</v>
      </c>
      <c r="AW117" s="1213">
        <f t="shared" si="63"/>
        <v>0</v>
      </c>
      <c r="AX117" s="1213">
        <f t="shared" si="64"/>
        <v>0</v>
      </c>
      <c r="AY117" s="1133">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243"/>
      <c r="B118" s="1102"/>
      <c r="C118" s="1102"/>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1213">
        <f t="shared" si="62"/>
        <v>0</v>
      </c>
      <c r="AW118" s="1213">
        <f t="shared" si="63"/>
        <v>0</v>
      </c>
      <c r="AX118" s="1213">
        <f t="shared" si="64"/>
        <v>0</v>
      </c>
      <c r="AY118" s="1133">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243"/>
      <c r="B119" s="1102"/>
      <c r="C119" s="1102"/>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1213">
        <f t="shared" si="62"/>
        <v>0</v>
      </c>
      <c r="AW119" s="1213">
        <f t="shared" si="63"/>
        <v>0</v>
      </c>
      <c r="AX119" s="1213">
        <f t="shared" si="64"/>
        <v>0</v>
      </c>
      <c r="AY119" s="1133">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243"/>
      <c r="B120" s="1102"/>
      <c r="C120" s="1102"/>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1213">
        <f t="shared" si="62"/>
        <v>0</v>
      </c>
      <c r="AW120" s="1213">
        <f t="shared" si="63"/>
        <v>0</v>
      </c>
      <c r="AX120" s="1213">
        <f t="shared" si="64"/>
        <v>0</v>
      </c>
      <c r="AY120" s="1133">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243"/>
      <c r="B121" s="1102"/>
      <c r="C121" s="1102"/>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1213">
        <f t="shared" si="62"/>
        <v>0</v>
      </c>
      <c r="AW121" s="1213">
        <f t="shared" si="63"/>
        <v>0</v>
      </c>
      <c r="AX121" s="1213">
        <f t="shared" si="64"/>
        <v>0</v>
      </c>
      <c r="AY121" s="1133">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243"/>
      <c r="B122" s="1102"/>
      <c r="C122" s="1102"/>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1213">
        <f t="shared" si="62"/>
        <v>0</v>
      </c>
      <c r="AW122" s="1213">
        <f t="shared" si="63"/>
        <v>0</v>
      </c>
      <c r="AX122" s="1213">
        <f t="shared" si="64"/>
        <v>0</v>
      </c>
      <c r="AY122" s="1133">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243"/>
      <c r="B123" s="1102"/>
      <c r="C123" s="1102"/>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1213">
        <f t="shared" si="62"/>
        <v>0</v>
      </c>
      <c r="AW123" s="1213">
        <f t="shared" si="63"/>
        <v>0</v>
      </c>
      <c r="AX123" s="1213">
        <f t="shared" si="64"/>
        <v>0</v>
      </c>
      <c r="AY123" s="1133">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243"/>
      <c r="B124" s="1102"/>
      <c r="C124" s="1102"/>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1213">
        <f t="shared" si="62"/>
        <v>0</v>
      </c>
      <c r="AW124" s="1213">
        <f t="shared" si="63"/>
        <v>0</v>
      </c>
      <c r="AX124" s="1213">
        <f t="shared" si="64"/>
        <v>0</v>
      </c>
      <c r="AY124" s="1133">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243"/>
      <c r="B125" s="1102"/>
      <c r="C125" s="1102"/>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1213">
        <f t="shared" si="62"/>
        <v>0</v>
      </c>
      <c r="AW125" s="1213">
        <f t="shared" si="63"/>
        <v>0</v>
      </c>
      <c r="AX125" s="1213">
        <f t="shared" si="64"/>
        <v>0</v>
      </c>
      <c r="AY125" s="1133">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243"/>
      <c r="B126" s="1102"/>
      <c r="C126" s="1102"/>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1213">
        <f t="shared" si="62"/>
        <v>0</v>
      </c>
      <c r="AW126" s="1213">
        <f t="shared" si="63"/>
        <v>0</v>
      </c>
      <c r="AX126" s="1213">
        <f t="shared" si="64"/>
        <v>0</v>
      </c>
      <c r="AY126" s="1133">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243"/>
      <c r="B127" s="1102"/>
      <c r="C127" s="1102"/>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1213">
        <f t="shared" si="62"/>
        <v>0</v>
      </c>
      <c r="AW127" s="1213">
        <f t="shared" si="63"/>
        <v>0</v>
      </c>
      <c r="AX127" s="1213">
        <f t="shared" si="64"/>
        <v>0</v>
      </c>
      <c r="AY127" s="1133">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243"/>
      <c r="B128" s="1102"/>
      <c r="C128" s="1102"/>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1213">
        <f t="shared" si="62"/>
        <v>0</v>
      </c>
      <c r="AW128" s="1213">
        <f t="shared" si="63"/>
        <v>0</v>
      </c>
      <c r="AX128" s="1213">
        <f t="shared" si="64"/>
        <v>0</v>
      </c>
      <c r="AY128" s="1133">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243"/>
      <c r="B129" s="1102"/>
      <c r="C129" s="1102"/>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1213">
        <f t="shared" si="62"/>
        <v>0</v>
      </c>
      <c r="AW129" s="1213">
        <f t="shared" si="63"/>
        <v>0</v>
      </c>
      <c r="AX129" s="1213">
        <f t="shared" si="64"/>
        <v>0</v>
      </c>
      <c r="AY129" s="1133">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243"/>
      <c r="B130" s="1102"/>
      <c r="C130" s="1102"/>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1213">
        <f t="shared" si="62"/>
        <v>0</v>
      </c>
      <c r="AW130" s="1213">
        <f t="shared" si="63"/>
        <v>0</v>
      </c>
      <c r="AX130" s="1213">
        <f t="shared" si="64"/>
        <v>0</v>
      </c>
      <c r="AY130" s="1133">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243"/>
      <c r="B131" s="1102"/>
      <c r="C131" s="1102"/>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1213">
        <f t="shared" si="62"/>
        <v>0</v>
      </c>
      <c r="AW131" s="1213">
        <f t="shared" si="63"/>
        <v>0</v>
      </c>
      <c r="AX131" s="1213">
        <f t="shared" si="64"/>
        <v>0</v>
      </c>
      <c r="AY131" s="1133">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243"/>
      <c r="B132" s="1102"/>
      <c r="C132" s="1102"/>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1213">
        <f t="shared" si="62"/>
        <v>0</v>
      </c>
      <c r="AW132" s="1213">
        <f t="shared" si="63"/>
        <v>0</v>
      </c>
      <c r="AX132" s="1213">
        <f t="shared" si="64"/>
        <v>0</v>
      </c>
      <c r="AY132" s="1133">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243"/>
      <c r="B133" s="1102"/>
      <c r="C133" s="1102"/>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1213">
        <f t="shared" si="62"/>
        <v>0</v>
      </c>
      <c r="AW133" s="1213">
        <f t="shared" si="63"/>
        <v>0</v>
      </c>
      <c r="AX133" s="1213">
        <f t="shared" si="64"/>
        <v>0</v>
      </c>
      <c r="AY133" s="1133">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243"/>
      <c r="B134" s="1102"/>
      <c r="C134" s="1102"/>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1213">
        <f t="shared" si="62"/>
        <v>0</v>
      </c>
      <c r="AW134" s="1213">
        <f t="shared" si="63"/>
        <v>0</v>
      </c>
      <c r="AX134" s="1213">
        <f t="shared" si="64"/>
        <v>0</v>
      </c>
      <c r="AY134" s="1133">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243"/>
      <c r="B135" s="1102"/>
      <c r="C135" s="1102"/>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1213">
        <f t="shared" si="62"/>
        <v>0</v>
      </c>
      <c r="AW135" s="1213">
        <f t="shared" si="63"/>
        <v>0</v>
      </c>
      <c r="AX135" s="1213">
        <f t="shared" si="64"/>
        <v>0</v>
      </c>
      <c r="AY135" s="1133">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243"/>
      <c r="B136" s="1102"/>
      <c r="C136" s="1102"/>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1213">
        <f t="shared" si="62"/>
        <v>0</v>
      </c>
      <c r="AW136" s="1213">
        <f t="shared" si="63"/>
        <v>0</v>
      </c>
      <c r="AX136" s="1213">
        <f t="shared" si="64"/>
        <v>0</v>
      </c>
      <c r="AY136" s="1133">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243"/>
      <c r="B137" s="1102"/>
      <c r="C137" s="1102"/>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1213">
        <f t="shared" si="62"/>
        <v>0</v>
      </c>
      <c r="AW137" s="1213">
        <f t="shared" si="63"/>
        <v>0</v>
      </c>
      <c r="AX137" s="1213">
        <f t="shared" si="64"/>
        <v>0</v>
      </c>
      <c r="AY137" s="1133">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243"/>
      <c r="B138" s="1102"/>
      <c r="C138" s="1102"/>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1213">
        <f t="shared" si="62"/>
        <v>0</v>
      </c>
      <c r="AW138" s="1213">
        <f t="shared" si="63"/>
        <v>0</v>
      </c>
      <c r="AX138" s="1213">
        <f t="shared" si="64"/>
        <v>0</v>
      </c>
      <c r="AY138" s="1133">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243"/>
      <c r="B139" s="1102"/>
      <c r="C139" s="1102"/>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1213">
        <f t="shared" si="62"/>
        <v>0</v>
      </c>
      <c r="AW139" s="1213">
        <f t="shared" si="63"/>
        <v>0</v>
      </c>
      <c r="AX139" s="1213">
        <f t="shared" si="64"/>
        <v>0</v>
      </c>
      <c r="AY139" s="1133">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243"/>
      <c r="B140" s="1102"/>
      <c r="C140" s="1102"/>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1213">
        <f t="shared" si="62"/>
        <v>0</v>
      </c>
      <c r="AW140" s="1213">
        <f t="shared" si="63"/>
        <v>0</v>
      </c>
      <c r="AX140" s="1213">
        <f t="shared" si="64"/>
        <v>0</v>
      </c>
      <c r="AY140" s="1133">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243"/>
      <c r="B141" s="1102"/>
      <c r="C141" s="1102"/>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1213">
        <f t="shared" si="62"/>
        <v>0</v>
      </c>
      <c r="AW141" s="1213">
        <f t="shared" si="63"/>
        <v>0</v>
      </c>
      <c r="AX141" s="1213">
        <f t="shared" si="64"/>
        <v>0</v>
      </c>
      <c r="AY141" s="1133">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243"/>
      <c r="B142" s="1102"/>
      <c r="C142" s="1102"/>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1213">
        <f t="shared" si="62"/>
        <v>0</v>
      </c>
      <c r="AW142" s="1213">
        <f t="shared" si="63"/>
        <v>0</v>
      </c>
      <c r="AX142" s="1213">
        <f t="shared" si="64"/>
        <v>0</v>
      </c>
      <c r="AY142" s="1133">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243"/>
      <c r="B143" s="1102"/>
      <c r="C143" s="1102"/>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1213">
        <f t="shared" si="62"/>
        <v>0</v>
      </c>
      <c r="AW143" s="1213">
        <f t="shared" si="63"/>
        <v>0</v>
      </c>
      <c r="AX143" s="1213">
        <f t="shared" si="64"/>
        <v>0</v>
      </c>
      <c r="AY143" s="1133">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243"/>
      <c r="B144" s="1102"/>
      <c r="C144" s="1102"/>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1213">
        <f t="shared" si="62"/>
        <v>0</v>
      </c>
      <c r="AW144" s="1213">
        <f t="shared" si="63"/>
        <v>0</v>
      </c>
      <c r="AX144" s="1213">
        <f t="shared" si="64"/>
        <v>0</v>
      </c>
      <c r="AY144" s="1133">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243"/>
      <c r="B145" s="1102"/>
      <c r="C145" s="1102"/>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1213">
        <f t="shared" ref="AV145:AV176" si="91">A145</f>
        <v>0</v>
      </c>
      <c r="AW145" s="1213">
        <f t="shared" ref="AW145:AW176" si="92">B145</f>
        <v>0</v>
      </c>
      <c r="AX145" s="1213">
        <f t="shared" ref="AX145:AX176" si="93">C145</f>
        <v>0</v>
      </c>
      <c r="AY145" s="1133">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243"/>
      <c r="B146" s="1102"/>
      <c r="C146" s="1102"/>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1213">
        <f t="shared" si="91"/>
        <v>0</v>
      </c>
      <c r="AW146" s="1213">
        <f t="shared" si="92"/>
        <v>0</v>
      </c>
      <c r="AX146" s="1213">
        <f t="shared" si="93"/>
        <v>0</v>
      </c>
      <c r="AY146" s="1133">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243"/>
      <c r="B147" s="1102"/>
      <c r="C147" s="1102"/>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1213">
        <f t="shared" si="91"/>
        <v>0</v>
      </c>
      <c r="AW147" s="1213">
        <f t="shared" si="92"/>
        <v>0</v>
      </c>
      <c r="AX147" s="1213">
        <f t="shared" si="93"/>
        <v>0</v>
      </c>
      <c r="AY147" s="1133">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243"/>
      <c r="B148" s="1102"/>
      <c r="C148" s="1102"/>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1213">
        <f t="shared" si="91"/>
        <v>0</v>
      </c>
      <c r="AW148" s="1213">
        <f t="shared" si="92"/>
        <v>0</v>
      </c>
      <c r="AX148" s="1213">
        <f t="shared" si="93"/>
        <v>0</v>
      </c>
      <c r="AY148" s="1133">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243"/>
      <c r="B149" s="1102"/>
      <c r="C149" s="1102"/>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1213">
        <f t="shared" si="91"/>
        <v>0</v>
      </c>
      <c r="AW149" s="1213">
        <f t="shared" si="92"/>
        <v>0</v>
      </c>
      <c r="AX149" s="1213">
        <f t="shared" si="93"/>
        <v>0</v>
      </c>
      <c r="AY149" s="1133">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243"/>
      <c r="B150" s="1102"/>
      <c r="C150" s="1102"/>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1213">
        <f t="shared" si="91"/>
        <v>0</v>
      </c>
      <c r="AW150" s="1213">
        <f t="shared" si="92"/>
        <v>0</v>
      </c>
      <c r="AX150" s="1213">
        <f t="shared" si="93"/>
        <v>0</v>
      </c>
      <c r="AY150" s="1133">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243"/>
      <c r="B151" s="1102"/>
      <c r="C151" s="1102"/>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1213">
        <f t="shared" si="91"/>
        <v>0</v>
      </c>
      <c r="AW151" s="1213">
        <f t="shared" si="92"/>
        <v>0</v>
      </c>
      <c r="AX151" s="1213">
        <f t="shared" si="93"/>
        <v>0</v>
      </c>
      <c r="AY151" s="1133">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243"/>
      <c r="B152" s="1102"/>
      <c r="C152" s="1102"/>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1213">
        <f t="shared" si="91"/>
        <v>0</v>
      </c>
      <c r="AW152" s="1213">
        <f t="shared" si="92"/>
        <v>0</v>
      </c>
      <c r="AX152" s="1213">
        <f t="shared" si="93"/>
        <v>0</v>
      </c>
      <c r="AY152" s="1133">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243"/>
      <c r="B153" s="1102"/>
      <c r="C153" s="1102"/>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1213">
        <f t="shared" si="91"/>
        <v>0</v>
      </c>
      <c r="AW153" s="1213">
        <f t="shared" si="92"/>
        <v>0</v>
      </c>
      <c r="AX153" s="1213">
        <f t="shared" si="93"/>
        <v>0</v>
      </c>
      <c r="AY153" s="1133">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243"/>
      <c r="B154" s="1102"/>
      <c r="C154" s="1102"/>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1213">
        <f t="shared" si="91"/>
        <v>0</v>
      </c>
      <c r="AW154" s="1213">
        <f t="shared" si="92"/>
        <v>0</v>
      </c>
      <c r="AX154" s="1213">
        <f t="shared" si="93"/>
        <v>0</v>
      </c>
      <c r="AY154" s="1133">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243"/>
      <c r="B155" s="1102"/>
      <c r="C155" s="1102"/>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1213">
        <f t="shared" si="91"/>
        <v>0</v>
      </c>
      <c r="AW155" s="1213">
        <f t="shared" si="92"/>
        <v>0</v>
      </c>
      <c r="AX155" s="1213">
        <f t="shared" si="93"/>
        <v>0</v>
      </c>
      <c r="AY155" s="1133">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243"/>
      <c r="B156" s="1102"/>
      <c r="C156" s="1102"/>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1213">
        <f t="shared" si="91"/>
        <v>0</v>
      </c>
      <c r="AW156" s="1213">
        <f t="shared" si="92"/>
        <v>0</v>
      </c>
      <c r="AX156" s="1213">
        <f t="shared" si="93"/>
        <v>0</v>
      </c>
      <c r="AY156" s="1133">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243"/>
      <c r="B157" s="1102"/>
      <c r="C157" s="1102"/>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1213">
        <f t="shared" si="91"/>
        <v>0</v>
      </c>
      <c r="AW157" s="1213">
        <f t="shared" si="92"/>
        <v>0</v>
      </c>
      <c r="AX157" s="1213">
        <f t="shared" si="93"/>
        <v>0</v>
      </c>
      <c r="AY157" s="1133">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243"/>
      <c r="B158" s="1102"/>
      <c r="C158" s="1102"/>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1213">
        <f t="shared" si="91"/>
        <v>0</v>
      </c>
      <c r="AW158" s="1213">
        <f t="shared" si="92"/>
        <v>0</v>
      </c>
      <c r="AX158" s="1213">
        <f t="shared" si="93"/>
        <v>0</v>
      </c>
      <c r="AY158" s="1133">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243"/>
      <c r="B159" s="1102"/>
      <c r="C159" s="1102"/>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1213">
        <f t="shared" si="91"/>
        <v>0</v>
      </c>
      <c r="AW159" s="1213">
        <f t="shared" si="92"/>
        <v>0</v>
      </c>
      <c r="AX159" s="1213">
        <f t="shared" si="93"/>
        <v>0</v>
      </c>
      <c r="AY159" s="1133">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243"/>
      <c r="B160" s="1102"/>
      <c r="C160" s="1102"/>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1213">
        <f t="shared" si="91"/>
        <v>0</v>
      </c>
      <c r="AW160" s="1213">
        <f t="shared" si="92"/>
        <v>0</v>
      </c>
      <c r="AX160" s="1213">
        <f t="shared" si="93"/>
        <v>0</v>
      </c>
      <c r="AY160" s="1133">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243"/>
      <c r="B161" s="1102"/>
      <c r="C161" s="1102"/>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1213">
        <f t="shared" si="91"/>
        <v>0</v>
      </c>
      <c r="AW161" s="1213">
        <f t="shared" si="92"/>
        <v>0</v>
      </c>
      <c r="AX161" s="1213">
        <f t="shared" si="93"/>
        <v>0</v>
      </c>
      <c r="AY161" s="1133">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243"/>
      <c r="B162" s="1102"/>
      <c r="C162" s="1102"/>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1213">
        <f t="shared" si="91"/>
        <v>0</v>
      </c>
      <c r="AW162" s="1213">
        <f t="shared" si="92"/>
        <v>0</v>
      </c>
      <c r="AX162" s="1213">
        <f t="shared" si="93"/>
        <v>0</v>
      </c>
      <c r="AY162" s="1133">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243"/>
      <c r="B163" s="1102"/>
      <c r="C163" s="1102"/>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1213">
        <f t="shared" si="91"/>
        <v>0</v>
      </c>
      <c r="AW163" s="1213">
        <f t="shared" si="92"/>
        <v>0</v>
      </c>
      <c r="AX163" s="1213">
        <f t="shared" si="93"/>
        <v>0</v>
      </c>
      <c r="AY163" s="1133">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243"/>
      <c r="B164" s="1102"/>
      <c r="C164" s="1102"/>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1213">
        <f t="shared" si="91"/>
        <v>0</v>
      </c>
      <c r="AW164" s="1213">
        <f t="shared" si="92"/>
        <v>0</v>
      </c>
      <c r="AX164" s="1213">
        <f t="shared" si="93"/>
        <v>0</v>
      </c>
      <c r="AY164" s="1133">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243"/>
      <c r="B165" s="1102"/>
      <c r="C165" s="1102"/>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1213">
        <f t="shared" si="91"/>
        <v>0</v>
      </c>
      <c r="AW165" s="1213">
        <f t="shared" si="92"/>
        <v>0</v>
      </c>
      <c r="AX165" s="1213">
        <f t="shared" si="93"/>
        <v>0</v>
      </c>
      <c r="AY165" s="1133">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243"/>
      <c r="B166" s="1102"/>
      <c r="C166" s="1102"/>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1213">
        <f t="shared" si="91"/>
        <v>0</v>
      </c>
      <c r="AW166" s="1213">
        <f t="shared" si="92"/>
        <v>0</v>
      </c>
      <c r="AX166" s="1213">
        <f t="shared" si="93"/>
        <v>0</v>
      </c>
      <c r="AY166" s="1133">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243"/>
      <c r="B167" s="1102"/>
      <c r="C167" s="1102"/>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1213">
        <f t="shared" si="91"/>
        <v>0</v>
      </c>
      <c r="AW167" s="1213">
        <f t="shared" si="92"/>
        <v>0</v>
      </c>
      <c r="AX167" s="1213">
        <f t="shared" si="93"/>
        <v>0</v>
      </c>
      <c r="AY167" s="1133">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243"/>
      <c r="B168" s="1102"/>
      <c r="C168" s="1102"/>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1213">
        <f t="shared" si="91"/>
        <v>0</v>
      </c>
      <c r="AW168" s="1213">
        <f t="shared" si="92"/>
        <v>0</v>
      </c>
      <c r="AX168" s="1213">
        <f t="shared" si="93"/>
        <v>0</v>
      </c>
      <c r="AY168" s="1133">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243"/>
      <c r="B169" s="1102"/>
      <c r="C169" s="1102"/>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1213">
        <f t="shared" si="91"/>
        <v>0</v>
      </c>
      <c r="AW169" s="1213">
        <f t="shared" si="92"/>
        <v>0</v>
      </c>
      <c r="AX169" s="1213">
        <f t="shared" si="93"/>
        <v>0</v>
      </c>
      <c r="AY169" s="1133">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243"/>
      <c r="B170" s="1102"/>
      <c r="C170" s="1102"/>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1213">
        <f t="shared" si="91"/>
        <v>0</v>
      </c>
      <c r="AW170" s="1213">
        <f t="shared" si="92"/>
        <v>0</v>
      </c>
      <c r="AX170" s="1213">
        <f t="shared" si="93"/>
        <v>0</v>
      </c>
      <c r="AY170" s="1133">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243"/>
      <c r="B171" s="1102"/>
      <c r="C171" s="1102"/>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1213">
        <f t="shared" si="91"/>
        <v>0</v>
      </c>
      <c r="AW171" s="1213">
        <f t="shared" si="92"/>
        <v>0</v>
      </c>
      <c r="AX171" s="1213">
        <f t="shared" si="93"/>
        <v>0</v>
      </c>
      <c r="AY171" s="1133">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243"/>
      <c r="B172" s="1102"/>
      <c r="C172" s="1102"/>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1213">
        <f t="shared" si="91"/>
        <v>0</v>
      </c>
      <c r="AW172" s="1213">
        <f t="shared" si="92"/>
        <v>0</v>
      </c>
      <c r="AX172" s="1213">
        <f t="shared" si="93"/>
        <v>0</v>
      </c>
      <c r="AY172" s="1133">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243"/>
      <c r="B173" s="1102"/>
      <c r="C173" s="1102"/>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1213">
        <f t="shared" si="91"/>
        <v>0</v>
      </c>
      <c r="AW173" s="1213">
        <f t="shared" si="92"/>
        <v>0</v>
      </c>
      <c r="AX173" s="1213">
        <f t="shared" si="93"/>
        <v>0</v>
      </c>
      <c r="AY173" s="1133">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243"/>
      <c r="B174" s="1102"/>
      <c r="C174" s="1102"/>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1213">
        <f t="shared" si="91"/>
        <v>0</v>
      </c>
      <c r="AW174" s="1213">
        <f t="shared" si="92"/>
        <v>0</v>
      </c>
      <c r="AX174" s="1213">
        <f t="shared" si="93"/>
        <v>0</v>
      </c>
      <c r="AY174" s="1133">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243"/>
      <c r="B175" s="1102"/>
      <c r="C175" s="1102"/>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1213">
        <f t="shared" si="91"/>
        <v>0</v>
      </c>
      <c r="AW175" s="1213">
        <f t="shared" si="92"/>
        <v>0</v>
      </c>
      <c r="AX175" s="1213">
        <f t="shared" si="93"/>
        <v>0</v>
      </c>
      <c r="AY175" s="1133">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243"/>
      <c r="B176" s="1102"/>
      <c r="C176" s="1102"/>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1213">
        <f t="shared" si="91"/>
        <v>0</v>
      </c>
      <c r="AW176" s="1213">
        <f t="shared" si="92"/>
        <v>0</v>
      </c>
      <c r="AX176" s="1213">
        <f t="shared" si="93"/>
        <v>0</v>
      </c>
      <c r="AY176" s="1133">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243"/>
      <c r="B177" s="1102"/>
      <c r="C177" s="1102"/>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1213">
        <f t="shared" ref="AV177:AV207" si="120">A177</f>
        <v>0</v>
      </c>
      <c r="AW177" s="1213">
        <f t="shared" ref="AW177:AW207" si="121">B177</f>
        <v>0</v>
      </c>
      <c r="AX177" s="1213">
        <f t="shared" ref="AX177:AX207" si="122">C177</f>
        <v>0</v>
      </c>
      <c r="AY177" s="1133">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243"/>
      <c r="B178" s="1102"/>
      <c r="C178" s="1102"/>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1213">
        <f t="shared" si="120"/>
        <v>0</v>
      </c>
      <c r="AW178" s="1213">
        <f t="shared" si="121"/>
        <v>0</v>
      </c>
      <c r="AX178" s="1213">
        <f t="shared" si="122"/>
        <v>0</v>
      </c>
      <c r="AY178" s="1133">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243"/>
      <c r="B179" s="1102"/>
      <c r="C179" s="1102"/>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1213">
        <f t="shared" si="120"/>
        <v>0</v>
      </c>
      <c r="AW179" s="1213">
        <f t="shared" si="121"/>
        <v>0</v>
      </c>
      <c r="AX179" s="1213">
        <f t="shared" si="122"/>
        <v>0</v>
      </c>
      <c r="AY179" s="1133">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243"/>
      <c r="B180" s="1102"/>
      <c r="C180" s="1102"/>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1213">
        <f t="shared" si="120"/>
        <v>0</v>
      </c>
      <c r="AW180" s="1213">
        <f t="shared" si="121"/>
        <v>0</v>
      </c>
      <c r="AX180" s="1213">
        <f t="shared" si="122"/>
        <v>0</v>
      </c>
      <c r="AY180" s="1133">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243"/>
      <c r="B181" s="1102"/>
      <c r="C181" s="1102"/>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1213">
        <f t="shared" si="120"/>
        <v>0</v>
      </c>
      <c r="AW181" s="1213">
        <f t="shared" si="121"/>
        <v>0</v>
      </c>
      <c r="AX181" s="1213">
        <f t="shared" si="122"/>
        <v>0</v>
      </c>
      <c r="AY181" s="1133">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243"/>
      <c r="B182" s="1102"/>
      <c r="C182" s="1102"/>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1213">
        <f t="shared" si="120"/>
        <v>0</v>
      </c>
      <c r="AW182" s="1213">
        <f t="shared" si="121"/>
        <v>0</v>
      </c>
      <c r="AX182" s="1213">
        <f t="shared" si="122"/>
        <v>0</v>
      </c>
      <c r="AY182" s="1133">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243"/>
      <c r="B183" s="1102"/>
      <c r="C183" s="1102"/>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1213">
        <f t="shared" si="120"/>
        <v>0</v>
      </c>
      <c r="AW183" s="1213">
        <f t="shared" si="121"/>
        <v>0</v>
      </c>
      <c r="AX183" s="1213">
        <f t="shared" si="122"/>
        <v>0</v>
      </c>
      <c r="AY183" s="1133">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243"/>
      <c r="B184" s="1102"/>
      <c r="C184" s="1102"/>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1213">
        <f t="shared" si="120"/>
        <v>0</v>
      </c>
      <c r="AW184" s="1213">
        <f t="shared" si="121"/>
        <v>0</v>
      </c>
      <c r="AX184" s="1213">
        <f t="shared" si="122"/>
        <v>0</v>
      </c>
      <c r="AY184" s="1133">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243"/>
      <c r="B185" s="1102"/>
      <c r="C185" s="1102"/>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1213">
        <f t="shared" si="120"/>
        <v>0</v>
      </c>
      <c r="AW185" s="1213">
        <f t="shared" si="121"/>
        <v>0</v>
      </c>
      <c r="AX185" s="1213">
        <f t="shared" si="122"/>
        <v>0</v>
      </c>
      <c r="AY185" s="1133">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243"/>
      <c r="B186" s="1102"/>
      <c r="C186" s="1102"/>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1213">
        <f t="shared" si="120"/>
        <v>0</v>
      </c>
      <c r="AW186" s="1213">
        <f t="shared" si="121"/>
        <v>0</v>
      </c>
      <c r="AX186" s="1213">
        <f t="shared" si="122"/>
        <v>0</v>
      </c>
      <c r="AY186" s="1133">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243"/>
      <c r="B187" s="1102"/>
      <c r="C187" s="1102"/>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1213">
        <f t="shared" si="120"/>
        <v>0</v>
      </c>
      <c r="AW187" s="1213">
        <f t="shared" si="121"/>
        <v>0</v>
      </c>
      <c r="AX187" s="1213">
        <f t="shared" si="122"/>
        <v>0</v>
      </c>
      <c r="AY187" s="1133">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243"/>
      <c r="B188" s="1102"/>
      <c r="C188" s="1102"/>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1213">
        <f t="shared" si="120"/>
        <v>0</v>
      </c>
      <c r="AW188" s="1213">
        <f t="shared" si="121"/>
        <v>0</v>
      </c>
      <c r="AX188" s="1213">
        <f t="shared" si="122"/>
        <v>0</v>
      </c>
      <c r="AY188" s="1133">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243"/>
      <c r="B189" s="1102"/>
      <c r="C189" s="1102"/>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1213">
        <f t="shared" si="120"/>
        <v>0</v>
      </c>
      <c r="AW189" s="1213">
        <f t="shared" si="121"/>
        <v>0</v>
      </c>
      <c r="AX189" s="1213">
        <f t="shared" si="122"/>
        <v>0</v>
      </c>
      <c r="AY189" s="1133">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243"/>
      <c r="B190" s="1102"/>
      <c r="C190" s="1102"/>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1213">
        <f t="shared" si="120"/>
        <v>0</v>
      </c>
      <c r="AW190" s="1213">
        <f t="shared" si="121"/>
        <v>0</v>
      </c>
      <c r="AX190" s="1213">
        <f t="shared" si="122"/>
        <v>0</v>
      </c>
      <c r="AY190" s="1133">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243"/>
      <c r="B191" s="1102"/>
      <c r="C191" s="1102"/>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1213">
        <f t="shared" si="120"/>
        <v>0</v>
      </c>
      <c r="AW191" s="1213">
        <f t="shared" si="121"/>
        <v>0</v>
      </c>
      <c r="AX191" s="1213">
        <f t="shared" si="122"/>
        <v>0</v>
      </c>
      <c r="AY191" s="1133">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243"/>
      <c r="B192" s="1102"/>
      <c r="C192" s="1102"/>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1213">
        <f t="shared" si="120"/>
        <v>0</v>
      </c>
      <c r="AW192" s="1213">
        <f t="shared" si="121"/>
        <v>0</v>
      </c>
      <c r="AX192" s="1213">
        <f t="shared" si="122"/>
        <v>0</v>
      </c>
      <c r="AY192" s="1133">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243"/>
      <c r="B193" s="1102"/>
      <c r="C193" s="1102"/>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1213">
        <f t="shared" si="120"/>
        <v>0</v>
      </c>
      <c r="AW193" s="1213">
        <f t="shared" si="121"/>
        <v>0</v>
      </c>
      <c r="AX193" s="1213">
        <f t="shared" si="122"/>
        <v>0</v>
      </c>
      <c r="AY193" s="1133">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243"/>
      <c r="B194" s="1102"/>
      <c r="C194" s="1102"/>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1213">
        <f t="shared" si="120"/>
        <v>0</v>
      </c>
      <c r="AW194" s="1213">
        <f t="shared" si="121"/>
        <v>0</v>
      </c>
      <c r="AX194" s="1213">
        <f t="shared" si="122"/>
        <v>0</v>
      </c>
      <c r="AY194" s="1133">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243"/>
      <c r="B195" s="1102"/>
      <c r="C195" s="1102"/>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1213">
        <f t="shared" si="120"/>
        <v>0</v>
      </c>
      <c r="AW195" s="1213">
        <f t="shared" si="121"/>
        <v>0</v>
      </c>
      <c r="AX195" s="1213">
        <f t="shared" si="122"/>
        <v>0</v>
      </c>
      <c r="AY195" s="1133">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243"/>
      <c r="B196" s="1102"/>
      <c r="C196" s="1102"/>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1213">
        <f t="shared" si="120"/>
        <v>0</v>
      </c>
      <c r="AW196" s="1213">
        <f t="shared" si="121"/>
        <v>0</v>
      </c>
      <c r="AX196" s="1213">
        <f t="shared" si="122"/>
        <v>0</v>
      </c>
      <c r="AY196" s="1133">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243"/>
      <c r="B197" s="1102"/>
      <c r="C197" s="1102"/>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1213">
        <f t="shared" si="120"/>
        <v>0</v>
      </c>
      <c r="AW197" s="1213">
        <f t="shared" si="121"/>
        <v>0</v>
      </c>
      <c r="AX197" s="1213">
        <f t="shared" si="122"/>
        <v>0</v>
      </c>
      <c r="AY197" s="1133">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243"/>
      <c r="B198" s="1102"/>
      <c r="C198" s="1102"/>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1213">
        <f t="shared" si="120"/>
        <v>0</v>
      </c>
      <c r="AW198" s="1213">
        <f t="shared" si="121"/>
        <v>0</v>
      </c>
      <c r="AX198" s="1213">
        <f t="shared" si="122"/>
        <v>0</v>
      </c>
      <c r="AY198" s="1133">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243"/>
      <c r="B199" s="1102"/>
      <c r="C199" s="1102"/>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1213">
        <f t="shared" si="120"/>
        <v>0</v>
      </c>
      <c r="AW199" s="1213">
        <f t="shared" si="121"/>
        <v>0</v>
      </c>
      <c r="AX199" s="1213">
        <f t="shared" si="122"/>
        <v>0</v>
      </c>
      <c r="AY199" s="1133">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243"/>
      <c r="B200" s="1102"/>
      <c r="C200" s="1102"/>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1213">
        <f t="shared" si="120"/>
        <v>0</v>
      </c>
      <c r="AW200" s="1213">
        <f t="shared" si="121"/>
        <v>0</v>
      </c>
      <c r="AX200" s="1213">
        <f t="shared" si="122"/>
        <v>0</v>
      </c>
      <c r="AY200" s="1133">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243"/>
      <c r="B201" s="1102"/>
      <c r="C201" s="1102"/>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1213">
        <f t="shared" si="120"/>
        <v>0</v>
      </c>
      <c r="AW201" s="1213">
        <f t="shared" si="121"/>
        <v>0</v>
      </c>
      <c r="AX201" s="1213">
        <f t="shared" si="122"/>
        <v>0</v>
      </c>
      <c r="AY201" s="1133">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243"/>
      <c r="B202" s="1102"/>
      <c r="C202" s="1102"/>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1213">
        <f t="shared" si="120"/>
        <v>0</v>
      </c>
      <c r="AW202" s="1213">
        <f t="shared" si="121"/>
        <v>0</v>
      </c>
      <c r="AX202" s="1213">
        <f t="shared" si="122"/>
        <v>0</v>
      </c>
      <c r="AY202" s="1133">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243"/>
      <c r="B203" s="1102"/>
      <c r="C203" s="1102"/>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1213">
        <f t="shared" si="120"/>
        <v>0</v>
      </c>
      <c r="AW203" s="1213">
        <f t="shared" si="121"/>
        <v>0</v>
      </c>
      <c r="AX203" s="1213">
        <f t="shared" si="122"/>
        <v>0</v>
      </c>
      <c r="AY203" s="1133">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243"/>
      <c r="B204" s="1102"/>
      <c r="C204" s="1102"/>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1213">
        <f t="shared" si="120"/>
        <v>0</v>
      </c>
      <c r="AW204" s="1213">
        <f t="shared" si="121"/>
        <v>0</v>
      </c>
      <c r="AX204" s="1213">
        <f t="shared" si="122"/>
        <v>0</v>
      </c>
      <c r="AY204" s="1133">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243"/>
      <c r="B205" s="1243"/>
      <c r="C205" s="1243"/>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2136"/>
      <c r="AV205" s="1213">
        <f t="shared" si="120"/>
        <v>0</v>
      </c>
      <c r="AW205" s="1213">
        <f t="shared" si="121"/>
        <v>0</v>
      </c>
      <c r="AX205" s="1213">
        <f t="shared" si="122"/>
        <v>0</v>
      </c>
      <c r="AY205" s="1133">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243"/>
      <c r="B206" s="1243"/>
      <c r="C206" s="1243"/>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2136"/>
      <c r="AV206" s="1213">
        <f t="shared" si="120"/>
        <v>0</v>
      </c>
      <c r="AW206" s="1213">
        <f t="shared" si="121"/>
        <v>0</v>
      </c>
      <c r="AX206" s="1213">
        <f t="shared" si="122"/>
        <v>0</v>
      </c>
      <c r="AY206" s="1133">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243"/>
      <c r="B207" s="1243"/>
      <c r="C207" s="1243"/>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2136"/>
      <c r="AV207" s="1213">
        <f t="shared" si="120"/>
        <v>0</v>
      </c>
      <c r="AW207" s="1213">
        <f t="shared" si="121"/>
        <v>0</v>
      </c>
      <c r="AX207" s="1213">
        <f t="shared" si="122"/>
        <v>0</v>
      </c>
      <c r="AY207" s="1133">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243"/>
      <c r="B208" s="1102"/>
      <c r="C208" s="1102"/>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1213">
        <f t="shared" ref="AV208:AV302" si="127">A208</f>
        <v>0</v>
      </c>
      <c r="AW208" s="1213">
        <f t="shared" ref="AW208:AW302" si="128">B208</f>
        <v>0</v>
      </c>
      <c r="AX208" s="1213">
        <f t="shared" ref="AX208:AX302" si="129">C208</f>
        <v>0</v>
      </c>
      <c r="AY208" s="1133">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243"/>
      <c r="B209" s="1102"/>
      <c r="C209" s="1102"/>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1213">
        <f t="shared" si="127"/>
        <v>0</v>
      </c>
      <c r="AW209" s="1213">
        <f t="shared" si="128"/>
        <v>0</v>
      </c>
      <c r="AX209" s="1213">
        <f t="shared" si="129"/>
        <v>0</v>
      </c>
      <c r="AY209" s="1133">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243"/>
      <c r="B210" s="1102"/>
      <c r="C210" s="1102"/>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1213">
        <f t="shared" si="127"/>
        <v>0</v>
      </c>
      <c r="AW210" s="1213">
        <f t="shared" si="128"/>
        <v>0</v>
      </c>
      <c r="AX210" s="1213">
        <f t="shared" si="129"/>
        <v>0</v>
      </c>
      <c r="AY210" s="1133">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243"/>
      <c r="B211" s="1102"/>
      <c r="C211" s="1102"/>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1213">
        <f t="shared" si="127"/>
        <v>0</v>
      </c>
      <c r="AW211" s="1213">
        <f t="shared" si="128"/>
        <v>0</v>
      </c>
      <c r="AX211" s="1213">
        <f t="shared" si="129"/>
        <v>0</v>
      </c>
      <c r="AY211" s="1133">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243"/>
      <c r="B212" s="1102"/>
      <c r="C212" s="1102"/>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1213">
        <f t="shared" si="127"/>
        <v>0</v>
      </c>
      <c r="AW212" s="1213">
        <f t="shared" si="128"/>
        <v>0</v>
      </c>
      <c r="AX212" s="1213">
        <f t="shared" si="129"/>
        <v>0</v>
      </c>
      <c r="AY212" s="1133">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243"/>
      <c r="B213" s="1102"/>
      <c r="C213" s="1102"/>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1213">
        <f t="shared" si="127"/>
        <v>0</v>
      </c>
      <c r="AW213" s="1213">
        <f t="shared" si="128"/>
        <v>0</v>
      </c>
      <c r="AX213" s="1213">
        <f t="shared" si="129"/>
        <v>0</v>
      </c>
      <c r="AY213" s="1133">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243"/>
      <c r="B214" s="1102"/>
      <c r="C214" s="1102"/>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1213">
        <f t="shared" si="127"/>
        <v>0</v>
      </c>
      <c r="AW214" s="1213">
        <f t="shared" si="128"/>
        <v>0</v>
      </c>
      <c r="AX214" s="1213">
        <f t="shared" si="129"/>
        <v>0</v>
      </c>
      <c r="AY214" s="1133">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243"/>
      <c r="B215" s="1102"/>
      <c r="C215" s="1102"/>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1213">
        <f t="shared" si="127"/>
        <v>0</v>
      </c>
      <c r="AW215" s="1213">
        <f t="shared" si="128"/>
        <v>0</v>
      </c>
      <c r="AX215" s="1213">
        <f t="shared" si="129"/>
        <v>0</v>
      </c>
      <c r="AY215" s="1133">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243"/>
      <c r="B216" s="1102"/>
      <c r="C216" s="1102"/>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1213">
        <f t="shared" si="127"/>
        <v>0</v>
      </c>
      <c r="AW216" s="1213">
        <f t="shared" si="128"/>
        <v>0</v>
      </c>
      <c r="AX216" s="1213">
        <f t="shared" si="129"/>
        <v>0</v>
      </c>
      <c r="AY216" s="1133">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243"/>
      <c r="B217" s="1102"/>
      <c r="C217" s="1102"/>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1213">
        <f t="shared" si="127"/>
        <v>0</v>
      </c>
      <c r="AW217" s="1213">
        <f t="shared" si="128"/>
        <v>0</v>
      </c>
      <c r="AX217" s="1213">
        <f t="shared" si="129"/>
        <v>0</v>
      </c>
      <c r="AY217" s="1133">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243"/>
      <c r="B218" s="1102"/>
      <c r="C218" s="1102"/>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1213">
        <f t="shared" si="127"/>
        <v>0</v>
      </c>
      <c r="AW218" s="1213">
        <f t="shared" si="128"/>
        <v>0</v>
      </c>
      <c r="AX218" s="1213">
        <f t="shared" si="129"/>
        <v>0</v>
      </c>
      <c r="AY218" s="1133">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243"/>
      <c r="B219" s="1102"/>
      <c r="C219" s="1102"/>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1213">
        <f t="shared" si="127"/>
        <v>0</v>
      </c>
      <c r="AW219" s="1213">
        <f t="shared" si="128"/>
        <v>0</v>
      </c>
      <c r="AX219" s="1213">
        <f t="shared" si="129"/>
        <v>0</v>
      </c>
      <c r="AY219" s="1133">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243"/>
      <c r="B220" s="1102"/>
      <c r="C220" s="1102"/>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1213">
        <f t="shared" si="127"/>
        <v>0</v>
      </c>
      <c r="AW220" s="1213">
        <f t="shared" si="128"/>
        <v>0</v>
      </c>
      <c r="AX220" s="1213">
        <f t="shared" si="129"/>
        <v>0</v>
      </c>
      <c r="AY220" s="1133">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243"/>
      <c r="B221" s="1102"/>
      <c r="C221" s="1102"/>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1213">
        <f t="shared" si="127"/>
        <v>0</v>
      </c>
      <c r="AW221" s="1213">
        <f t="shared" si="128"/>
        <v>0</v>
      </c>
      <c r="AX221" s="1213">
        <f t="shared" si="129"/>
        <v>0</v>
      </c>
      <c r="AY221" s="1133">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243"/>
      <c r="B222" s="1102"/>
      <c r="C222" s="1102"/>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1213">
        <f t="shared" si="127"/>
        <v>0</v>
      </c>
      <c r="AW222" s="1213">
        <f t="shared" si="128"/>
        <v>0</v>
      </c>
      <c r="AX222" s="1213">
        <f t="shared" si="129"/>
        <v>0</v>
      </c>
      <c r="AY222" s="1133">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243"/>
      <c r="B223" s="1102"/>
      <c r="C223" s="1102"/>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1213">
        <f t="shared" si="127"/>
        <v>0</v>
      </c>
      <c r="AW223" s="1213">
        <f t="shared" si="128"/>
        <v>0</v>
      </c>
      <c r="AX223" s="1213">
        <f t="shared" si="129"/>
        <v>0</v>
      </c>
      <c r="AY223" s="1133">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243"/>
      <c r="B224" s="1102"/>
      <c r="C224" s="1102"/>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1213">
        <f t="shared" si="127"/>
        <v>0</v>
      </c>
      <c r="AW224" s="1213">
        <f t="shared" si="128"/>
        <v>0</v>
      </c>
      <c r="AX224" s="1213">
        <f t="shared" si="129"/>
        <v>0</v>
      </c>
      <c r="AY224" s="1133">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243"/>
      <c r="B225" s="1102"/>
      <c r="C225" s="1102"/>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1213">
        <f t="shared" si="127"/>
        <v>0</v>
      </c>
      <c r="AW225" s="1213">
        <f t="shared" si="128"/>
        <v>0</v>
      </c>
      <c r="AX225" s="1213">
        <f t="shared" si="129"/>
        <v>0</v>
      </c>
      <c r="AY225" s="1133">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243"/>
      <c r="B226" s="1102"/>
      <c r="C226" s="1102"/>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1213">
        <f t="shared" si="127"/>
        <v>0</v>
      </c>
      <c r="AW226" s="1213">
        <f t="shared" si="128"/>
        <v>0</v>
      </c>
      <c r="AX226" s="1213">
        <f t="shared" si="129"/>
        <v>0</v>
      </c>
      <c r="AY226" s="1133">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243"/>
      <c r="B227" s="1102"/>
      <c r="C227" s="1102"/>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1213">
        <f t="shared" si="127"/>
        <v>0</v>
      </c>
      <c r="AW227" s="1213">
        <f t="shared" si="128"/>
        <v>0</v>
      </c>
      <c r="AX227" s="1213">
        <f t="shared" si="129"/>
        <v>0</v>
      </c>
      <c r="AY227" s="1133">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243"/>
      <c r="B228" s="1102"/>
      <c r="C228" s="1102"/>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1213">
        <f t="shared" si="127"/>
        <v>0</v>
      </c>
      <c r="AW228" s="1213">
        <f t="shared" si="128"/>
        <v>0</v>
      </c>
      <c r="AX228" s="1213">
        <f t="shared" si="129"/>
        <v>0</v>
      </c>
      <c r="AY228" s="1133">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243"/>
      <c r="B229" s="1102"/>
      <c r="C229" s="1102"/>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1213">
        <f t="shared" si="127"/>
        <v>0</v>
      </c>
      <c r="AW229" s="1213">
        <f t="shared" si="128"/>
        <v>0</v>
      </c>
      <c r="AX229" s="1213">
        <f t="shared" si="129"/>
        <v>0</v>
      </c>
      <c r="AY229" s="1133">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243"/>
      <c r="B230" s="1102"/>
      <c r="C230" s="1102"/>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1213">
        <f t="shared" si="127"/>
        <v>0</v>
      </c>
      <c r="AW230" s="1213">
        <f t="shared" si="128"/>
        <v>0</v>
      </c>
      <c r="AX230" s="1213">
        <f t="shared" si="129"/>
        <v>0</v>
      </c>
      <c r="AY230" s="1133">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243"/>
      <c r="B231" s="1102"/>
      <c r="C231" s="1102"/>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1213">
        <f t="shared" si="127"/>
        <v>0</v>
      </c>
      <c r="AW231" s="1213">
        <f t="shared" si="128"/>
        <v>0</v>
      </c>
      <c r="AX231" s="1213">
        <f t="shared" si="129"/>
        <v>0</v>
      </c>
      <c r="AY231" s="1133">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243"/>
      <c r="B232" s="1102"/>
      <c r="C232" s="1102"/>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1213">
        <f t="shared" si="127"/>
        <v>0</v>
      </c>
      <c r="AW232" s="1213">
        <f t="shared" si="128"/>
        <v>0</v>
      </c>
      <c r="AX232" s="1213">
        <f t="shared" si="129"/>
        <v>0</v>
      </c>
      <c r="AY232" s="1133">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243"/>
      <c r="B233" s="1102"/>
      <c r="C233" s="1102"/>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1213">
        <f t="shared" si="127"/>
        <v>0</v>
      </c>
      <c r="AW233" s="1213">
        <f t="shared" si="128"/>
        <v>0</v>
      </c>
      <c r="AX233" s="1213">
        <f t="shared" si="129"/>
        <v>0</v>
      </c>
      <c r="AY233" s="1133">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243"/>
      <c r="B234" s="1102"/>
      <c r="C234" s="1102"/>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1213">
        <f t="shared" si="127"/>
        <v>0</v>
      </c>
      <c r="AW234" s="1213">
        <f t="shared" si="128"/>
        <v>0</v>
      </c>
      <c r="AX234" s="1213">
        <f t="shared" si="129"/>
        <v>0</v>
      </c>
      <c r="AY234" s="1133">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243"/>
      <c r="B235" s="1102"/>
      <c r="C235" s="1102"/>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1213">
        <f t="shared" si="127"/>
        <v>0</v>
      </c>
      <c r="AW235" s="1213">
        <f t="shared" si="128"/>
        <v>0</v>
      </c>
      <c r="AX235" s="1213">
        <f t="shared" si="129"/>
        <v>0</v>
      </c>
      <c r="AY235" s="1133">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243"/>
      <c r="B236" s="1102"/>
      <c r="C236" s="1102"/>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1213">
        <f t="shared" si="127"/>
        <v>0</v>
      </c>
      <c r="AW236" s="1213">
        <f t="shared" si="128"/>
        <v>0</v>
      </c>
      <c r="AX236" s="1213">
        <f t="shared" si="129"/>
        <v>0</v>
      </c>
      <c r="AY236" s="1133">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243"/>
      <c r="B237" s="1102"/>
      <c r="C237" s="1102"/>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1213">
        <f t="shared" si="127"/>
        <v>0</v>
      </c>
      <c r="AW237" s="1213">
        <f t="shared" si="128"/>
        <v>0</v>
      </c>
      <c r="AX237" s="1213">
        <f t="shared" si="129"/>
        <v>0</v>
      </c>
      <c r="AY237" s="1133">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243"/>
      <c r="B238" s="1102"/>
      <c r="C238" s="1102"/>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1213">
        <f t="shared" si="127"/>
        <v>0</v>
      </c>
      <c r="AW238" s="1213">
        <f t="shared" si="128"/>
        <v>0</v>
      </c>
      <c r="AX238" s="1213">
        <f t="shared" si="129"/>
        <v>0</v>
      </c>
      <c r="AY238" s="1133">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243"/>
      <c r="B239" s="1102"/>
      <c r="C239" s="1102"/>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1213">
        <f t="shared" si="127"/>
        <v>0</v>
      </c>
      <c r="AW239" s="1213">
        <f t="shared" si="128"/>
        <v>0</v>
      </c>
      <c r="AX239" s="1213">
        <f t="shared" si="129"/>
        <v>0</v>
      </c>
      <c r="AY239" s="1133">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243"/>
      <c r="B240" s="1102"/>
      <c r="C240" s="1102"/>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1213">
        <f t="shared" si="127"/>
        <v>0</v>
      </c>
      <c r="AW240" s="1213">
        <f t="shared" si="128"/>
        <v>0</v>
      </c>
      <c r="AX240" s="1213">
        <f t="shared" si="129"/>
        <v>0</v>
      </c>
      <c r="AY240" s="1133">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243"/>
      <c r="B241" s="1102"/>
      <c r="C241" s="1102"/>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1213">
        <f t="shared" si="127"/>
        <v>0</v>
      </c>
      <c r="AW241" s="1213">
        <f t="shared" si="128"/>
        <v>0</v>
      </c>
      <c r="AX241" s="1213">
        <f t="shared" si="129"/>
        <v>0</v>
      </c>
      <c r="AY241" s="1133">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243"/>
      <c r="B242" s="1102"/>
      <c r="C242" s="1102"/>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1213">
        <f t="shared" si="127"/>
        <v>0</v>
      </c>
      <c r="AW242" s="1213">
        <f t="shared" si="128"/>
        <v>0</v>
      </c>
      <c r="AX242" s="1213">
        <f t="shared" si="129"/>
        <v>0</v>
      </c>
      <c r="AY242" s="1133">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243"/>
      <c r="B243" s="1102"/>
      <c r="C243" s="1102"/>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1213">
        <f t="shared" si="127"/>
        <v>0</v>
      </c>
      <c r="AW243" s="1213">
        <f t="shared" si="128"/>
        <v>0</v>
      </c>
      <c r="AX243" s="1213">
        <f t="shared" si="129"/>
        <v>0</v>
      </c>
      <c r="AY243" s="1133">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243"/>
      <c r="B244" s="1102"/>
      <c r="C244" s="1102"/>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1213">
        <f t="shared" si="127"/>
        <v>0</v>
      </c>
      <c r="AW244" s="1213">
        <f t="shared" si="128"/>
        <v>0</v>
      </c>
      <c r="AX244" s="1213">
        <f t="shared" si="129"/>
        <v>0</v>
      </c>
      <c r="AY244" s="1133">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243"/>
      <c r="B245" s="1102"/>
      <c r="C245" s="1102"/>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1213">
        <f t="shared" si="127"/>
        <v>0</v>
      </c>
      <c r="AW245" s="1213">
        <f t="shared" si="128"/>
        <v>0</v>
      </c>
      <c r="AX245" s="1213">
        <f t="shared" si="129"/>
        <v>0</v>
      </c>
      <c r="AY245" s="1133">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243"/>
      <c r="B246" s="1102"/>
      <c r="C246" s="1102"/>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1213">
        <f t="shared" si="127"/>
        <v>0</v>
      </c>
      <c r="AW246" s="1213">
        <f t="shared" si="128"/>
        <v>0</v>
      </c>
      <c r="AX246" s="1213">
        <f t="shared" si="129"/>
        <v>0</v>
      </c>
      <c r="AY246" s="1133">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243"/>
      <c r="B247" s="1102"/>
      <c r="C247" s="1102"/>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1213">
        <f t="shared" si="127"/>
        <v>0</v>
      </c>
      <c r="AW247" s="1213">
        <f t="shared" si="128"/>
        <v>0</v>
      </c>
      <c r="AX247" s="1213">
        <f t="shared" si="129"/>
        <v>0</v>
      </c>
      <c r="AY247" s="1133">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243"/>
      <c r="B248" s="1102"/>
      <c r="C248" s="1102"/>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1213">
        <f t="shared" si="127"/>
        <v>0</v>
      </c>
      <c r="AW248" s="1213">
        <f t="shared" si="128"/>
        <v>0</v>
      </c>
      <c r="AX248" s="1213">
        <f t="shared" si="129"/>
        <v>0</v>
      </c>
      <c r="AY248" s="1133">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243"/>
      <c r="B249" s="1102"/>
      <c r="C249" s="1102"/>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1213">
        <f t="shared" si="127"/>
        <v>0</v>
      </c>
      <c r="AW249" s="1213">
        <f t="shared" si="128"/>
        <v>0</v>
      </c>
      <c r="AX249" s="1213">
        <f t="shared" si="129"/>
        <v>0</v>
      </c>
      <c r="AY249" s="1133">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243"/>
      <c r="B250" s="1102"/>
      <c r="C250" s="1102"/>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1213">
        <f t="shared" si="127"/>
        <v>0</v>
      </c>
      <c r="AW250" s="1213">
        <f t="shared" si="128"/>
        <v>0</v>
      </c>
      <c r="AX250" s="1213">
        <f t="shared" si="129"/>
        <v>0</v>
      </c>
      <c r="AY250" s="1133">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243"/>
      <c r="B251" s="1102"/>
      <c r="C251" s="1102"/>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1213">
        <f t="shared" si="127"/>
        <v>0</v>
      </c>
      <c r="AW251" s="1213">
        <f t="shared" si="128"/>
        <v>0</v>
      </c>
      <c r="AX251" s="1213">
        <f t="shared" si="129"/>
        <v>0</v>
      </c>
      <c r="AY251" s="1133">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243"/>
      <c r="B252" s="1102"/>
      <c r="C252" s="1102"/>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1213">
        <f t="shared" si="127"/>
        <v>0</v>
      </c>
      <c r="AW252" s="1213">
        <f t="shared" si="128"/>
        <v>0</v>
      </c>
      <c r="AX252" s="1213">
        <f t="shared" si="129"/>
        <v>0</v>
      </c>
      <c r="AY252" s="1133">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243"/>
      <c r="B253" s="1102"/>
      <c r="C253" s="1102"/>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1213">
        <f t="shared" si="127"/>
        <v>0</v>
      </c>
      <c r="AW253" s="1213">
        <f t="shared" si="128"/>
        <v>0</v>
      </c>
      <c r="AX253" s="1213">
        <f t="shared" si="129"/>
        <v>0</v>
      </c>
      <c r="AY253" s="1133">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243"/>
      <c r="B254" s="1102"/>
      <c r="C254" s="1102"/>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1213">
        <f t="shared" si="127"/>
        <v>0</v>
      </c>
      <c r="AW254" s="1213">
        <f t="shared" si="128"/>
        <v>0</v>
      </c>
      <c r="AX254" s="1213">
        <f t="shared" si="129"/>
        <v>0</v>
      </c>
      <c r="AY254" s="1133">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243"/>
      <c r="B255" s="1102"/>
      <c r="C255" s="1102"/>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1213">
        <f t="shared" si="127"/>
        <v>0</v>
      </c>
      <c r="AW255" s="1213">
        <f t="shared" si="128"/>
        <v>0</v>
      </c>
      <c r="AX255" s="1213">
        <f t="shared" si="129"/>
        <v>0</v>
      </c>
      <c r="AY255" s="1133">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243"/>
      <c r="B256" s="1102"/>
      <c r="C256" s="1102"/>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1213">
        <f t="shared" si="127"/>
        <v>0</v>
      </c>
      <c r="AW256" s="1213">
        <f t="shared" si="128"/>
        <v>0</v>
      </c>
      <c r="AX256" s="1213">
        <f t="shared" si="129"/>
        <v>0</v>
      </c>
      <c r="AY256" s="1133">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243"/>
      <c r="B257" s="1102"/>
      <c r="C257" s="1102"/>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1213">
        <f t="shared" si="127"/>
        <v>0</v>
      </c>
      <c r="AW257" s="1213">
        <f t="shared" si="128"/>
        <v>0</v>
      </c>
      <c r="AX257" s="1213">
        <f t="shared" si="129"/>
        <v>0</v>
      </c>
      <c r="AY257" s="1133">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243"/>
      <c r="B258" s="1102"/>
      <c r="C258" s="1102"/>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1213">
        <f t="shared" si="127"/>
        <v>0</v>
      </c>
      <c r="AW258" s="1213">
        <f t="shared" si="128"/>
        <v>0</v>
      </c>
      <c r="AX258" s="1213">
        <f t="shared" si="129"/>
        <v>0</v>
      </c>
      <c r="AY258" s="1133">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243"/>
      <c r="B259" s="1102"/>
      <c r="C259" s="1102"/>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1213">
        <f t="shared" si="127"/>
        <v>0</v>
      </c>
      <c r="AW259" s="1213">
        <f t="shared" si="128"/>
        <v>0</v>
      </c>
      <c r="AX259" s="1213">
        <f t="shared" si="129"/>
        <v>0</v>
      </c>
      <c r="AY259" s="1133">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243"/>
      <c r="B260" s="1102"/>
      <c r="C260" s="1102"/>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1213">
        <f t="shared" si="127"/>
        <v>0</v>
      </c>
      <c r="AW260" s="1213">
        <f t="shared" si="128"/>
        <v>0</v>
      </c>
      <c r="AX260" s="1213">
        <f t="shared" si="129"/>
        <v>0</v>
      </c>
      <c r="AY260" s="1133">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243"/>
      <c r="B261" s="1102"/>
      <c r="C261" s="1102"/>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1213">
        <f t="shared" si="127"/>
        <v>0</v>
      </c>
      <c r="AW261" s="1213">
        <f t="shared" si="128"/>
        <v>0</v>
      </c>
      <c r="AX261" s="1213">
        <f t="shared" si="129"/>
        <v>0</v>
      </c>
      <c r="AY261" s="1133">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243"/>
      <c r="B262" s="1102"/>
      <c r="C262" s="1102"/>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1213">
        <f t="shared" si="127"/>
        <v>0</v>
      </c>
      <c r="AW262" s="1213">
        <f t="shared" si="128"/>
        <v>0</v>
      </c>
      <c r="AX262" s="1213">
        <f t="shared" si="129"/>
        <v>0</v>
      </c>
      <c r="AY262" s="1133">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243"/>
      <c r="B263" s="1102"/>
      <c r="C263" s="1102"/>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1213">
        <f t="shared" si="127"/>
        <v>0</v>
      </c>
      <c r="AW263" s="1213">
        <f t="shared" si="128"/>
        <v>0</v>
      </c>
      <c r="AX263" s="1213">
        <f t="shared" si="129"/>
        <v>0</v>
      </c>
      <c r="AY263" s="1133">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243"/>
      <c r="B264" s="1102"/>
      <c r="C264" s="1102"/>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1213">
        <f t="shared" si="127"/>
        <v>0</v>
      </c>
      <c r="AW264" s="1213">
        <f t="shared" si="128"/>
        <v>0</v>
      </c>
      <c r="AX264" s="1213">
        <f t="shared" si="129"/>
        <v>0</v>
      </c>
      <c r="AY264" s="1133">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243"/>
      <c r="B265" s="1102"/>
      <c r="C265" s="1102"/>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1213">
        <f t="shared" si="127"/>
        <v>0</v>
      </c>
      <c r="AW265" s="1213">
        <f t="shared" si="128"/>
        <v>0</v>
      </c>
      <c r="AX265" s="1213">
        <f t="shared" si="129"/>
        <v>0</v>
      </c>
      <c r="AY265" s="1133">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243"/>
      <c r="B266" s="1102"/>
      <c r="C266" s="1102"/>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1213">
        <f t="shared" si="127"/>
        <v>0</v>
      </c>
      <c r="AW266" s="1213">
        <f t="shared" si="128"/>
        <v>0</v>
      </c>
      <c r="AX266" s="1213">
        <f t="shared" si="129"/>
        <v>0</v>
      </c>
      <c r="AY266" s="1133">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243"/>
      <c r="B267" s="1102"/>
      <c r="C267" s="1102"/>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1213">
        <f t="shared" si="127"/>
        <v>0</v>
      </c>
      <c r="AW267" s="1213">
        <f t="shared" si="128"/>
        <v>0</v>
      </c>
      <c r="AX267" s="1213">
        <f t="shared" si="129"/>
        <v>0</v>
      </c>
      <c r="AY267" s="1133">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243"/>
      <c r="B268" s="1102"/>
      <c r="C268" s="1102"/>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1213">
        <f t="shared" si="127"/>
        <v>0</v>
      </c>
      <c r="AW268" s="1213">
        <f t="shared" si="128"/>
        <v>0</v>
      </c>
      <c r="AX268" s="1213">
        <f t="shared" si="129"/>
        <v>0</v>
      </c>
      <c r="AY268" s="1133">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243"/>
      <c r="B269" s="1102"/>
      <c r="C269" s="1102"/>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1213">
        <f t="shared" si="127"/>
        <v>0</v>
      </c>
      <c r="AW269" s="1213">
        <f t="shared" si="128"/>
        <v>0</v>
      </c>
      <c r="AX269" s="1213">
        <f t="shared" si="129"/>
        <v>0</v>
      </c>
      <c r="AY269" s="1133">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243"/>
      <c r="B270" s="1102"/>
      <c r="C270" s="1102"/>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1213">
        <f t="shared" si="127"/>
        <v>0</v>
      </c>
      <c r="AW270" s="1213">
        <f t="shared" si="128"/>
        <v>0</v>
      </c>
      <c r="AX270" s="1213">
        <f t="shared" si="129"/>
        <v>0</v>
      </c>
      <c r="AY270" s="1133">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243"/>
      <c r="B271" s="1102"/>
      <c r="C271" s="1102"/>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1213">
        <f t="shared" si="127"/>
        <v>0</v>
      </c>
      <c r="AW271" s="1213">
        <f t="shared" si="128"/>
        <v>0</v>
      </c>
      <c r="AX271" s="1213">
        <f t="shared" si="129"/>
        <v>0</v>
      </c>
      <c r="AY271" s="1133">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243"/>
      <c r="B272" s="1102"/>
      <c r="C272" s="1102"/>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1213">
        <f t="shared" si="127"/>
        <v>0</v>
      </c>
      <c r="AW272" s="1213">
        <f t="shared" si="128"/>
        <v>0</v>
      </c>
      <c r="AX272" s="1213">
        <f t="shared" si="129"/>
        <v>0</v>
      </c>
      <c r="AY272" s="1133">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243"/>
      <c r="B273" s="1102"/>
      <c r="C273" s="1102"/>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1213">
        <f t="shared" si="127"/>
        <v>0</v>
      </c>
      <c r="AW273" s="1213">
        <f t="shared" si="128"/>
        <v>0</v>
      </c>
      <c r="AX273" s="1213">
        <f t="shared" si="129"/>
        <v>0</v>
      </c>
      <c r="AY273" s="1133">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243"/>
      <c r="B274" s="1102"/>
      <c r="C274" s="1102"/>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1213">
        <f t="shared" si="127"/>
        <v>0</v>
      </c>
      <c r="AW274" s="1213">
        <f t="shared" si="128"/>
        <v>0</v>
      </c>
      <c r="AX274" s="1213">
        <f t="shared" si="129"/>
        <v>0</v>
      </c>
      <c r="AY274" s="1133">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243"/>
      <c r="B275" s="1102"/>
      <c r="C275" s="1102"/>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1213">
        <f t="shared" si="127"/>
        <v>0</v>
      </c>
      <c r="AW275" s="1213">
        <f t="shared" si="128"/>
        <v>0</v>
      </c>
      <c r="AX275" s="1213">
        <f t="shared" si="129"/>
        <v>0</v>
      </c>
      <c r="AY275" s="1133">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243"/>
      <c r="B276" s="1102"/>
      <c r="C276" s="1102"/>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1213">
        <f t="shared" si="127"/>
        <v>0</v>
      </c>
      <c r="AW276" s="1213">
        <f t="shared" si="128"/>
        <v>0</v>
      </c>
      <c r="AX276" s="1213">
        <f t="shared" si="129"/>
        <v>0</v>
      </c>
      <c r="AY276" s="1133">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243"/>
      <c r="B277" s="1102"/>
      <c r="C277" s="1102"/>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1213">
        <f t="shared" si="127"/>
        <v>0</v>
      </c>
      <c r="AW277" s="1213">
        <f t="shared" si="128"/>
        <v>0</v>
      </c>
      <c r="AX277" s="1213">
        <f t="shared" si="129"/>
        <v>0</v>
      </c>
      <c r="AY277" s="1133">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243"/>
      <c r="B278" s="1102"/>
      <c r="C278" s="1102"/>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1213">
        <f t="shared" si="127"/>
        <v>0</v>
      </c>
      <c r="AW278" s="1213">
        <f t="shared" si="128"/>
        <v>0</v>
      </c>
      <c r="AX278" s="1213">
        <f t="shared" si="129"/>
        <v>0</v>
      </c>
      <c r="AY278" s="1133">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243"/>
      <c r="B279" s="1102"/>
      <c r="C279" s="1102"/>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1213">
        <f t="shared" si="127"/>
        <v>0</v>
      </c>
      <c r="AW279" s="1213">
        <f t="shared" si="128"/>
        <v>0</v>
      </c>
      <c r="AX279" s="1213">
        <f t="shared" si="129"/>
        <v>0</v>
      </c>
      <c r="AY279" s="1133">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243"/>
      <c r="B280" s="1102"/>
      <c r="C280" s="1102"/>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1213">
        <f t="shared" si="127"/>
        <v>0</v>
      </c>
      <c r="AW280" s="1213">
        <f t="shared" si="128"/>
        <v>0</v>
      </c>
      <c r="AX280" s="1213">
        <f t="shared" si="129"/>
        <v>0</v>
      </c>
      <c r="AY280" s="1133">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243"/>
      <c r="B281" s="1102"/>
      <c r="C281" s="1102"/>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1213">
        <f t="shared" si="127"/>
        <v>0</v>
      </c>
      <c r="AW281" s="1213">
        <f t="shared" si="128"/>
        <v>0</v>
      </c>
      <c r="AX281" s="1213">
        <f t="shared" si="129"/>
        <v>0</v>
      </c>
      <c r="AY281" s="1133">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243"/>
      <c r="B282" s="1102"/>
      <c r="C282" s="1102"/>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1213">
        <f t="shared" si="127"/>
        <v>0</v>
      </c>
      <c r="AW282" s="1213">
        <f t="shared" si="128"/>
        <v>0</v>
      </c>
      <c r="AX282" s="1213">
        <f t="shared" si="129"/>
        <v>0</v>
      </c>
      <c r="AY282" s="1133">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243"/>
      <c r="B283" s="1102"/>
      <c r="C283" s="1102"/>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1213">
        <f t="shared" si="127"/>
        <v>0</v>
      </c>
      <c r="AW283" s="1213">
        <f t="shared" si="128"/>
        <v>0</v>
      </c>
      <c r="AX283" s="1213">
        <f t="shared" si="129"/>
        <v>0</v>
      </c>
      <c r="AY283" s="1133">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243"/>
      <c r="B284" s="1102"/>
      <c r="C284" s="1102"/>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1213">
        <f t="shared" si="127"/>
        <v>0</v>
      </c>
      <c r="AW284" s="1213">
        <f t="shared" si="128"/>
        <v>0</v>
      </c>
      <c r="AX284" s="1213">
        <f t="shared" si="129"/>
        <v>0</v>
      </c>
      <c r="AY284" s="1133">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243"/>
      <c r="B285" s="1102"/>
      <c r="C285" s="1102"/>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1213">
        <f t="shared" si="127"/>
        <v>0</v>
      </c>
      <c r="AW285" s="1213">
        <f t="shared" si="128"/>
        <v>0</v>
      </c>
      <c r="AX285" s="1213">
        <f t="shared" si="129"/>
        <v>0</v>
      </c>
      <c r="AY285" s="1133">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243"/>
      <c r="B286" s="1102"/>
      <c r="C286" s="1102"/>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1213">
        <f t="shared" si="127"/>
        <v>0</v>
      </c>
      <c r="AW286" s="1213">
        <f t="shared" si="128"/>
        <v>0</v>
      </c>
      <c r="AX286" s="1213">
        <f t="shared" si="129"/>
        <v>0</v>
      </c>
      <c r="AY286" s="1133">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243"/>
      <c r="B287" s="1102"/>
      <c r="C287" s="1102"/>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1213">
        <f t="shared" si="127"/>
        <v>0</v>
      </c>
      <c r="AW287" s="1213">
        <f t="shared" si="128"/>
        <v>0</v>
      </c>
      <c r="AX287" s="1213">
        <f t="shared" si="129"/>
        <v>0</v>
      </c>
      <c r="AY287" s="1133">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243"/>
      <c r="B288" s="1102"/>
      <c r="C288" s="1102"/>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1213">
        <f t="shared" si="127"/>
        <v>0</v>
      </c>
      <c r="AW288" s="1213">
        <f t="shared" si="128"/>
        <v>0</v>
      </c>
      <c r="AX288" s="1213">
        <f t="shared" si="129"/>
        <v>0</v>
      </c>
      <c r="AY288" s="1133">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243"/>
      <c r="B289" s="1102"/>
      <c r="C289" s="1102"/>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1213">
        <f t="shared" si="127"/>
        <v>0</v>
      </c>
      <c r="AW289" s="1213">
        <f t="shared" si="128"/>
        <v>0</v>
      </c>
      <c r="AX289" s="1213">
        <f t="shared" si="129"/>
        <v>0</v>
      </c>
      <c r="AY289" s="1133">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243"/>
      <c r="B290" s="1102"/>
      <c r="C290" s="1102"/>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1213">
        <f t="shared" si="127"/>
        <v>0</v>
      </c>
      <c r="AW290" s="1213">
        <f t="shared" si="128"/>
        <v>0</v>
      </c>
      <c r="AX290" s="1213">
        <f t="shared" si="129"/>
        <v>0</v>
      </c>
      <c r="AY290" s="1133">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243"/>
      <c r="B291" s="1102"/>
      <c r="C291" s="1102"/>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1213">
        <f t="shared" si="127"/>
        <v>0</v>
      </c>
      <c r="AW291" s="1213">
        <f t="shared" si="128"/>
        <v>0</v>
      </c>
      <c r="AX291" s="1213">
        <f t="shared" si="129"/>
        <v>0</v>
      </c>
      <c r="AY291" s="1133">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243"/>
      <c r="B292" s="1102"/>
      <c r="C292" s="1102"/>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1213">
        <f t="shared" si="127"/>
        <v>0</v>
      </c>
      <c r="AW292" s="1213">
        <f t="shared" si="128"/>
        <v>0</v>
      </c>
      <c r="AX292" s="1213">
        <f t="shared" si="129"/>
        <v>0</v>
      </c>
      <c r="AY292" s="1133">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243"/>
      <c r="B293" s="1102"/>
      <c r="C293" s="1102"/>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1213">
        <f t="shared" si="127"/>
        <v>0</v>
      </c>
      <c r="AW293" s="1213">
        <f t="shared" si="128"/>
        <v>0</v>
      </c>
      <c r="AX293" s="1213">
        <f t="shared" si="129"/>
        <v>0</v>
      </c>
      <c r="AY293" s="1133">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243"/>
      <c r="B294" s="1102"/>
      <c r="C294" s="1102"/>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1213">
        <f t="shared" si="127"/>
        <v>0</v>
      </c>
      <c r="AW294" s="1213">
        <f t="shared" si="128"/>
        <v>0</v>
      </c>
      <c r="AX294" s="1213">
        <f t="shared" si="129"/>
        <v>0</v>
      </c>
      <c r="AY294" s="1133">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243"/>
      <c r="B295" s="1102"/>
      <c r="C295" s="1102"/>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1213">
        <f t="shared" si="127"/>
        <v>0</v>
      </c>
      <c r="AW295" s="1213">
        <f t="shared" si="128"/>
        <v>0</v>
      </c>
      <c r="AX295" s="1213">
        <f t="shared" si="129"/>
        <v>0</v>
      </c>
      <c r="AY295" s="1133">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243"/>
      <c r="B296" s="1102"/>
      <c r="C296" s="1102"/>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1213">
        <f t="shared" si="127"/>
        <v>0</v>
      </c>
      <c r="AW296" s="1213">
        <f t="shared" si="128"/>
        <v>0</v>
      </c>
      <c r="AX296" s="1213">
        <f t="shared" si="129"/>
        <v>0</v>
      </c>
      <c r="AY296" s="1133">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243"/>
      <c r="B297" s="1102"/>
      <c r="C297" s="1102"/>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1213">
        <f t="shared" si="127"/>
        <v>0</v>
      </c>
      <c r="AW297" s="1213">
        <f t="shared" si="128"/>
        <v>0</v>
      </c>
      <c r="AX297" s="1213">
        <f t="shared" si="129"/>
        <v>0</v>
      </c>
      <c r="AY297" s="1133">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243"/>
      <c r="B298" s="1102"/>
      <c r="C298" s="1102"/>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1213">
        <f t="shared" si="127"/>
        <v>0</v>
      </c>
      <c r="AW298" s="1213">
        <f t="shared" si="128"/>
        <v>0</v>
      </c>
      <c r="AX298" s="1213">
        <f t="shared" si="129"/>
        <v>0</v>
      </c>
      <c r="AY298" s="1133">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243"/>
      <c r="B299" s="1102"/>
      <c r="C299" s="1102"/>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1213">
        <f t="shared" si="127"/>
        <v>0</v>
      </c>
      <c r="AW299" s="1213">
        <f t="shared" si="128"/>
        <v>0</v>
      </c>
      <c r="AX299" s="1213">
        <f t="shared" si="129"/>
        <v>0</v>
      </c>
      <c r="AY299" s="1133">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243"/>
      <c r="B300" s="1243"/>
      <c r="C300" s="1243"/>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2136"/>
      <c r="AV300" s="1213">
        <f t="shared" si="127"/>
        <v>0</v>
      </c>
      <c r="AW300" s="1213">
        <f t="shared" si="128"/>
        <v>0</v>
      </c>
      <c r="AX300" s="1213">
        <f t="shared" si="129"/>
        <v>0</v>
      </c>
      <c r="AY300" s="1133">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243"/>
      <c r="B301" s="1243"/>
      <c r="C301" s="1243"/>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2136"/>
      <c r="AV301" s="1213">
        <f t="shared" si="127"/>
        <v>0</v>
      </c>
      <c r="AW301" s="1213">
        <f t="shared" si="128"/>
        <v>0</v>
      </c>
      <c r="AX301" s="1213">
        <f t="shared" si="129"/>
        <v>0</v>
      </c>
      <c r="AY301" s="1133">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243"/>
      <c r="B302" s="1243"/>
      <c r="C302" s="1243"/>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2136"/>
      <c r="AV302" s="1213">
        <f t="shared" si="127"/>
        <v>0</v>
      </c>
      <c r="AW302" s="1213">
        <f t="shared" si="128"/>
        <v>0</v>
      </c>
      <c r="AX302" s="1213">
        <f t="shared" si="129"/>
        <v>0</v>
      </c>
      <c r="AY302" s="1133">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243"/>
      <c r="B303" s="1102"/>
      <c r="C303" s="1102"/>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1213">
        <f t="shared" ref="AV303:AV334" si="178">A303</f>
        <v>0</v>
      </c>
      <c r="AW303" s="1213">
        <f t="shared" ref="AW303:AW334" si="179">B303</f>
        <v>0</v>
      </c>
      <c r="AX303" s="1213">
        <f t="shared" ref="AX303:AX334" si="180">C303</f>
        <v>0</v>
      </c>
      <c r="AY303" s="1133">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243"/>
      <c r="B304" s="1102"/>
      <c r="C304" s="1102"/>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1213">
        <f t="shared" si="178"/>
        <v>0</v>
      </c>
      <c r="AW304" s="1213">
        <f t="shared" si="179"/>
        <v>0</v>
      </c>
      <c r="AX304" s="1213">
        <f t="shared" si="180"/>
        <v>0</v>
      </c>
      <c r="AY304" s="1133">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243"/>
      <c r="B305" s="1102"/>
      <c r="C305" s="1102"/>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1213">
        <f t="shared" si="178"/>
        <v>0</v>
      </c>
      <c r="AW305" s="1213">
        <f t="shared" si="179"/>
        <v>0</v>
      </c>
      <c r="AX305" s="1213">
        <f t="shared" si="180"/>
        <v>0</v>
      </c>
      <c r="AY305" s="1133">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243"/>
      <c r="B306" s="1102"/>
      <c r="C306" s="1102"/>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1213">
        <f t="shared" si="178"/>
        <v>0</v>
      </c>
      <c r="AW306" s="1213">
        <f t="shared" si="179"/>
        <v>0</v>
      </c>
      <c r="AX306" s="1213">
        <f t="shared" si="180"/>
        <v>0</v>
      </c>
      <c r="AY306" s="1133">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243"/>
      <c r="B307" s="1102"/>
      <c r="C307" s="1102"/>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1213">
        <f t="shared" si="178"/>
        <v>0</v>
      </c>
      <c r="AW307" s="1213">
        <f t="shared" si="179"/>
        <v>0</v>
      </c>
      <c r="AX307" s="1213">
        <f t="shared" si="180"/>
        <v>0</v>
      </c>
      <c r="AY307" s="1133">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243"/>
      <c r="B308" s="1102"/>
      <c r="C308" s="1102"/>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1213">
        <f t="shared" si="178"/>
        <v>0</v>
      </c>
      <c r="AW308" s="1213">
        <f t="shared" si="179"/>
        <v>0</v>
      </c>
      <c r="AX308" s="1213">
        <f t="shared" si="180"/>
        <v>0</v>
      </c>
      <c r="AY308" s="1133">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243"/>
      <c r="B309" s="1102"/>
      <c r="C309" s="1102"/>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1213">
        <f t="shared" si="178"/>
        <v>0</v>
      </c>
      <c r="AW309" s="1213">
        <f t="shared" si="179"/>
        <v>0</v>
      </c>
      <c r="AX309" s="1213">
        <f t="shared" si="180"/>
        <v>0</v>
      </c>
      <c r="AY309" s="1133">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243"/>
      <c r="B310" s="1102"/>
      <c r="C310" s="1102"/>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1213">
        <f t="shared" si="178"/>
        <v>0</v>
      </c>
      <c r="AW310" s="1213">
        <f t="shared" si="179"/>
        <v>0</v>
      </c>
      <c r="AX310" s="1213">
        <f t="shared" si="180"/>
        <v>0</v>
      </c>
      <c r="AY310" s="1133">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243"/>
      <c r="B311" s="1102"/>
      <c r="C311" s="1102"/>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1213">
        <f t="shared" si="178"/>
        <v>0</v>
      </c>
      <c r="AW311" s="1213">
        <f t="shared" si="179"/>
        <v>0</v>
      </c>
      <c r="AX311" s="1213">
        <f t="shared" si="180"/>
        <v>0</v>
      </c>
      <c r="AY311" s="1133">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243"/>
      <c r="B312" s="1102"/>
      <c r="C312" s="1102"/>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1213">
        <f t="shared" si="178"/>
        <v>0</v>
      </c>
      <c r="AW312" s="1213">
        <f t="shared" si="179"/>
        <v>0</v>
      </c>
      <c r="AX312" s="1213">
        <f t="shared" si="180"/>
        <v>0</v>
      </c>
      <c r="AY312" s="1133">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243"/>
      <c r="B313" s="1102"/>
      <c r="C313" s="1102"/>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1213">
        <f t="shared" si="178"/>
        <v>0</v>
      </c>
      <c r="AW313" s="1213">
        <f t="shared" si="179"/>
        <v>0</v>
      </c>
      <c r="AX313" s="1213">
        <f t="shared" si="180"/>
        <v>0</v>
      </c>
      <c r="AY313" s="1133">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243"/>
      <c r="B314" s="1102"/>
      <c r="C314" s="1102"/>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1213">
        <f t="shared" si="178"/>
        <v>0</v>
      </c>
      <c r="AW314" s="1213">
        <f t="shared" si="179"/>
        <v>0</v>
      </c>
      <c r="AX314" s="1213">
        <f t="shared" si="180"/>
        <v>0</v>
      </c>
      <c r="AY314" s="1133">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243"/>
      <c r="B315" s="1102"/>
      <c r="C315" s="1102"/>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1213">
        <f t="shared" si="178"/>
        <v>0</v>
      </c>
      <c r="AW315" s="1213">
        <f t="shared" si="179"/>
        <v>0</v>
      </c>
      <c r="AX315" s="1213">
        <f t="shared" si="180"/>
        <v>0</v>
      </c>
      <c r="AY315" s="1133">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243"/>
      <c r="B316" s="1102"/>
      <c r="C316" s="1102"/>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1213">
        <f t="shared" si="178"/>
        <v>0</v>
      </c>
      <c r="AW316" s="1213">
        <f t="shared" si="179"/>
        <v>0</v>
      </c>
      <c r="AX316" s="1213">
        <f t="shared" si="180"/>
        <v>0</v>
      </c>
      <c r="AY316" s="1133">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243"/>
      <c r="B317" s="1102"/>
      <c r="C317" s="1102"/>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1213">
        <f t="shared" si="178"/>
        <v>0</v>
      </c>
      <c r="AW317" s="1213">
        <f t="shared" si="179"/>
        <v>0</v>
      </c>
      <c r="AX317" s="1213">
        <f t="shared" si="180"/>
        <v>0</v>
      </c>
      <c r="AY317" s="1133">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243"/>
      <c r="B318" s="1102"/>
      <c r="C318" s="1102"/>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1213">
        <f t="shared" si="178"/>
        <v>0</v>
      </c>
      <c r="AW318" s="1213">
        <f t="shared" si="179"/>
        <v>0</v>
      </c>
      <c r="AX318" s="1213">
        <f t="shared" si="180"/>
        <v>0</v>
      </c>
      <c r="AY318" s="1133">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243"/>
      <c r="B319" s="1102"/>
      <c r="C319" s="1102"/>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1213">
        <f t="shared" si="178"/>
        <v>0</v>
      </c>
      <c r="AW319" s="1213">
        <f t="shared" si="179"/>
        <v>0</v>
      </c>
      <c r="AX319" s="1213">
        <f t="shared" si="180"/>
        <v>0</v>
      </c>
      <c r="AY319" s="1133">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243"/>
      <c r="B320" s="1102"/>
      <c r="C320" s="1102"/>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1213">
        <f t="shared" si="178"/>
        <v>0</v>
      </c>
      <c r="AW320" s="1213">
        <f t="shared" si="179"/>
        <v>0</v>
      </c>
      <c r="AX320" s="1213">
        <f t="shared" si="180"/>
        <v>0</v>
      </c>
      <c r="AY320" s="1133">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243"/>
      <c r="B321" s="1102"/>
      <c r="C321" s="1102"/>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1213">
        <f t="shared" si="178"/>
        <v>0</v>
      </c>
      <c r="AW321" s="1213">
        <f t="shared" si="179"/>
        <v>0</v>
      </c>
      <c r="AX321" s="1213">
        <f t="shared" si="180"/>
        <v>0</v>
      </c>
      <c r="AY321" s="1133">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243"/>
      <c r="B322" s="1102"/>
      <c r="C322" s="1102"/>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1213">
        <f t="shared" si="178"/>
        <v>0</v>
      </c>
      <c r="AW322" s="1213">
        <f t="shared" si="179"/>
        <v>0</v>
      </c>
      <c r="AX322" s="1213">
        <f t="shared" si="180"/>
        <v>0</v>
      </c>
      <c r="AY322" s="1133">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243"/>
      <c r="B323" s="1102"/>
      <c r="C323" s="1102"/>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1213">
        <f t="shared" si="178"/>
        <v>0</v>
      </c>
      <c r="AW323" s="1213">
        <f t="shared" si="179"/>
        <v>0</v>
      </c>
      <c r="AX323" s="1213">
        <f t="shared" si="180"/>
        <v>0</v>
      </c>
      <c r="AY323" s="1133">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243"/>
      <c r="B324" s="1102"/>
      <c r="C324" s="1102"/>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1213">
        <f t="shared" si="178"/>
        <v>0</v>
      </c>
      <c r="AW324" s="1213">
        <f t="shared" si="179"/>
        <v>0</v>
      </c>
      <c r="AX324" s="1213">
        <f t="shared" si="180"/>
        <v>0</v>
      </c>
      <c r="AY324" s="1133">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243"/>
      <c r="B325" s="1102"/>
      <c r="C325" s="1102"/>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1213">
        <f t="shared" si="178"/>
        <v>0</v>
      </c>
      <c r="AW325" s="1213">
        <f t="shared" si="179"/>
        <v>0</v>
      </c>
      <c r="AX325" s="1213">
        <f t="shared" si="180"/>
        <v>0</v>
      </c>
      <c r="AY325" s="1133">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243"/>
      <c r="B326" s="1102"/>
      <c r="C326" s="1102"/>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1213">
        <f t="shared" si="178"/>
        <v>0</v>
      </c>
      <c r="AW326" s="1213">
        <f t="shared" si="179"/>
        <v>0</v>
      </c>
      <c r="AX326" s="1213">
        <f t="shared" si="180"/>
        <v>0</v>
      </c>
      <c r="AY326" s="1133">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243"/>
      <c r="B327" s="1102"/>
      <c r="C327" s="1102"/>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1213">
        <f t="shared" si="178"/>
        <v>0</v>
      </c>
      <c r="AW327" s="1213">
        <f t="shared" si="179"/>
        <v>0</v>
      </c>
      <c r="AX327" s="1213">
        <f t="shared" si="180"/>
        <v>0</v>
      </c>
      <c r="AY327" s="1133">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243"/>
      <c r="B328" s="1102"/>
      <c r="C328" s="1102"/>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1213">
        <f t="shared" si="178"/>
        <v>0</v>
      </c>
      <c r="AW328" s="1213">
        <f t="shared" si="179"/>
        <v>0</v>
      </c>
      <c r="AX328" s="1213">
        <f t="shared" si="180"/>
        <v>0</v>
      </c>
      <c r="AY328" s="1133">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243"/>
      <c r="B329" s="1102"/>
      <c r="C329" s="1102"/>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1213">
        <f t="shared" si="178"/>
        <v>0</v>
      </c>
      <c r="AW329" s="1213">
        <f t="shared" si="179"/>
        <v>0</v>
      </c>
      <c r="AX329" s="1213">
        <f t="shared" si="180"/>
        <v>0</v>
      </c>
      <c r="AY329" s="1133">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243"/>
      <c r="B330" s="1102"/>
      <c r="C330" s="1102"/>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1213">
        <f t="shared" si="178"/>
        <v>0</v>
      </c>
      <c r="AW330" s="1213">
        <f t="shared" si="179"/>
        <v>0</v>
      </c>
      <c r="AX330" s="1213">
        <f t="shared" si="180"/>
        <v>0</v>
      </c>
      <c r="AY330" s="1133">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243"/>
      <c r="B331" s="1102"/>
      <c r="C331" s="1102"/>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1213">
        <f t="shared" si="178"/>
        <v>0</v>
      </c>
      <c r="AW331" s="1213">
        <f t="shared" si="179"/>
        <v>0</v>
      </c>
      <c r="AX331" s="1213">
        <f t="shared" si="180"/>
        <v>0</v>
      </c>
      <c r="AY331" s="1133">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243"/>
      <c r="B332" s="1102"/>
      <c r="C332" s="1102"/>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1213">
        <f t="shared" si="178"/>
        <v>0</v>
      </c>
      <c r="AW332" s="1213">
        <f t="shared" si="179"/>
        <v>0</v>
      </c>
      <c r="AX332" s="1213">
        <f t="shared" si="180"/>
        <v>0</v>
      </c>
      <c r="AY332" s="1133">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243"/>
      <c r="B333" s="1102"/>
      <c r="C333" s="1102"/>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1213">
        <f t="shared" si="178"/>
        <v>0</v>
      </c>
      <c r="AW333" s="1213">
        <f t="shared" si="179"/>
        <v>0</v>
      </c>
      <c r="AX333" s="1213">
        <f t="shared" si="180"/>
        <v>0</v>
      </c>
      <c r="AY333" s="1133">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243"/>
      <c r="B334" s="1102"/>
      <c r="C334" s="1102"/>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1213">
        <f t="shared" si="178"/>
        <v>0</v>
      </c>
      <c r="AW334" s="1213">
        <f t="shared" si="179"/>
        <v>0</v>
      </c>
      <c r="AX334" s="1213">
        <f t="shared" si="180"/>
        <v>0</v>
      </c>
      <c r="AY334" s="1133">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243"/>
      <c r="B335" s="1102"/>
      <c r="C335" s="1102"/>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1213">
        <f t="shared" ref="AV335:AV366" si="207">A335</f>
        <v>0</v>
      </c>
      <c r="AW335" s="1213">
        <f t="shared" ref="AW335:AW366" si="208">B335</f>
        <v>0</v>
      </c>
      <c r="AX335" s="1213">
        <f t="shared" ref="AX335:AX366" si="209">C335</f>
        <v>0</v>
      </c>
      <c r="AY335" s="1133">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243"/>
      <c r="B336" s="1102"/>
      <c r="C336" s="1102"/>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1213">
        <f t="shared" si="207"/>
        <v>0</v>
      </c>
      <c r="AW336" s="1213">
        <f t="shared" si="208"/>
        <v>0</v>
      </c>
      <c r="AX336" s="1213">
        <f t="shared" si="209"/>
        <v>0</v>
      </c>
      <c r="AY336" s="1133">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243"/>
      <c r="B337" s="1102"/>
      <c r="C337" s="1102"/>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1213">
        <f t="shared" si="207"/>
        <v>0</v>
      </c>
      <c r="AW337" s="1213">
        <f t="shared" si="208"/>
        <v>0</v>
      </c>
      <c r="AX337" s="1213">
        <f t="shared" si="209"/>
        <v>0</v>
      </c>
      <c r="AY337" s="1133">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243"/>
      <c r="B338" s="1102"/>
      <c r="C338" s="1102"/>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1213">
        <f t="shared" si="207"/>
        <v>0</v>
      </c>
      <c r="AW338" s="1213">
        <f t="shared" si="208"/>
        <v>0</v>
      </c>
      <c r="AX338" s="1213">
        <f t="shared" si="209"/>
        <v>0</v>
      </c>
      <c r="AY338" s="1133">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243"/>
      <c r="B339" s="1102"/>
      <c r="C339" s="1102"/>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1213">
        <f t="shared" si="207"/>
        <v>0</v>
      </c>
      <c r="AW339" s="1213">
        <f t="shared" si="208"/>
        <v>0</v>
      </c>
      <c r="AX339" s="1213">
        <f t="shared" si="209"/>
        <v>0</v>
      </c>
      <c r="AY339" s="1133">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243"/>
      <c r="B340" s="1102"/>
      <c r="C340" s="1102"/>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1213">
        <f t="shared" si="207"/>
        <v>0</v>
      </c>
      <c r="AW340" s="1213">
        <f t="shared" si="208"/>
        <v>0</v>
      </c>
      <c r="AX340" s="1213">
        <f t="shared" si="209"/>
        <v>0</v>
      </c>
      <c r="AY340" s="1133">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243"/>
      <c r="B341" s="1102"/>
      <c r="C341" s="1102"/>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1213">
        <f t="shared" si="207"/>
        <v>0</v>
      </c>
      <c r="AW341" s="1213">
        <f t="shared" si="208"/>
        <v>0</v>
      </c>
      <c r="AX341" s="1213">
        <f t="shared" si="209"/>
        <v>0</v>
      </c>
      <c r="AY341" s="1133">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243"/>
      <c r="B342" s="1102"/>
      <c r="C342" s="1102"/>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1213">
        <f t="shared" si="207"/>
        <v>0</v>
      </c>
      <c r="AW342" s="1213">
        <f t="shared" si="208"/>
        <v>0</v>
      </c>
      <c r="AX342" s="1213">
        <f t="shared" si="209"/>
        <v>0</v>
      </c>
      <c r="AY342" s="1133">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243"/>
      <c r="B343" s="1102"/>
      <c r="C343" s="1102"/>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1213">
        <f t="shared" si="207"/>
        <v>0</v>
      </c>
      <c r="AW343" s="1213">
        <f t="shared" si="208"/>
        <v>0</v>
      </c>
      <c r="AX343" s="1213">
        <f t="shared" si="209"/>
        <v>0</v>
      </c>
      <c r="AY343" s="1133">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243"/>
      <c r="B344" s="1102"/>
      <c r="C344" s="1102"/>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1213">
        <f t="shared" si="207"/>
        <v>0</v>
      </c>
      <c r="AW344" s="1213">
        <f t="shared" si="208"/>
        <v>0</v>
      </c>
      <c r="AX344" s="1213">
        <f t="shared" si="209"/>
        <v>0</v>
      </c>
      <c r="AY344" s="1133">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243"/>
      <c r="B345" s="1102"/>
      <c r="C345" s="1102"/>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1213">
        <f t="shared" si="207"/>
        <v>0</v>
      </c>
      <c r="AW345" s="1213">
        <f t="shared" si="208"/>
        <v>0</v>
      </c>
      <c r="AX345" s="1213">
        <f t="shared" si="209"/>
        <v>0</v>
      </c>
      <c r="AY345" s="1133">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243"/>
      <c r="B346" s="1102"/>
      <c r="C346" s="1102"/>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1213">
        <f t="shared" si="207"/>
        <v>0</v>
      </c>
      <c r="AW346" s="1213">
        <f t="shared" si="208"/>
        <v>0</v>
      </c>
      <c r="AX346" s="1213">
        <f t="shared" si="209"/>
        <v>0</v>
      </c>
      <c r="AY346" s="1133">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243"/>
      <c r="B347" s="1102"/>
      <c r="C347" s="1102"/>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1213">
        <f t="shared" si="207"/>
        <v>0</v>
      </c>
      <c r="AW347" s="1213">
        <f t="shared" si="208"/>
        <v>0</v>
      </c>
      <c r="AX347" s="1213">
        <f t="shared" si="209"/>
        <v>0</v>
      </c>
      <c r="AY347" s="1133">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243"/>
      <c r="B348" s="1102"/>
      <c r="C348" s="1102"/>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1213">
        <f t="shared" si="207"/>
        <v>0</v>
      </c>
      <c r="AW348" s="1213">
        <f t="shared" si="208"/>
        <v>0</v>
      </c>
      <c r="AX348" s="1213">
        <f t="shared" si="209"/>
        <v>0</v>
      </c>
      <c r="AY348" s="1133">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243"/>
      <c r="B349" s="1102"/>
      <c r="C349" s="1102"/>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1213">
        <f t="shared" si="207"/>
        <v>0</v>
      </c>
      <c r="AW349" s="1213">
        <f t="shared" si="208"/>
        <v>0</v>
      </c>
      <c r="AX349" s="1213">
        <f t="shared" si="209"/>
        <v>0</v>
      </c>
      <c r="AY349" s="1133">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243"/>
      <c r="B350" s="1102"/>
      <c r="C350" s="1102"/>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1213">
        <f t="shared" si="207"/>
        <v>0</v>
      </c>
      <c r="AW350" s="1213">
        <f t="shared" si="208"/>
        <v>0</v>
      </c>
      <c r="AX350" s="1213">
        <f t="shared" si="209"/>
        <v>0</v>
      </c>
      <c r="AY350" s="1133">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243"/>
      <c r="B351" s="1102"/>
      <c r="C351" s="1102"/>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1213">
        <f t="shared" si="207"/>
        <v>0</v>
      </c>
      <c r="AW351" s="1213">
        <f t="shared" si="208"/>
        <v>0</v>
      </c>
      <c r="AX351" s="1213">
        <f t="shared" si="209"/>
        <v>0</v>
      </c>
      <c r="AY351" s="1133">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243"/>
      <c r="B352" s="1102"/>
      <c r="C352" s="1102"/>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1213">
        <f t="shared" si="207"/>
        <v>0</v>
      </c>
      <c r="AW352" s="1213">
        <f t="shared" si="208"/>
        <v>0</v>
      </c>
      <c r="AX352" s="1213">
        <f t="shared" si="209"/>
        <v>0</v>
      </c>
      <c r="AY352" s="1133">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243"/>
      <c r="B353" s="1102"/>
      <c r="C353" s="1102"/>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1213">
        <f t="shared" si="207"/>
        <v>0</v>
      </c>
      <c r="AW353" s="1213">
        <f t="shared" si="208"/>
        <v>0</v>
      </c>
      <c r="AX353" s="1213">
        <f t="shared" si="209"/>
        <v>0</v>
      </c>
      <c r="AY353" s="1133">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243"/>
      <c r="B354" s="1102"/>
      <c r="C354" s="1102"/>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1213">
        <f t="shared" si="207"/>
        <v>0</v>
      </c>
      <c r="AW354" s="1213">
        <f t="shared" si="208"/>
        <v>0</v>
      </c>
      <c r="AX354" s="1213">
        <f t="shared" si="209"/>
        <v>0</v>
      </c>
      <c r="AY354" s="1133">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243"/>
      <c r="B355" s="1102"/>
      <c r="C355" s="1102"/>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1213">
        <f t="shared" si="207"/>
        <v>0</v>
      </c>
      <c r="AW355" s="1213">
        <f t="shared" si="208"/>
        <v>0</v>
      </c>
      <c r="AX355" s="1213">
        <f t="shared" si="209"/>
        <v>0</v>
      </c>
      <c r="AY355" s="1133">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243"/>
      <c r="B356" s="1102"/>
      <c r="C356" s="1102"/>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1213">
        <f t="shared" si="207"/>
        <v>0</v>
      </c>
      <c r="AW356" s="1213">
        <f t="shared" si="208"/>
        <v>0</v>
      </c>
      <c r="AX356" s="1213">
        <f t="shared" si="209"/>
        <v>0</v>
      </c>
      <c r="AY356" s="1133">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243"/>
      <c r="B357" s="1102"/>
      <c r="C357" s="1102"/>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1213">
        <f t="shared" si="207"/>
        <v>0</v>
      </c>
      <c r="AW357" s="1213">
        <f t="shared" si="208"/>
        <v>0</v>
      </c>
      <c r="AX357" s="1213">
        <f t="shared" si="209"/>
        <v>0</v>
      </c>
      <c r="AY357" s="1133">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243"/>
      <c r="B358" s="1102"/>
      <c r="C358" s="1102"/>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1213">
        <f t="shared" si="207"/>
        <v>0</v>
      </c>
      <c r="AW358" s="1213">
        <f t="shared" si="208"/>
        <v>0</v>
      </c>
      <c r="AX358" s="1213">
        <f t="shared" si="209"/>
        <v>0</v>
      </c>
      <c r="AY358" s="1133">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243"/>
      <c r="B359" s="1102"/>
      <c r="C359" s="1102"/>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1213">
        <f t="shared" si="207"/>
        <v>0</v>
      </c>
      <c r="AW359" s="1213">
        <f t="shared" si="208"/>
        <v>0</v>
      </c>
      <c r="AX359" s="1213">
        <f t="shared" si="209"/>
        <v>0</v>
      </c>
      <c r="AY359" s="1133">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243"/>
      <c r="B360" s="1102"/>
      <c r="C360" s="1102"/>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1213">
        <f t="shared" si="207"/>
        <v>0</v>
      </c>
      <c r="AW360" s="1213">
        <f t="shared" si="208"/>
        <v>0</v>
      </c>
      <c r="AX360" s="1213">
        <f t="shared" si="209"/>
        <v>0</v>
      </c>
      <c r="AY360" s="1133">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243"/>
      <c r="B361" s="1102"/>
      <c r="C361" s="1102"/>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1213">
        <f t="shared" si="207"/>
        <v>0</v>
      </c>
      <c r="AW361" s="1213">
        <f t="shared" si="208"/>
        <v>0</v>
      </c>
      <c r="AX361" s="1213">
        <f t="shared" si="209"/>
        <v>0</v>
      </c>
      <c r="AY361" s="1133">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243"/>
      <c r="B362" s="1102"/>
      <c r="C362" s="1102"/>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1213">
        <f t="shared" si="207"/>
        <v>0</v>
      </c>
      <c r="AW362" s="1213">
        <f t="shared" si="208"/>
        <v>0</v>
      </c>
      <c r="AX362" s="1213">
        <f t="shared" si="209"/>
        <v>0</v>
      </c>
      <c r="AY362" s="1133">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243"/>
      <c r="B363" s="1102"/>
      <c r="C363" s="1102"/>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1213">
        <f t="shared" si="207"/>
        <v>0</v>
      </c>
      <c r="AW363" s="1213">
        <f t="shared" si="208"/>
        <v>0</v>
      </c>
      <c r="AX363" s="1213">
        <f t="shared" si="209"/>
        <v>0</v>
      </c>
      <c r="AY363" s="1133">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243"/>
      <c r="B364" s="1102"/>
      <c r="C364" s="1102"/>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1213">
        <f t="shared" si="207"/>
        <v>0</v>
      </c>
      <c r="AW364" s="1213">
        <f t="shared" si="208"/>
        <v>0</v>
      </c>
      <c r="AX364" s="1213">
        <f t="shared" si="209"/>
        <v>0</v>
      </c>
      <c r="AY364" s="1133">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243"/>
      <c r="B365" s="1102"/>
      <c r="C365" s="1102"/>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1213">
        <f t="shared" si="207"/>
        <v>0</v>
      </c>
      <c r="AW365" s="1213">
        <f t="shared" si="208"/>
        <v>0</v>
      </c>
      <c r="AX365" s="1213">
        <f t="shared" si="209"/>
        <v>0</v>
      </c>
      <c r="AY365" s="1133">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243"/>
      <c r="B366" s="1102"/>
      <c r="C366" s="1102"/>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1213">
        <f t="shared" si="207"/>
        <v>0</v>
      </c>
      <c r="AW366" s="1213">
        <f t="shared" si="208"/>
        <v>0</v>
      </c>
      <c r="AX366" s="1213">
        <f t="shared" si="209"/>
        <v>0</v>
      </c>
      <c r="AY366" s="1133">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243"/>
      <c r="B367" s="1102"/>
      <c r="C367" s="1102"/>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1213">
        <f t="shared" ref="AV367:AV397" si="236">A367</f>
        <v>0</v>
      </c>
      <c r="AW367" s="1213">
        <f t="shared" ref="AW367:AW397" si="237">B367</f>
        <v>0</v>
      </c>
      <c r="AX367" s="1213">
        <f t="shared" ref="AX367:AX397" si="238">C367</f>
        <v>0</v>
      </c>
      <c r="AY367" s="1133">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243"/>
      <c r="B368" s="1102"/>
      <c r="C368" s="1102"/>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1213">
        <f t="shared" si="236"/>
        <v>0</v>
      </c>
      <c r="AW368" s="1213">
        <f t="shared" si="237"/>
        <v>0</v>
      </c>
      <c r="AX368" s="1213">
        <f t="shared" si="238"/>
        <v>0</v>
      </c>
      <c r="AY368" s="1133">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243"/>
      <c r="B369" s="1102"/>
      <c r="C369" s="1102"/>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1213">
        <f t="shared" si="236"/>
        <v>0</v>
      </c>
      <c r="AW369" s="1213">
        <f t="shared" si="237"/>
        <v>0</v>
      </c>
      <c r="AX369" s="1213">
        <f t="shared" si="238"/>
        <v>0</v>
      </c>
      <c r="AY369" s="1133">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243"/>
      <c r="B370" s="1102"/>
      <c r="C370" s="1102"/>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1213">
        <f t="shared" si="236"/>
        <v>0</v>
      </c>
      <c r="AW370" s="1213">
        <f t="shared" si="237"/>
        <v>0</v>
      </c>
      <c r="AX370" s="1213">
        <f t="shared" si="238"/>
        <v>0</v>
      </c>
      <c r="AY370" s="1133">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243"/>
      <c r="B371" s="1102"/>
      <c r="C371" s="1102"/>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1213">
        <f t="shared" si="236"/>
        <v>0</v>
      </c>
      <c r="AW371" s="1213">
        <f t="shared" si="237"/>
        <v>0</v>
      </c>
      <c r="AX371" s="1213">
        <f t="shared" si="238"/>
        <v>0</v>
      </c>
      <c r="AY371" s="1133">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243"/>
      <c r="B372" s="1102"/>
      <c r="C372" s="1102"/>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1213">
        <f t="shared" si="236"/>
        <v>0</v>
      </c>
      <c r="AW372" s="1213">
        <f t="shared" si="237"/>
        <v>0</v>
      </c>
      <c r="AX372" s="1213">
        <f t="shared" si="238"/>
        <v>0</v>
      </c>
      <c r="AY372" s="1133">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243"/>
      <c r="B373" s="1102"/>
      <c r="C373" s="1102"/>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1213">
        <f t="shared" si="236"/>
        <v>0</v>
      </c>
      <c r="AW373" s="1213">
        <f t="shared" si="237"/>
        <v>0</v>
      </c>
      <c r="AX373" s="1213">
        <f t="shared" si="238"/>
        <v>0</v>
      </c>
      <c r="AY373" s="1133">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243"/>
      <c r="B374" s="1102"/>
      <c r="C374" s="1102"/>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1213">
        <f t="shared" si="236"/>
        <v>0</v>
      </c>
      <c r="AW374" s="1213">
        <f t="shared" si="237"/>
        <v>0</v>
      </c>
      <c r="AX374" s="1213">
        <f t="shared" si="238"/>
        <v>0</v>
      </c>
      <c r="AY374" s="1133">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243"/>
      <c r="B375" s="1102"/>
      <c r="C375" s="1102"/>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1213">
        <f t="shared" si="236"/>
        <v>0</v>
      </c>
      <c r="AW375" s="1213">
        <f t="shared" si="237"/>
        <v>0</v>
      </c>
      <c r="AX375" s="1213">
        <f t="shared" si="238"/>
        <v>0</v>
      </c>
      <c r="AY375" s="1133">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243"/>
      <c r="B376" s="1102"/>
      <c r="C376" s="1102"/>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1213">
        <f t="shared" si="236"/>
        <v>0</v>
      </c>
      <c r="AW376" s="1213">
        <f t="shared" si="237"/>
        <v>0</v>
      </c>
      <c r="AX376" s="1213">
        <f t="shared" si="238"/>
        <v>0</v>
      </c>
      <c r="AY376" s="1133">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243"/>
      <c r="B377" s="1102"/>
      <c r="C377" s="1102"/>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1213">
        <f t="shared" si="236"/>
        <v>0</v>
      </c>
      <c r="AW377" s="1213">
        <f t="shared" si="237"/>
        <v>0</v>
      </c>
      <c r="AX377" s="1213">
        <f t="shared" si="238"/>
        <v>0</v>
      </c>
      <c r="AY377" s="1133">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243"/>
      <c r="B378" s="1102"/>
      <c r="C378" s="1102"/>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1213">
        <f t="shared" si="236"/>
        <v>0</v>
      </c>
      <c r="AW378" s="1213">
        <f t="shared" si="237"/>
        <v>0</v>
      </c>
      <c r="AX378" s="1213">
        <f t="shared" si="238"/>
        <v>0</v>
      </c>
      <c r="AY378" s="1133">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243"/>
      <c r="B379" s="1102"/>
      <c r="C379" s="1102"/>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1213">
        <f t="shared" si="236"/>
        <v>0</v>
      </c>
      <c r="AW379" s="1213">
        <f t="shared" si="237"/>
        <v>0</v>
      </c>
      <c r="AX379" s="1213">
        <f t="shared" si="238"/>
        <v>0</v>
      </c>
      <c r="AY379" s="1133">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243"/>
      <c r="B380" s="1102"/>
      <c r="C380" s="1102"/>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1213">
        <f t="shared" si="236"/>
        <v>0</v>
      </c>
      <c r="AW380" s="1213">
        <f t="shared" si="237"/>
        <v>0</v>
      </c>
      <c r="AX380" s="1213">
        <f t="shared" si="238"/>
        <v>0</v>
      </c>
      <c r="AY380" s="1133">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243"/>
      <c r="B381" s="1102"/>
      <c r="C381" s="1102"/>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1213">
        <f t="shared" si="236"/>
        <v>0</v>
      </c>
      <c r="AW381" s="1213">
        <f t="shared" si="237"/>
        <v>0</v>
      </c>
      <c r="AX381" s="1213">
        <f t="shared" si="238"/>
        <v>0</v>
      </c>
      <c r="AY381" s="1133">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243"/>
      <c r="B382" s="1102"/>
      <c r="C382" s="1102"/>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1213">
        <f t="shared" si="236"/>
        <v>0</v>
      </c>
      <c r="AW382" s="1213">
        <f t="shared" si="237"/>
        <v>0</v>
      </c>
      <c r="AX382" s="1213">
        <f t="shared" si="238"/>
        <v>0</v>
      </c>
      <c r="AY382" s="1133">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243"/>
      <c r="B383" s="1102"/>
      <c r="C383" s="1102"/>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1213">
        <f t="shared" si="236"/>
        <v>0</v>
      </c>
      <c r="AW383" s="1213">
        <f t="shared" si="237"/>
        <v>0</v>
      </c>
      <c r="AX383" s="1213">
        <f t="shared" si="238"/>
        <v>0</v>
      </c>
      <c r="AY383" s="1133">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243"/>
      <c r="B384" s="1102"/>
      <c r="C384" s="1102"/>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1213">
        <f t="shared" si="236"/>
        <v>0</v>
      </c>
      <c r="AW384" s="1213">
        <f t="shared" si="237"/>
        <v>0</v>
      </c>
      <c r="AX384" s="1213">
        <f t="shared" si="238"/>
        <v>0</v>
      </c>
      <c r="AY384" s="1133">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243"/>
      <c r="B385" s="1102"/>
      <c r="C385" s="1102"/>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1213">
        <f t="shared" si="236"/>
        <v>0</v>
      </c>
      <c r="AW385" s="1213">
        <f t="shared" si="237"/>
        <v>0</v>
      </c>
      <c r="AX385" s="1213">
        <f t="shared" si="238"/>
        <v>0</v>
      </c>
      <c r="AY385" s="1133">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243"/>
      <c r="B386" s="1102"/>
      <c r="C386" s="1102"/>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1213">
        <f t="shared" si="236"/>
        <v>0</v>
      </c>
      <c r="AW386" s="1213">
        <f t="shared" si="237"/>
        <v>0</v>
      </c>
      <c r="AX386" s="1213">
        <f t="shared" si="238"/>
        <v>0</v>
      </c>
      <c r="AY386" s="1133">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243"/>
      <c r="B387" s="1102"/>
      <c r="C387" s="1102"/>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1213">
        <f t="shared" si="236"/>
        <v>0</v>
      </c>
      <c r="AW387" s="1213">
        <f t="shared" si="237"/>
        <v>0</v>
      </c>
      <c r="AX387" s="1213">
        <f t="shared" si="238"/>
        <v>0</v>
      </c>
      <c r="AY387" s="1133">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243"/>
      <c r="B388" s="1102"/>
      <c r="C388" s="1102"/>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1213">
        <f t="shared" si="236"/>
        <v>0</v>
      </c>
      <c r="AW388" s="1213">
        <f t="shared" si="237"/>
        <v>0</v>
      </c>
      <c r="AX388" s="1213">
        <f t="shared" si="238"/>
        <v>0</v>
      </c>
      <c r="AY388" s="1133">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243"/>
      <c r="B389" s="1102"/>
      <c r="C389" s="1102"/>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1213">
        <f t="shared" si="236"/>
        <v>0</v>
      </c>
      <c r="AW389" s="1213">
        <f t="shared" si="237"/>
        <v>0</v>
      </c>
      <c r="AX389" s="1213">
        <f t="shared" si="238"/>
        <v>0</v>
      </c>
      <c r="AY389" s="1133">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243"/>
      <c r="B390" s="1102"/>
      <c r="C390" s="1102"/>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1213">
        <f t="shared" si="236"/>
        <v>0</v>
      </c>
      <c r="AW390" s="1213">
        <f t="shared" si="237"/>
        <v>0</v>
      </c>
      <c r="AX390" s="1213">
        <f t="shared" si="238"/>
        <v>0</v>
      </c>
      <c r="AY390" s="1133">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243"/>
      <c r="B391" s="1102"/>
      <c r="C391" s="1102"/>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1213">
        <f t="shared" si="236"/>
        <v>0</v>
      </c>
      <c r="AW391" s="1213">
        <f t="shared" si="237"/>
        <v>0</v>
      </c>
      <c r="AX391" s="1213">
        <f t="shared" si="238"/>
        <v>0</v>
      </c>
      <c r="AY391" s="1133">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243"/>
      <c r="B392" s="1102"/>
      <c r="C392" s="1102"/>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1213">
        <f t="shared" si="236"/>
        <v>0</v>
      </c>
      <c r="AW392" s="1213">
        <f t="shared" si="237"/>
        <v>0</v>
      </c>
      <c r="AX392" s="1213">
        <f t="shared" si="238"/>
        <v>0</v>
      </c>
      <c r="AY392" s="1133">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243"/>
      <c r="B393" s="1102"/>
      <c r="C393" s="1102"/>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1213">
        <f t="shared" si="236"/>
        <v>0</v>
      </c>
      <c r="AW393" s="1213">
        <f t="shared" si="237"/>
        <v>0</v>
      </c>
      <c r="AX393" s="1213">
        <f t="shared" si="238"/>
        <v>0</v>
      </c>
      <c r="AY393" s="1133">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243"/>
      <c r="B394" s="1102"/>
      <c r="C394" s="1102"/>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1213">
        <f t="shared" si="236"/>
        <v>0</v>
      </c>
      <c r="AW394" s="1213">
        <f t="shared" si="237"/>
        <v>0</v>
      </c>
      <c r="AX394" s="1213">
        <f t="shared" si="238"/>
        <v>0</v>
      </c>
      <c r="AY394" s="1133">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243"/>
      <c r="B395" s="1243"/>
      <c r="C395" s="1243"/>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2136"/>
      <c r="AV395" s="1213">
        <f t="shared" si="236"/>
        <v>0</v>
      </c>
      <c r="AW395" s="1213">
        <f t="shared" si="237"/>
        <v>0</v>
      </c>
      <c r="AX395" s="1213">
        <f t="shared" si="238"/>
        <v>0</v>
      </c>
      <c r="AY395" s="1133">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243"/>
      <c r="B396" s="1243"/>
      <c r="C396" s="1243"/>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2136"/>
      <c r="AV396" s="1213">
        <f t="shared" si="236"/>
        <v>0</v>
      </c>
      <c r="AW396" s="1213">
        <f t="shared" si="237"/>
        <v>0</v>
      </c>
      <c r="AX396" s="1213">
        <f t="shared" si="238"/>
        <v>0</v>
      </c>
      <c r="AY396" s="1133">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243"/>
      <c r="B397" s="1243"/>
      <c r="C397" s="1243"/>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2136"/>
      <c r="AV397" s="1213">
        <f t="shared" si="236"/>
        <v>0</v>
      </c>
      <c r="AW397" s="1213">
        <f t="shared" si="237"/>
        <v>0</v>
      </c>
      <c r="AX397" s="1213">
        <f t="shared" si="238"/>
        <v>0</v>
      </c>
      <c r="AY397" s="1133">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243"/>
      <c r="B398" s="1102"/>
      <c r="C398" s="1102"/>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1213">
        <f t="shared" ref="AV398:AV492" si="243">A398</f>
        <v>0</v>
      </c>
      <c r="AW398" s="1213">
        <f t="shared" ref="AW398:AW492" si="244">B398</f>
        <v>0</v>
      </c>
      <c r="AX398" s="1213">
        <f t="shared" ref="AX398:AX492" si="245">C398</f>
        <v>0</v>
      </c>
      <c r="AY398" s="1133">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243"/>
      <c r="B399" s="1102"/>
      <c r="C399" s="1102"/>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1213">
        <f t="shared" si="243"/>
        <v>0</v>
      </c>
      <c r="AW399" s="1213">
        <f t="shared" si="244"/>
        <v>0</v>
      </c>
      <c r="AX399" s="1213">
        <f t="shared" si="245"/>
        <v>0</v>
      </c>
      <c r="AY399" s="1133">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243"/>
      <c r="B400" s="1102"/>
      <c r="C400" s="1102"/>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1213">
        <f t="shared" si="243"/>
        <v>0</v>
      </c>
      <c r="AW400" s="1213">
        <f t="shared" si="244"/>
        <v>0</v>
      </c>
      <c r="AX400" s="1213">
        <f t="shared" si="245"/>
        <v>0</v>
      </c>
      <c r="AY400" s="1133">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243"/>
      <c r="B401" s="1102"/>
      <c r="C401" s="1102"/>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1213">
        <f t="shared" si="243"/>
        <v>0</v>
      </c>
      <c r="AW401" s="1213">
        <f t="shared" si="244"/>
        <v>0</v>
      </c>
      <c r="AX401" s="1213">
        <f t="shared" si="245"/>
        <v>0</v>
      </c>
      <c r="AY401" s="1133">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243"/>
      <c r="B402" s="1102"/>
      <c r="C402" s="1102"/>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1213">
        <f t="shared" si="243"/>
        <v>0</v>
      </c>
      <c r="AW402" s="1213">
        <f t="shared" si="244"/>
        <v>0</v>
      </c>
      <c r="AX402" s="1213">
        <f t="shared" si="245"/>
        <v>0</v>
      </c>
      <c r="AY402" s="1133">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243"/>
      <c r="B403" s="1102"/>
      <c r="C403" s="1102"/>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1213">
        <f t="shared" si="243"/>
        <v>0</v>
      </c>
      <c r="AW403" s="1213">
        <f t="shared" si="244"/>
        <v>0</v>
      </c>
      <c r="AX403" s="1213">
        <f t="shared" si="245"/>
        <v>0</v>
      </c>
      <c r="AY403" s="1133">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243"/>
      <c r="B404" s="1102"/>
      <c r="C404" s="1102"/>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1213">
        <f t="shared" si="243"/>
        <v>0</v>
      </c>
      <c r="AW404" s="1213">
        <f t="shared" si="244"/>
        <v>0</v>
      </c>
      <c r="AX404" s="1213">
        <f t="shared" si="245"/>
        <v>0</v>
      </c>
      <c r="AY404" s="1133">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243"/>
      <c r="B405" s="1102"/>
      <c r="C405" s="1102"/>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1213">
        <f t="shared" si="243"/>
        <v>0</v>
      </c>
      <c r="AW405" s="1213">
        <f t="shared" si="244"/>
        <v>0</v>
      </c>
      <c r="AX405" s="1213">
        <f t="shared" si="245"/>
        <v>0</v>
      </c>
      <c r="AY405" s="1133">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243"/>
      <c r="B406" s="1102"/>
      <c r="C406" s="1102"/>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1213">
        <f t="shared" si="243"/>
        <v>0</v>
      </c>
      <c r="AW406" s="1213">
        <f t="shared" si="244"/>
        <v>0</v>
      </c>
      <c r="AX406" s="1213">
        <f t="shared" si="245"/>
        <v>0</v>
      </c>
      <c r="AY406" s="1133">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243"/>
      <c r="B407" s="1102"/>
      <c r="C407" s="1102"/>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1213">
        <f t="shared" si="243"/>
        <v>0</v>
      </c>
      <c r="AW407" s="1213">
        <f t="shared" si="244"/>
        <v>0</v>
      </c>
      <c r="AX407" s="1213">
        <f t="shared" si="245"/>
        <v>0</v>
      </c>
      <c r="AY407" s="1133">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243"/>
      <c r="B408" s="1102"/>
      <c r="C408" s="1102"/>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1213">
        <f t="shared" si="243"/>
        <v>0</v>
      </c>
      <c r="AW408" s="1213">
        <f t="shared" si="244"/>
        <v>0</v>
      </c>
      <c r="AX408" s="1213">
        <f t="shared" si="245"/>
        <v>0</v>
      </c>
      <c r="AY408" s="1133">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243"/>
      <c r="B409" s="1102"/>
      <c r="C409" s="1102"/>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1213">
        <f t="shared" si="243"/>
        <v>0</v>
      </c>
      <c r="AW409" s="1213">
        <f t="shared" si="244"/>
        <v>0</v>
      </c>
      <c r="AX409" s="1213">
        <f t="shared" si="245"/>
        <v>0</v>
      </c>
      <c r="AY409" s="1133">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243"/>
      <c r="B410" s="1102"/>
      <c r="C410" s="1102"/>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1213">
        <f t="shared" si="243"/>
        <v>0</v>
      </c>
      <c r="AW410" s="1213">
        <f t="shared" si="244"/>
        <v>0</v>
      </c>
      <c r="AX410" s="1213">
        <f t="shared" si="245"/>
        <v>0</v>
      </c>
      <c r="AY410" s="1133">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243"/>
      <c r="B411" s="1102"/>
      <c r="C411" s="1102"/>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1213">
        <f t="shared" si="243"/>
        <v>0</v>
      </c>
      <c r="AW411" s="1213">
        <f t="shared" si="244"/>
        <v>0</v>
      </c>
      <c r="AX411" s="1213">
        <f t="shared" si="245"/>
        <v>0</v>
      </c>
      <c r="AY411" s="1133">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243"/>
      <c r="B412" s="1102"/>
      <c r="C412" s="1102"/>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1213">
        <f t="shared" si="243"/>
        <v>0</v>
      </c>
      <c r="AW412" s="1213">
        <f t="shared" si="244"/>
        <v>0</v>
      </c>
      <c r="AX412" s="1213">
        <f t="shared" si="245"/>
        <v>0</v>
      </c>
      <c r="AY412" s="1133">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243"/>
      <c r="B413" s="1102"/>
      <c r="C413" s="1102"/>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1213">
        <f t="shared" si="243"/>
        <v>0</v>
      </c>
      <c r="AW413" s="1213">
        <f t="shared" si="244"/>
        <v>0</v>
      </c>
      <c r="AX413" s="1213">
        <f t="shared" si="245"/>
        <v>0</v>
      </c>
      <c r="AY413" s="1133">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243"/>
      <c r="B414" s="1102"/>
      <c r="C414" s="1102"/>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1213">
        <f t="shared" si="243"/>
        <v>0</v>
      </c>
      <c r="AW414" s="1213">
        <f t="shared" si="244"/>
        <v>0</v>
      </c>
      <c r="AX414" s="1213">
        <f t="shared" si="245"/>
        <v>0</v>
      </c>
      <c r="AY414" s="1133">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243"/>
      <c r="B415" s="1102"/>
      <c r="C415" s="1102"/>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1213">
        <f t="shared" si="243"/>
        <v>0</v>
      </c>
      <c r="AW415" s="1213">
        <f t="shared" si="244"/>
        <v>0</v>
      </c>
      <c r="AX415" s="1213">
        <f t="shared" si="245"/>
        <v>0</v>
      </c>
      <c r="AY415" s="1133">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243"/>
      <c r="B416" s="1102"/>
      <c r="C416" s="1102"/>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1213">
        <f t="shared" si="243"/>
        <v>0</v>
      </c>
      <c r="AW416" s="1213">
        <f t="shared" si="244"/>
        <v>0</v>
      </c>
      <c r="AX416" s="1213">
        <f t="shared" si="245"/>
        <v>0</v>
      </c>
      <c r="AY416" s="1133">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243"/>
      <c r="B417" s="1102"/>
      <c r="C417" s="1102"/>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1213">
        <f t="shared" si="243"/>
        <v>0</v>
      </c>
      <c r="AW417" s="1213">
        <f t="shared" si="244"/>
        <v>0</v>
      </c>
      <c r="AX417" s="1213">
        <f t="shared" si="245"/>
        <v>0</v>
      </c>
      <c r="AY417" s="1133">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243"/>
      <c r="B418" s="1102"/>
      <c r="C418" s="1102"/>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1213">
        <f t="shared" si="243"/>
        <v>0</v>
      </c>
      <c r="AW418" s="1213">
        <f t="shared" si="244"/>
        <v>0</v>
      </c>
      <c r="AX418" s="1213">
        <f t="shared" si="245"/>
        <v>0</v>
      </c>
      <c r="AY418" s="1133">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243"/>
      <c r="B419" s="1102"/>
      <c r="C419" s="1102"/>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1213">
        <f t="shared" si="243"/>
        <v>0</v>
      </c>
      <c r="AW419" s="1213">
        <f t="shared" si="244"/>
        <v>0</v>
      </c>
      <c r="AX419" s="1213">
        <f t="shared" si="245"/>
        <v>0</v>
      </c>
      <c r="AY419" s="1133">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243"/>
      <c r="B420" s="1102"/>
      <c r="C420" s="1102"/>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1213">
        <f t="shared" si="243"/>
        <v>0</v>
      </c>
      <c r="AW420" s="1213">
        <f t="shared" si="244"/>
        <v>0</v>
      </c>
      <c r="AX420" s="1213">
        <f t="shared" si="245"/>
        <v>0</v>
      </c>
      <c r="AY420" s="1133">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243"/>
      <c r="B421" s="1102"/>
      <c r="C421" s="1102"/>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1213">
        <f t="shared" si="243"/>
        <v>0</v>
      </c>
      <c r="AW421" s="1213">
        <f t="shared" si="244"/>
        <v>0</v>
      </c>
      <c r="AX421" s="1213">
        <f t="shared" si="245"/>
        <v>0</v>
      </c>
      <c r="AY421" s="1133">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243"/>
      <c r="B422" s="1102"/>
      <c r="C422" s="1102"/>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1213">
        <f t="shared" si="243"/>
        <v>0</v>
      </c>
      <c r="AW422" s="1213">
        <f t="shared" si="244"/>
        <v>0</v>
      </c>
      <c r="AX422" s="1213">
        <f t="shared" si="245"/>
        <v>0</v>
      </c>
      <c r="AY422" s="1133">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243"/>
      <c r="B423" s="1102"/>
      <c r="C423" s="1102"/>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1213">
        <f t="shared" si="243"/>
        <v>0</v>
      </c>
      <c r="AW423" s="1213">
        <f t="shared" si="244"/>
        <v>0</v>
      </c>
      <c r="AX423" s="1213">
        <f t="shared" si="245"/>
        <v>0</v>
      </c>
      <c r="AY423" s="1133">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243"/>
      <c r="B424" s="1102"/>
      <c r="C424" s="1102"/>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1213">
        <f t="shared" si="243"/>
        <v>0</v>
      </c>
      <c r="AW424" s="1213">
        <f t="shared" si="244"/>
        <v>0</v>
      </c>
      <c r="AX424" s="1213">
        <f t="shared" si="245"/>
        <v>0</v>
      </c>
      <c r="AY424" s="1133">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243"/>
      <c r="B425" s="1102"/>
      <c r="C425" s="1102"/>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1213">
        <f t="shared" si="243"/>
        <v>0</v>
      </c>
      <c r="AW425" s="1213">
        <f t="shared" si="244"/>
        <v>0</v>
      </c>
      <c r="AX425" s="1213">
        <f t="shared" si="245"/>
        <v>0</v>
      </c>
      <c r="AY425" s="1133">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243"/>
      <c r="B426" s="1102"/>
      <c r="C426" s="1102"/>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1213">
        <f t="shared" si="243"/>
        <v>0</v>
      </c>
      <c r="AW426" s="1213">
        <f t="shared" si="244"/>
        <v>0</v>
      </c>
      <c r="AX426" s="1213">
        <f t="shared" si="245"/>
        <v>0</v>
      </c>
      <c r="AY426" s="1133">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243"/>
      <c r="B427" s="1102"/>
      <c r="C427" s="1102"/>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1213">
        <f t="shared" si="243"/>
        <v>0</v>
      </c>
      <c r="AW427" s="1213">
        <f t="shared" si="244"/>
        <v>0</v>
      </c>
      <c r="AX427" s="1213">
        <f t="shared" si="245"/>
        <v>0</v>
      </c>
      <c r="AY427" s="1133">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243"/>
      <c r="B428" s="1102"/>
      <c r="C428" s="1102"/>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1213">
        <f t="shared" si="243"/>
        <v>0</v>
      </c>
      <c r="AW428" s="1213">
        <f t="shared" si="244"/>
        <v>0</v>
      </c>
      <c r="AX428" s="1213">
        <f t="shared" si="245"/>
        <v>0</v>
      </c>
      <c r="AY428" s="1133">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243"/>
      <c r="B429" s="1102"/>
      <c r="C429" s="1102"/>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1213">
        <f t="shared" si="243"/>
        <v>0</v>
      </c>
      <c r="AW429" s="1213">
        <f t="shared" si="244"/>
        <v>0</v>
      </c>
      <c r="AX429" s="1213">
        <f t="shared" si="245"/>
        <v>0</v>
      </c>
      <c r="AY429" s="1133">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243"/>
      <c r="B430" s="1102"/>
      <c r="C430" s="1102"/>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1213">
        <f t="shared" si="243"/>
        <v>0</v>
      </c>
      <c r="AW430" s="1213">
        <f t="shared" si="244"/>
        <v>0</v>
      </c>
      <c r="AX430" s="1213">
        <f t="shared" si="245"/>
        <v>0</v>
      </c>
      <c r="AY430" s="1133">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243"/>
      <c r="B431" s="1102"/>
      <c r="C431" s="1102"/>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1213">
        <f t="shared" si="243"/>
        <v>0</v>
      </c>
      <c r="AW431" s="1213">
        <f t="shared" si="244"/>
        <v>0</v>
      </c>
      <c r="AX431" s="1213">
        <f t="shared" si="245"/>
        <v>0</v>
      </c>
      <c r="AY431" s="1133">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243"/>
      <c r="B432" s="1102"/>
      <c r="C432" s="1102"/>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1213">
        <f t="shared" si="243"/>
        <v>0</v>
      </c>
      <c r="AW432" s="1213">
        <f t="shared" si="244"/>
        <v>0</v>
      </c>
      <c r="AX432" s="1213">
        <f t="shared" si="245"/>
        <v>0</v>
      </c>
      <c r="AY432" s="1133">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243"/>
      <c r="B433" s="1102"/>
      <c r="C433" s="1102"/>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1213">
        <f t="shared" si="243"/>
        <v>0</v>
      </c>
      <c r="AW433" s="1213">
        <f t="shared" si="244"/>
        <v>0</v>
      </c>
      <c r="AX433" s="1213">
        <f t="shared" si="245"/>
        <v>0</v>
      </c>
      <c r="AY433" s="1133">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243"/>
      <c r="B434" s="1102"/>
      <c r="C434" s="1102"/>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1213">
        <f t="shared" si="243"/>
        <v>0</v>
      </c>
      <c r="AW434" s="1213">
        <f t="shared" si="244"/>
        <v>0</v>
      </c>
      <c r="AX434" s="1213">
        <f t="shared" si="245"/>
        <v>0</v>
      </c>
      <c r="AY434" s="1133">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243"/>
      <c r="B435" s="1102"/>
      <c r="C435" s="1102"/>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1213">
        <f t="shared" si="243"/>
        <v>0</v>
      </c>
      <c r="AW435" s="1213">
        <f t="shared" si="244"/>
        <v>0</v>
      </c>
      <c r="AX435" s="1213">
        <f t="shared" si="245"/>
        <v>0</v>
      </c>
      <c r="AY435" s="1133">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243"/>
      <c r="B436" s="1102"/>
      <c r="C436" s="1102"/>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1213">
        <f t="shared" si="243"/>
        <v>0</v>
      </c>
      <c r="AW436" s="1213">
        <f t="shared" si="244"/>
        <v>0</v>
      </c>
      <c r="AX436" s="1213">
        <f t="shared" si="245"/>
        <v>0</v>
      </c>
      <c r="AY436" s="1133">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243"/>
      <c r="B437" s="1102"/>
      <c r="C437" s="1102"/>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1213">
        <f t="shared" si="243"/>
        <v>0</v>
      </c>
      <c r="AW437" s="1213">
        <f t="shared" si="244"/>
        <v>0</v>
      </c>
      <c r="AX437" s="1213">
        <f t="shared" si="245"/>
        <v>0</v>
      </c>
      <c r="AY437" s="1133">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243"/>
      <c r="B438" s="1102"/>
      <c r="C438" s="1102"/>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1213">
        <f t="shared" si="243"/>
        <v>0</v>
      </c>
      <c r="AW438" s="1213">
        <f t="shared" si="244"/>
        <v>0</v>
      </c>
      <c r="AX438" s="1213">
        <f t="shared" si="245"/>
        <v>0</v>
      </c>
      <c r="AY438" s="1133">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243"/>
      <c r="B439" s="1102"/>
      <c r="C439" s="1102"/>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1213">
        <f t="shared" si="243"/>
        <v>0</v>
      </c>
      <c r="AW439" s="1213">
        <f t="shared" si="244"/>
        <v>0</v>
      </c>
      <c r="AX439" s="1213">
        <f t="shared" si="245"/>
        <v>0</v>
      </c>
      <c r="AY439" s="1133">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243"/>
      <c r="B440" s="1102"/>
      <c r="C440" s="1102"/>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1213">
        <f t="shared" si="243"/>
        <v>0</v>
      </c>
      <c r="AW440" s="1213">
        <f t="shared" si="244"/>
        <v>0</v>
      </c>
      <c r="AX440" s="1213">
        <f t="shared" si="245"/>
        <v>0</v>
      </c>
      <c r="AY440" s="1133">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243"/>
      <c r="B441" s="1102"/>
      <c r="C441" s="1102"/>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1213">
        <f t="shared" si="243"/>
        <v>0</v>
      </c>
      <c r="AW441" s="1213">
        <f t="shared" si="244"/>
        <v>0</v>
      </c>
      <c r="AX441" s="1213">
        <f t="shared" si="245"/>
        <v>0</v>
      </c>
      <c r="AY441" s="1133">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243"/>
      <c r="B442" s="1102"/>
      <c r="C442" s="1102"/>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1213">
        <f t="shared" si="243"/>
        <v>0</v>
      </c>
      <c r="AW442" s="1213">
        <f t="shared" si="244"/>
        <v>0</v>
      </c>
      <c r="AX442" s="1213">
        <f t="shared" si="245"/>
        <v>0</v>
      </c>
      <c r="AY442" s="1133">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243"/>
      <c r="B443" s="1102"/>
      <c r="C443" s="1102"/>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1213">
        <f t="shared" si="243"/>
        <v>0</v>
      </c>
      <c r="AW443" s="1213">
        <f t="shared" si="244"/>
        <v>0</v>
      </c>
      <c r="AX443" s="1213">
        <f t="shared" si="245"/>
        <v>0</v>
      </c>
      <c r="AY443" s="1133">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243"/>
      <c r="B444" s="1102"/>
      <c r="C444" s="1102"/>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1213">
        <f t="shared" si="243"/>
        <v>0</v>
      </c>
      <c r="AW444" s="1213">
        <f t="shared" si="244"/>
        <v>0</v>
      </c>
      <c r="AX444" s="1213">
        <f t="shared" si="245"/>
        <v>0</v>
      </c>
      <c r="AY444" s="1133">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243"/>
      <c r="B445" s="1102"/>
      <c r="C445" s="1102"/>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1213">
        <f t="shared" si="243"/>
        <v>0</v>
      </c>
      <c r="AW445" s="1213">
        <f t="shared" si="244"/>
        <v>0</v>
      </c>
      <c r="AX445" s="1213">
        <f t="shared" si="245"/>
        <v>0</v>
      </c>
      <c r="AY445" s="1133">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243"/>
      <c r="B446" s="1102"/>
      <c r="C446" s="1102"/>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1213">
        <f t="shared" si="243"/>
        <v>0</v>
      </c>
      <c r="AW446" s="1213">
        <f t="shared" si="244"/>
        <v>0</v>
      </c>
      <c r="AX446" s="1213">
        <f t="shared" si="245"/>
        <v>0</v>
      </c>
      <c r="AY446" s="1133">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243"/>
      <c r="B447" s="1102"/>
      <c r="C447" s="1102"/>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1213">
        <f t="shared" si="243"/>
        <v>0</v>
      </c>
      <c r="AW447" s="1213">
        <f t="shared" si="244"/>
        <v>0</v>
      </c>
      <c r="AX447" s="1213">
        <f t="shared" si="245"/>
        <v>0</v>
      </c>
      <c r="AY447" s="1133">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243"/>
      <c r="B448" s="1102"/>
      <c r="C448" s="1102"/>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1213">
        <f t="shared" si="243"/>
        <v>0</v>
      </c>
      <c r="AW448" s="1213">
        <f t="shared" si="244"/>
        <v>0</v>
      </c>
      <c r="AX448" s="1213">
        <f t="shared" si="245"/>
        <v>0</v>
      </c>
      <c r="AY448" s="1133">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243"/>
      <c r="B449" s="1102"/>
      <c r="C449" s="1102"/>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1213">
        <f t="shared" si="243"/>
        <v>0</v>
      </c>
      <c r="AW449" s="1213">
        <f t="shared" si="244"/>
        <v>0</v>
      </c>
      <c r="AX449" s="1213">
        <f t="shared" si="245"/>
        <v>0</v>
      </c>
      <c r="AY449" s="1133">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243"/>
      <c r="B450" s="1102"/>
      <c r="C450" s="1102"/>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1213">
        <f t="shared" si="243"/>
        <v>0</v>
      </c>
      <c r="AW450" s="1213">
        <f t="shared" si="244"/>
        <v>0</v>
      </c>
      <c r="AX450" s="1213">
        <f t="shared" si="245"/>
        <v>0</v>
      </c>
      <c r="AY450" s="1133">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243"/>
      <c r="B451" s="1102"/>
      <c r="C451" s="1102"/>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1213">
        <f t="shared" si="243"/>
        <v>0</v>
      </c>
      <c r="AW451" s="1213">
        <f t="shared" si="244"/>
        <v>0</v>
      </c>
      <c r="AX451" s="1213">
        <f t="shared" si="245"/>
        <v>0</v>
      </c>
      <c r="AY451" s="1133">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243"/>
      <c r="B452" s="1102"/>
      <c r="C452" s="1102"/>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1213">
        <f t="shared" si="243"/>
        <v>0</v>
      </c>
      <c r="AW452" s="1213">
        <f t="shared" si="244"/>
        <v>0</v>
      </c>
      <c r="AX452" s="1213">
        <f t="shared" si="245"/>
        <v>0</v>
      </c>
      <c r="AY452" s="1133">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243"/>
      <c r="B453" s="1102"/>
      <c r="C453" s="1102"/>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1213">
        <f t="shared" si="243"/>
        <v>0</v>
      </c>
      <c r="AW453" s="1213">
        <f t="shared" si="244"/>
        <v>0</v>
      </c>
      <c r="AX453" s="1213">
        <f t="shared" si="245"/>
        <v>0</v>
      </c>
      <c r="AY453" s="1133">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243"/>
      <c r="B454" s="1102"/>
      <c r="C454" s="1102"/>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1213">
        <f t="shared" si="243"/>
        <v>0</v>
      </c>
      <c r="AW454" s="1213">
        <f t="shared" si="244"/>
        <v>0</v>
      </c>
      <c r="AX454" s="1213">
        <f t="shared" si="245"/>
        <v>0</v>
      </c>
      <c r="AY454" s="1133">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243"/>
      <c r="B455" s="1102"/>
      <c r="C455" s="1102"/>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1213">
        <f t="shared" si="243"/>
        <v>0</v>
      </c>
      <c r="AW455" s="1213">
        <f t="shared" si="244"/>
        <v>0</v>
      </c>
      <c r="AX455" s="1213">
        <f t="shared" si="245"/>
        <v>0</v>
      </c>
      <c r="AY455" s="1133">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243"/>
      <c r="B456" s="1102"/>
      <c r="C456" s="1102"/>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1213">
        <f t="shared" si="243"/>
        <v>0</v>
      </c>
      <c r="AW456" s="1213">
        <f t="shared" si="244"/>
        <v>0</v>
      </c>
      <c r="AX456" s="1213">
        <f t="shared" si="245"/>
        <v>0</v>
      </c>
      <c r="AY456" s="1133">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243"/>
      <c r="B457" s="1102"/>
      <c r="C457" s="1102"/>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1213">
        <f t="shared" si="243"/>
        <v>0</v>
      </c>
      <c r="AW457" s="1213">
        <f t="shared" si="244"/>
        <v>0</v>
      </c>
      <c r="AX457" s="1213">
        <f t="shared" si="245"/>
        <v>0</v>
      </c>
      <c r="AY457" s="1133">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243"/>
      <c r="B458" s="1102"/>
      <c r="C458" s="1102"/>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1213">
        <f t="shared" si="243"/>
        <v>0</v>
      </c>
      <c r="AW458" s="1213">
        <f t="shared" si="244"/>
        <v>0</v>
      </c>
      <c r="AX458" s="1213">
        <f t="shared" si="245"/>
        <v>0</v>
      </c>
      <c r="AY458" s="1133">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243"/>
      <c r="B459" s="1102"/>
      <c r="C459" s="1102"/>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1213">
        <f t="shared" si="243"/>
        <v>0</v>
      </c>
      <c r="AW459" s="1213">
        <f t="shared" si="244"/>
        <v>0</v>
      </c>
      <c r="AX459" s="1213">
        <f t="shared" si="245"/>
        <v>0</v>
      </c>
      <c r="AY459" s="1133">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243"/>
      <c r="B460" s="1102"/>
      <c r="C460" s="1102"/>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1213">
        <f t="shared" si="243"/>
        <v>0</v>
      </c>
      <c r="AW460" s="1213">
        <f t="shared" si="244"/>
        <v>0</v>
      </c>
      <c r="AX460" s="1213">
        <f t="shared" si="245"/>
        <v>0</v>
      </c>
      <c r="AY460" s="1133">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243"/>
      <c r="B461" s="1102"/>
      <c r="C461" s="1102"/>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1213">
        <f t="shared" si="243"/>
        <v>0</v>
      </c>
      <c r="AW461" s="1213">
        <f t="shared" si="244"/>
        <v>0</v>
      </c>
      <c r="AX461" s="1213">
        <f t="shared" si="245"/>
        <v>0</v>
      </c>
      <c r="AY461" s="1133">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243"/>
      <c r="B462" s="1102"/>
      <c r="C462" s="1102"/>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1213">
        <f t="shared" si="243"/>
        <v>0</v>
      </c>
      <c r="AW462" s="1213">
        <f t="shared" si="244"/>
        <v>0</v>
      </c>
      <c r="AX462" s="1213">
        <f t="shared" si="245"/>
        <v>0</v>
      </c>
      <c r="AY462" s="1133">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243"/>
      <c r="B463" s="1102"/>
      <c r="C463" s="1102"/>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1213">
        <f t="shared" si="243"/>
        <v>0</v>
      </c>
      <c r="AW463" s="1213">
        <f t="shared" si="244"/>
        <v>0</v>
      </c>
      <c r="AX463" s="1213">
        <f t="shared" si="245"/>
        <v>0</v>
      </c>
      <c r="AY463" s="1133">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243"/>
      <c r="B464" s="1102"/>
      <c r="C464" s="1102"/>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1213">
        <f t="shared" si="243"/>
        <v>0</v>
      </c>
      <c r="AW464" s="1213">
        <f t="shared" si="244"/>
        <v>0</v>
      </c>
      <c r="AX464" s="1213">
        <f t="shared" si="245"/>
        <v>0</v>
      </c>
      <c r="AY464" s="1133">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243"/>
      <c r="B465" s="1102"/>
      <c r="C465" s="1102"/>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1213">
        <f t="shared" si="243"/>
        <v>0</v>
      </c>
      <c r="AW465" s="1213">
        <f t="shared" si="244"/>
        <v>0</v>
      </c>
      <c r="AX465" s="1213">
        <f t="shared" si="245"/>
        <v>0</v>
      </c>
      <c r="AY465" s="1133">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243"/>
      <c r="B466" s="1102"/>
      <c r="C466" s="1102"/>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1213">
        <f t="shared" si="243"/>
        <v>0</v>
      </c>
      <c r="AW466" s="1213">
        <f t="shared" si="244"/>
        <v>0</v>
      </c>
      <c r="AX466" s="1213">
        <f t="shared" si="245"/>
        <v>0</v>
      </c>
      <c r="AY466" s="1133">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243"/>
      <c r="B467" s="1102"/>
      <c r="C467" s="1102"/>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1213">
        <f t="shared" si="243"/>
        <v>0</v>
      </c>
      <c r="AW467" s="1213">
        <f t="shared" si="244"/>
        <v>0</v>
      </c>
      <c r="AX467" s="1213">
        <f t="shared" si="245"/>
        <v>0</v>
      </c>
      <c r="AY467" s="1133">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243"/>
      <c r="B468" s="1102"/>
      <c r="C468" s="1102"/>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1213">
        <f t="shared" si="243"/>
        <v>0</v>
      </c>
      <c r="AW468" s="1213">
        <f t="shared" si="244"/>
        <v>0</v>
      </c>
      <c r="AX468" s="1213">
        <f t="shared" si="245"/>
        <v>0</v>
      </c>
      <c r="AY468" s="1133">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243"/>
      <c r="B469" s="1102"/>
      <c r="C469" s="1102"/>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1213">
        <f t="shared" si="243"/>
        <v>0</v>
      </c>
      <c r="AW469" s="1213">
        <f t="shared" si="244"/>
        <v>0</v>
      </c>
      <c r="AX469" s="1213">
        <f t="shared" si="245"/>
        <v>0</v>
      </c>
      <c r="AY469" s="1133">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243"/>
      <c r="B470" s="1102"/>
      <c r="C470" s="1102"/>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1213">
        <f t="shared" si="243"/>
        <v>0</v>
      </c>
      <c r="AW470" s="1213">
        <f t="shared" si="244"/>
        <v>0</v>
      </c>
      <c r="AX470" s="1213">
        <f t="shared" si="245"/>
        <v>0</v>
      </c>
      <c r="AY470" s="1133">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243"/>
      <c r="B471" s="1102"/>
      <c r="C471" s="1102"/>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1213">
        <f t="shared" si="243"/>
        <v>0</v>
      </c>
      <c r="AW471" s="1213">
        <f t="shared" si="244"/>
        <v>0</v>
      </c>
      <c r="AX471" s="1213">
        <f t="shared" si="245"/>
        <v>0</v>
      </c>
      <c r="AY471" s="1133">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243"/>
      <c r="B472" s="1102"/>
      <c r="C472" s="1102"/>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1213">
        <f t="shared" si="243"/>
        <v>0</v>
      </c>
      <c r="AW472" s="1213">
        <f t="shared" si="244"/>
        <v>0</v>
      </c>
      <c r="AX472" s="1213">
        <f t="shared" si="245"/>
        <v>0</v>
      </c>
      <c r="AY472" s="1133">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243"/>
      <c r="B473" s="1102"/>
      <c r="C473" s="1102"/>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1213">
        <f t="shared" si="243"/>
        <v>0</v>
      </c>
      <c r="AW473" s="1213">
        <f t="shared" si="244"/>
        <v>0</v>
      </c>
      <c r="AX473" s="1213">
        <f t="shared" si="245"/>
        <v>0</v>
      </c>
      <c r="AY473" s="1133">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243"/>
      <c r="B474" s="1102"/>
      <c r="C474" s="1102"/>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1213">
        <f t="shared" si="243"/>
        <v>0</v>
      </c>
      <c r="AW474" s="1213">
        <f t="shared" si="244"/>
        <v>0</v>
      </c>
      <c r="AX474" s="1213">
        <f t="shared" si="245"/>
        <v>0</v>
      </c>
      <c r="AY474" s="1133">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243"/>
      <c r="B475" s="1102"/>
      <c r="C475" s="1102"/>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1213">
        <f t="shared" si="243"/>
        <v>0</v>
      </c>
      <c r="AW475" s="1213">
        <f t="shared" si="244"/>
        <v>0</v>
      </c>
      <c r="AX475" s="1213">
        <f t="shared" si="245"/>
        <v>0</v>
      </c>
      <c r="AY475" s="1133">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243"/>
      <c r="B476" s="1102"/>
      <c r="C476" s="1102"/>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1213">
        <f t="shared" si="243"/>
        <v>0</v>
      </c>
      <c r="AW476" s="1213">
        <f t="shared" si="244"/>
        <v>0</v>
      </c>
      <c r="AX476" s="1213">
        <f t="shared" si="245"/>
        <v>0</v>
      </c>
      <c r="AY476" s="1133">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243"/>
      <c r="B477" s="1102"/>
      <c r="C477" s="1102"/>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1213">
        <f t="shared" si="243"/>
        <v>0</v>
      </c>
      <c r="AW477" s="1213">
        <f t="shared" si="244"/>
        <v>0</v>
      </c>
      <c r="AX477" s="1213">
        <f t="shared" si="245"/>
        <v>0</v>
      </c>
      <c r="AY477" s="1133">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243"/>
      <c r="B478" s="1102"/>
      <c r="C478" s="1102"/>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1213">
        <f t="shared" si="243"/>
        <v>0</v>
      </c>
      <c r="AW478" s="1213">
        <f t="shared" si="244"/>
        <v>0</v>
      </c>
      <c r="AX478" s="1213">
        <f t="shared" si="245"/>
        <v>0</v>
      </c>
      <c r="AY478" s="1133">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243"/>
      <c r="B479" s="1102"/>
      <c r="C479" s="1102"/>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1213">
        <f t="shared" si="243"/>
        <v>0</v>
      </c>
      <c r="AW479" s="1213">
        <f t="shared" si="244"/>
        <v>0</v>
      </c>
      <c r="AX479" s="1213">
        <f t="shared" si="245"/>
        <v>0</v>
      </c>
      <c r="AY479" s="1133">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243"/>
      <c r="B480" s="1102"/>
      <c r="C480" s="1102"/>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1213">
        <f t="shared" si="243"/>
        <v>0</v>
      </c>
      <c r="AW480" s="1213">
        <f t="shared" si="244"/>
        <v>0</v>
      </c>
      <c r="AX480" s="1213">
        <f t="shared" si="245"/>
        <v>0</v>
      </c>
      <c r="AY480" s="1133">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243"/>
      <c r="B481" s="1102"/>
      <c r="C481" s="1102"/>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1213">
        <f t="shared" si="243"/>
        <v>0</v>
      </c>
      <c r="AW481" s="1213">
        <f t="shared" si="244"/>
        <v>0</v>
      </c>
      <c r="AX481" s="1213">
        <f t="shared" si="245"/>
        <v>0</v>
      </c>
      <c r="AY481" s="1133">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243"/>
      <c r="B482" s="1102"/>
      <c r="C482" s="1102"/>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1213">
        <f t="shared" si="243"/>
        <v>0</v>
      </c>
      <c r="AW482" s="1213">
        <f t="shared" si="244"/>
        <v>0</v>
      </c>
      <c r="AX482" s="1213">
        <f t="shared" si="245"/>
        <v>0</v>
      </c>
      <c r="AY482" s="1133">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243"/>
      <c r="B483" s="1102"/>
      <c r="C483" s="1102"/>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1213">
        <f t="shared" si="243"/>
        <v>0</v>
      </c>
      <c r="AW483" s="1213">
        <f t="shared" si="244"/>
        <v>0</v>
      </c>
      <c r="AX483" s="1213">
        <f t="shared" si="245"/>
        <v>0</v>
      </c>
      <c r="AY483" s="1133">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243"/>
      <c r="B484" s="1102"/>
      <c r="C484" s="1102"/>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1213">
        <f t="shared" si="243"/>
        <v>0</v>
      </c>
      <c r="AW484" s="1213">
        <f t="shared" si="244"/>
        <v>0</v>
      </c>
      <c r="AX484" s="1213">
        <f t="shared" si="245"/>
        <v>0</v>
      </c>
      <c r="AY484" s="1133">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243"/>
      <c r="B485" s="1102"/>
      <c r="C485" s="1102"/>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1213">
        <f t="shared" si="243"/>
        <v>0</v>
      </c>
      <c r="AW485" s="1213">
        <f t="shared" si="244"/>
        <v>0</v>
      </c>
      <c r="AX485" s="1213">
        <f t="shared" si="245"/>
        <v>0</v>
      </c>
      <c r="AY485" s="1133">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243"/>
      <c r="B486" s="1102"/>
      <c r="C486" s="1102"/>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1213">
        <f t="shared" si="243"/>
        <v>0</v>
      </c>
      <c r="AW486" s="1213">
        <f t="shared" si="244"/>
        <v>0</v>
      </c>
      <c r="AX486" s="1213">
        <f t="shared" si="245"/>
        <v>0</v>
      </c>
      <c r="AY486" s="1133">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243"/>
      <c r="B487" s="1102"/>
      <c r="C487" s="1102"/>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1213">
        <f t="shared" si="243"/>
        <v>0</v>
      </c>
      <c r="AW487" s="1213">
        <f t="shared" si="244"/>
        <v>0</v>
      </c>
      <c r="AX487" s="1213">
        <f t="shared" si="245"/>
        <v>0</v>
      </c>
      <c r="AY487" s="1133">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243"/>
      <c r="B488" s="1102"/>
      <c r="C488" s="1102"/>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1213">
        <f t="shared" si="243"/>
        <v>0</v>
      </c>
      <c r="AW488" s="1213">
        <f t="shared" si="244"/>
        <v>0</v>
      </c>
      <c r="AX488" s="1213">
        <f t="shared" si="245"/>
        <v>0</v>
      </c>
      <c r="AY488" s="1133">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243"/>
      <c r="B489" s="1102"/>
      <c r="C489" s="1102"/>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1213">
        <f t="shared" si="243"/>
        <v>0</v>
      </c>
      <c r="AW489" s="1213">
        <f t="shared" si="244"/>
        <v>0</v>
      </c>
      <c r="AX489" s="1213">
        <f t="shared" si="245"/>
        <v>0</v>
      </c>
      <c r="AY489" s="1133">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243"/>
      <c r="B490" s="1243"/>
      <c r="C490" s="1243"/>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2136"/>
      <c r="AV490" s="1213">
        <f t="shared" si="243"/>
        <v>0</v>
      </c>
      <c r="AW490" s="1213">
        <f t="shared" si="244"/>
        <v>0</v>
      </c>
      <c r="AX490" s="1213">
        <f t="shared" si="245"/>
        <v>0</v>
      </c>
      <c r="AY490" s="1133">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243"/>
      <c r="B491" s="1243"/>
      <c r="C491" s="1243"/>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2136"/>
      <c r="AV491" s="1213">
        <f t="shared" si="243"/>
        <v>0</v>
      </c>
      <c r="AW491" s="1213">
        <f t="shared" si="244"/>
        <v>0</v>
      </c>
      <c r="AX491" s="1213">
        <f t="shared" si="245"/>
        <v>0</v>
      </c>
      <c r="AY491" s="1133">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243"/>
      <c r="B492" s="1243"/>
      <c r="C492" s="1243"/>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2136"/>
      <c r="AV492" s="1213">
        <f t="shared" si="243"/>
        <v>0</v>
      </c>
      <c r="AW492" s="1213">
        <f t="shared" si="244"/>
        <v>0</v>
      </c>
      <c r="AX492" s="1213">
        <f t="shared" si="245"/>
        <v>0</v>
      </c>
      <c r="AY492" s="1133">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243"/>
      <c r="B493" s="1102"/>
      <c r="C493" s="1102"/>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1213">
        <f t="shared" ref="AV493:AV520" si="294">A493</f>
        <v>0</v>
      </c>
      <c r="AW493" s="1213">
        <f t="shared" ref="AW493:AW520" si="295">B493</f>
        <v>0</v>
      </c>
      <c r="AX493" s="1213">
        <f t="shared" ref="AX493:AX520" si="296">C493</f>
        <v>0</v>
      </c>
      <c r="AY493" s="1133">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243"/>
      <c r="B494" s="1102"/>
      <c r="C494" s="1102"/>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1213">
        <f t="shared" si="294"/>
        <v>0</v>
      </c>
      <c r="AW494" s="1213">
        <f t="shared" si="295"/>
        <v>0</v>
      </c>
      <c r="AX494" s="1213">
        <f t="shared" si="296"/>
        <v>0</v>
      </c>
      <c r="AY494" s="1133">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243"/>
      <c r="B495" s="1102"/>
      <c r="C495" s="1102"/>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1213">
        <f t="shared" si="294"/>
        <v>0</v>
      </c>
      <c r="AW495" s="1213">
        <f t="shared" si="295"/>
        <v>0</v>
      </c>
      <c r="AX495" s="1213">
        <f t="shared" si="296"/>
        <v>0</v>
      </c>
      <c r="AY495" s="1133">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243"/>
      <c r="B496" s="1102"/>
      <c r="C496" s="1102"/>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1213">
        <f t="shared" si="294"/>
        <v>0</v>
      </c>
      <c r="AW496" s="1213">
        <f t="shared" si="295"/>
        <v>0</v>
      </c>
      <c r="AX496" s="1213">
        <f t="shared" si="296"/>
        <v>0</v>
      </c>
      <c r="AY496" s="1133">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243"/>
      <c r="B497" s="1102"/>
      <c r="C497" s="1102"/>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1213">
        <f t="shared" si="294"/>
        <v>0</v>
      </c>
      <c r="AW497" s="1213">
        <f t="shared" si="295"/>
        <v>0</v>
      </c>
      <c r="AX497" s="1213">
        <f t="shared" si="296"/>
        <v>0</v>
      </c>
      <c r="AY497" s="1133">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243"/>
      <c r="B498" s="1102"/>
      <c r="C498" s="1102"/>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1213">
        <f t="shared" si="294"/>
        <v>0</v>
      </c>
      <c r="AW498" s="1213">
        <f t="shared" si="295"/>
        <v>0</v>
      </c>
      <c r="AX498" s="1213">
        <f t="shared" si="296"/>
        <v>0</v>
      </c>
      <c r="AY498" s="1133">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243"/>
      <c r="B499" s="1102"/>
      <c r="C499" s="1102"/>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1213">
        <f t="shared" si="294"/>
        <v>0</v>
      </c>
      <c r="AW499" s="1213">
        <f t="shared" si="295"/>
        <v>0</v>
      </c>
      <c r="AX499" s="1213">
        <f t="shared" si="296"/>
        <v>0</v>
      </c>
      <c r="AY499" s="1133">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243"/>
      <c r="B500" s="1102"/>
      <c r="C500" s="1102"/>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1213">
        <f t="shared" si="294"/>
        <v>0</v>
      </c>
      <c r="AW500" s="1213">
        <f t="shared" si="295"/>
        <v>0</v>
      </c>
      <c r="AX500" s="1213">
        <f t="shared" si="296"/>
        <v>0</v>
      </c>
      <c r="AY500" s="1133">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243"/>
      <c r="B501" s="1102"/>
      <c r="C501" s="1102"/>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1213">
        <f t="shared" si="294"/>
        <v>0</v>
      </c>
      <c r="AW501" s="1213">
        <f t="shared" si="295"/>
        <v>0</v>
      </c>
      <c r="AX501" s="1213">
        <f t="shared" si="296"/>
        <v>0</v>
      </c>
      <c r="AY501" s="1133">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243"/>
      <c r="B502" s="1102"/>
      <c r="C502" s="1102"/>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1213">
        <f t="shared" si="294"/>
        <v>0</v>
      </c>
      <c r="AW502" s="1213">
        <f t="shared" si="295"/>
        <v>0</v>
      </c>
      <c r="AX502" s="1213">
        <f t="shared" si="296"/>
        <v>0</v>
      </c>
      <c r="AY502" s="1133">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243"/>
      <c r="B503" s="1102"/>
      <c r="C503" s="1102"/>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1213">
        <f t="shared" si="294"/>
        <v>0</v>
      </c>
      <c r="AW503" s="1213">
        <f t="shared" si="295"/>
        <v>0</v>
      </c>
      <c r="AX503" s="1213">
        <f t="shared" si="296"/>
        <v>0</v>
      </c>
      <c r="AY503" s="1133">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243"/>
      <c r="B504" s="1102"/>
      <c r="C504" s="1102"/>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1213">
        <f t="shared" si="294"/>
        <v>0</v>
      </c>
      <c r="AW504" s="1213">
        <f t="shared" si="295"/>
        <v>0</v>
      </c>
      <c r="AX504" s="1213">
        <f t="shared" si="296"/>
        <v>0</v>
      </c>
      <c r="AY504" s="1133">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243"/>
      <c r="B505" s="1102"/>
      <c r="C505" s="1102"/>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1213">
        <f t="shared" si="294"/>
        <v>0</v>
      </c>
      <c r="AW505" s="1213">
        <f t="shared" si="295"/>
        <v>0</v>
      </c>
      <c r="AX505" s="1213">
        <f t="shared" si="296"/>
        <v>0</v>
      </c>
      <c r="AY505" s="1133">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243"/>
      <c r="B506" s="1102"/>
      <c r="C506" s="1102"/>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1213">
        <f t="shared" si="294"/>
        <v>0</v>
      </c>
      <c r="AW506" s="1213">
        <f t="shared" si="295"/>
        <v>0</v>
      </c>
      <c r="AX506" s="1213">
        <f t="shared" si="296"/>
        <v>0</v>
      </c>
      <c r="AY506" s="1133">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243"/>
      <c r="B507" s="1102"/>
      <c r="C507" s="1102"/>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1213">
        <f t="shared" si="294"/>
        <v>0</v>
      </c>
      <c r="AW507" s="1213">
        <f t="shared" si="295"/>
        <v>0</v>
      </c>
      <c r="AX507" s="1213">
        <f t="shared" si="296"/>
        <v>0</v>
      </c>
      <c r="AY507" s="1133">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243"/>
      <c r="B508" s="1102"/>
      <c r="C508" s="1102"/>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1213">
        <f t="shared" si="294"/>
        <v>0</v>
      </c>
      <c r="AW508" s="1213">
        <f t="shared" si="295"/>
        <v>0</v>
      </c>
      <c r="AX508" s="1213">
        <f t="shared" si="296"/>
        <v>0</v>
      </c>
      <c r="AY508" s="1133">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243"/>
      <c r="B509" s="1102"/>
      <c r="C509" s="1102"/>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1213">
        <f t="shared" si="294"/>
        <v>0</v>
      </c>
      <c r="AW509" s="1213">
        <f t="shared" si="295"/>
        <v>0</v>
      </c>
      <c r="AX509" s="1213">
        <f t="shared" si="296"/>
        <v>0</v>
      </c>
      <c r="AY509" s="1133">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243"/>
      <c r="B510" s="1102"/>
      <c r="C510" s="1102"/>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1213">
        <f t="shared" si="294"/>
        <v>0</v>
      </c>
      <c r="AW510" s="1213">
        <f t="shared" si="295"/>
        <v>0</v>
      </c>
      <c r="AX510" s="1213">
        <f t="shared" si="296"/>
        <v>0</v>
      </c>
      <c r="AY510" s="1133">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243"/>
      <c r="B511" s="1102"/>
      <c r="C511" s="1102"/>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1213">
        <f t="shared" si="294"/>
        <v>0</v>
      </c>
      <c r="AW511" s="1213">
        <f t="shared" si="295"/>
        <v>0</v>
      </c>
      <c r="AX511" s="1213">
        <f t="shared" si="296"/>
        <v>0</v>
      </c>
      <c r="AY511" s="1133">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243"/>
      <c r="B512" s="1102"/>
      <c r="C512" s="1102"/>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1213">
        <f t="shared" si="294"/>
        <v>0</v>
      </c>
      <c r="AW512" s="1213">
        <f t="shared" si="295"/>
        <v>0</v>
      </c>
      <c r="AX512" s="1213">
        <f t="shared" si="296"/>
        <v>0</v>
      </c>
      <c r="AY512" s="1133">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243"/>
      <c r="B513" s="1102"/>
      <c r="C513" s="1102"/>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1213">
        <f t="shared" si="294"/>
        <v>0</v>
      </c>
      <c r="AW513" s="1213">
        <f t="shared" si="295"/>
        <v>0</v>
      </c>
      <c r="AX513" s="1213">
        <f t="shared" si="296"/>
        <v>0</v>
      </c>
      <c r="AY513" s="1133">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243"/>
      <c r="B514" s="1102"/>
      <c r="C514" s="1102"/>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1213">
        <f t="shared" si="294"/>
        <v>0</v>
      </c>
      <c r="AW514" s="1213">
        <f t="shared" si="295"/>
        <v>0</v>
      </c>
      <c r="AX514" s="1213">
        <f t="shared" si="296"/>
        <v>0</v>
      </c>
      <c r="AY514" s="1133">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243"/>
      <c r="B515" s="1102"/>
      <c r="C515" s="1102"/>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1213">
        <f t="shared" si="294"/>
        <v>0</v>
      </c>
      <c r="AW515" s="1213">
        <f t="shared" si="295"/>
        <v>0</v>
      </c>
      <c r="AX515" s="1213">
        <f t="shared" si="296"/>
        <v>0</v>
      </c>
      <c r="AY515" s="1133">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243"/>
      <c r="B516" s="1102"/>
      <c r="C516" s="1102"/>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1213">
        <f t="shared" si="294"/>
        <v>0</v>
      </c>
      <c r="AW516" s="1213">
        <f t="shared" si="295"/>
        <v>0</v>
      </c>
      <c r="AX516" s="1213">
        <f t="shared" si="296"/>
        <v>0</v>
      </c>
      <c r="AY516" s="1133">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243"/>
      <c r="B517" s="1102"/>
      <c r="C517" s="1102"/>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1213">
        <f t="shared" si="294"/>
        <v>0</v>
      </c>
      <c r="AW517" s="1213">
        <f t="shared" si="295"/>
        <v>0</v>
      </c>
      <c r="AX517" s="1213">
        <f t="shared" si="296"/>
        <v>0</v>
      </c>
      <c r="AY517" s="1133">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243"/>
      <c r="B518" s="1102"/>
      <c r="C518" s="1102"/>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1213">
        <f t="shared" si="294"/>
        <v>0</v>
      </c>
      <c r="AW518" s="1213">
        <f t="shared" si="295"/>
        <v>0</v>
      </c>
      <c r="AX518" s="1213">
        <f t="shared" si="296"/>
        <v>0</v>
      </c>
      <c r="AY518" s="1133">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243"/>
      <c r="B519" s="1102"/>
      <c r="C519" s="1102"/>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1213">
        <f t="shared" si="294"/>
        <v>0</v>
      </c>
      <c r="AW519" s="1213">
        <f t="shared" si="295"/>
        <v>0</v>
      </c>
      <c r="AX519" s="1213">
        <f t="shared" si="296"/>
        <v>0</v>
      </c>
      <c r="AY519" s="1133">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243"/>
      <c r="B520" s="1102"/>
      <c r="C520" s="1102"/>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1213">
        <f t="shared" si="294"/>
        <v>0</v>
      </c>
      <c r="AW520" s="1213">
        <f t="shared" si="295"/>
        <v>0</v>
      </c>
      <c r="AX520" s="1213">
        <f t="shared" si="296"/>
        <v>0</v>
      </c>
      <c r="AY520" s="1133">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243"/>
      <c r="B521" s="1102"/>
      <c r="C521" s="1102"/>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1213">
        <f t="shared" ref="AV521:AV552" si="298">A521</f>
        <v>0</v>
      </c>
      <c r="AW521" s="1213">
        <f t="shared" ref="AW521:AW552" si="299">B521</f>
        <v>0</v>
      </c>
      <c r="AX521" s="1213">
        <f t="shared" ref="AX521:AX552" si="300">C521</f>
        <v>0</v>
      </c>
      <c r="AY521" s="1133">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243"/>
      <c r="B522" s="1102"/>
      <c r="C522" s="1102"/>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1213">
        <f t="shared" si="298"/>
        <v>0</v>
      </c>
      <c r="AW522" s="1213">
        <f t="shared" si="299"/>
        <v>0</v>
      </c>
      <c r="AX522" s="1213">
        <f t="shared" si="300"/>
        <v>0</v>
      </c>
      <c r="AY522" s="1133">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243"/>
      <c r="B523" s="1102"/>
      <c r="C523" s="1102"/>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1213">
        <f t="shared" si="298"/>
        <v>0</v>
      </c>
      <c r="AW523" s="1213">
        <f t="shared" si="299"/>
        <v>0</v>
      </c>
      <c r="AX523" s="1213">
        <f t="shared" si="300"/>
        <v>0</v>
      </c>
      <c r="AY523" s="1133">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243"/>
      <c r="B524" s="1102"/>
      <c r="C524" s="1102"/>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1213">
        <f t="shared" si="298"/>
        <v>0</v>
      </c>
      <c r="AW524" s="1213">
        <f t="shared" si="299"/>
        <v>0</v>
      </c>
      <c r="AX524" s="1213">
        <f t="shared" si="300"/>
        <v>0</v>
      </c>
      <c r="AY524" s="1133">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243"/>
      <c r="B525" s="1102"/>
      <c r="C525" s="1102"/>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1213">
        <f t="shared" si="298"/>
        <v>0</v>
      </c>
      <c r="AW525" s="1213">
        <f t="shared" si="299"/>
        <v>0</v>
      </c>
      <c r="AX525" s="1213">
        <f t="shared" si="300"/>
        <v>0</v>
      </c>
      <c r="AY525" s="1133">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243"/>
      <c r="B526" s="1102"/>
      <c r="C526" s="1102"/>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1213">
        <f t="shared" si="298"/>
        <v>0</v>
      </c>
      <c r="AW526" s="1213">
        <f t="shared" si="299"/>
        <v>0</v>
      </c>
      <c r="AX526" s="1213">
        <f t="shared" si="300"/>
        <v>0</v>
      </c>
      <c r="AY526" s="1133">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243"/>
      <c r="B527" s="1102"/>
      <c r="C527" s="1102"/>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1213">
        <f t="shared" si="298"/>
        <v>0</v>
      </c>
      <c r="AW527" s="1213">
        <f t="shared" si="299"/>
        <v>0</v>
      </c>
      <c r="AX527" s="1213">
        <f t="shared" si="300"/>
        <v>0</v>
      </c>
      <c r="AY527" s="1133">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243"/>
      <c r="B528" s="1102"/>
      <c r="C528" s="1102"/>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1213">
        <f t="shared" si="298"/>
        <v>0</v>
      </c>
      <c r="AW528" s="1213">
        <f t="shared" si="299"/>
        <v>0</v>
      </c>
      <c r="AX528" s="1213">
        <f t="shared" si="300"/>
        <v>0</v>
      </c>
      <c r="AY528" s="1133">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243"/>
      <c r="B529" s="1102"/>
      <c r="C529" s="1102"/>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1213">
        <f t="shared" si="298"/>
        <v>0</v>
      </c>
      <c r="AW529" s="1213">
        <f t="shared" si="299"/>
        <v>0</v>
      </c>
      <c r="AX529" s="1213">
        <f t="shared" si="300"/>
        <v>0</v>
      </c>
      <c r="AY529" s="1133">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243"/>
      <c r="B530" s="1102"/>
      <c r="C530" s="1102"/>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1213">
        <f t="shared" si="298"/>
        <v>0</v>
      </c>
      <c r="AW530" s="1213">
        <f t="shared" si="299"/>
        <v>0</v>
      </c>
      <c r="AX530" s="1213">
        <f t="shared" si="300"/>
        <v>0</v>
      </c>
      <c r="AY530" s="1133">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243"/>
      <c r="B531" s="1102"/>
      <c r="C531" s="1102"/>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1213">
        <f t="shared" si="298"/>
        <v>0</v>
      </c>
      <c r="AW531" s="1213">
        <f t="shared" si="299"/>
        <v>0</v>
      </c>
      <c r="AX531" s="1213">
        <f t="shared" si="300"/>
        <v>0</v>
      </c>
      <c r="AY531" s="1133">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243"/>
      <c r="B532" s="1102"/>
      <c r="C532" s="1102"/>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1213">
        <f t="shared" si="298"/>
        <v>0</v>
      </c>
      <c r="AW532" s="1213">
        <f t="shared" si="299"/>
        <v>0</v>
      </c>
      <c r="AX532" s="1213">
        <f t="shared" si="300"/>
        <v>0</v>
      </c>
      <c r="AY532" s="1133">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243"/>
      <c r="B533" s="1102"/>
      <c r="C533" s="1102"/>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1213">
        <f t="shared" si="298"/>
        <v>0</v>
      </c>
      <c r="AW533" s="1213">
        <f t="shared" si="299"/>
        <v>0</v>
      </c>
      <c r="AX533" s="1213">
        <f t="shared" si="300"/>
        <v>0</v>
      </c>
      <c r="AY533" s="1133">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243"/>
      <c r="B534" s="1102"/>
      <c r="C534" s="1102"/>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1213">
        <f t="shared" si="298"/>
        <v>0</v>
      </c>
      <c r="AW534" s="1213">
        <f t="shared" si="299"/>
        <v>0</v>
      </c>
      <c r="AX534" s="1213">
        <f t="shared" si="300"/>
        <v>0</v>
      </c>
      <c r="AY534" s="1133">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243"/>
      <c r="B535" s="1102"/>
      <c r="C535" s="1102"/>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1213">
        <f t="shared" si="298"/>
        <v>0</v>
      </c>
      <c r="AW535" s="1213">
        <f t="shared" si="299"/>
        <v>0</v>
      </c>
      <c r="AX535" s="1213">
        <f t="shared" si="300"/>
        <v>0</v>
      </c>
      <c r="AY535" s="1133">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243"/>
      <c r="B536" s="1102"/>
      <c r="C536" s="1102"/>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1213">
        <f t="shared" si="298"/>
        <v>0</v>
      </c>
      <c r="AW536" s="1213">
        <f t="shared" si="299"/>
        <v>0</v>
      </c>
      <c r="AX536" s="1213">
        <f t="shared" si="300"/>
        <v>0</v>
      </c>
      <c r="AY536" s="1133">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243"/>
      <c r="B537" s="1102"/>
      <c r="C537" s="1102"/>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1213">
        <f t="shared" si="298"/>
        <v>0</v>
      </c>
      <c r="AW537" s="1213">
        <f t="shared" si="299"/>
        <v>0</v>
      </c>
      <c r="AX537" s="1213">
        <f t="shared" si="300"/>
        <v>0</v>
      </c>
      <c r="AY537" s="1133">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243"/>
      <c r="B538" s="1102"/>
      <c r="C538" s="1102"/>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1213">
        <f t="shared" si="298"/>
        <v>0</v>
      </c>
      <c r="AW538" s="1213">
        <f t="shared" si="299"/>
        <v>0</v>
      </c>
      <c r="AX538" s="1213">
        <f t="shared" si="300"/>
        <v>0</v>
      </c>
      <c r="AY538" s="1133">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243"/>
      <c r="B539" s="1102"/>
      <c r="C539" s="1102"/>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1213">
        <f t="shared" si="298"/>
        <v>0</v>
      </c>
      <c r="AW539" s="1213">
        <f t="shared" si="299"/>
        <v>0</v>
      </c>
      <c r="AX539" s="1213">
        <f t="shared" si="300"/>
        <v>0</v>
      </c>
      <c r="AY539" s="1133">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243"/>
      <c r="B540" s="1102"/>
      <c r="C540" s="1102"/>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1213">
        <f t="shared" si="298"/>
        <v>0</v>
      </c>
      <c r="AW540" s="1213">
        <f t="shared" si="299"/>
        <v>0</v>
      </c>
      <c r="AX540" s="1213">
        <f t="shared" si="300"/>
        <v>0</v>
      </c>
      <c r="AY540" s="1133">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243"/>
      <c r="B541" s="1102"/>
      <c r="C541" s="1102"/>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1213">
        <f t="shared" si="298"/>
        <v>0</v>
      </c>
      <c r="AW541" s="1213">
        <f t="shared" si="299"/>
        <v>0</v>
      </c>
      <c r="AX541" s="1213">
        <f t="shared" si="300"/>
        <v>0</v>
      </c>
      <c r="AY541" s="1133">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243"/>
      <c r="B542" s="1102"/>
      <c r="C542" s="1102"/>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1213">
        <f t="shared" si="298"/>
        <v>0</v>
      </c>
      <c r="AW542" s="1213">
        <f t="shared" si="299"/>
        <v>0</v>
      </c>
      <c r="AX542" s="1213">
        <f t="shared" si="300"/>
        <v>0</v>
      </c>
      <c r="AY542" s="1133">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243"/>
      <c r="B543" s="1102"/>
      <c r="C543" s="1102"/>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1213">
        <f t="shared" si="298"/>
        <v>0</v>
      </c>
      <c r="AW543" s="1213">
        <f t="shared" si="299"/>
        <v>0</v>
      </c>
      <c r="AX543" s="1213">
        <f t="shared" si="300"/>
        <v>0</v>
      </c>
      <c r="AY543" s="1133">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243"/>
      <c r="B544" s="1102"/>
      <c r="C544" s="1102"/>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1213">
        <f t="shared" si="298"/>
        <v>0</v>
      </c>
      <c r="AW544" s="1213">
        <f t="shared" si="299"/>
        <v>0</v>
      </c>
      <c r="AX544" s="1213">
        <f t="shared" si="300"/>
        <v>0</v>
      </c>
      <c r="AY544" s="1133">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243"/>
      <c r="B545" s="1102"/>
      <c r="C545" s="1102"/>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1213">
        <f t="shared" si="298"/>
        <v>0</v>
      </c>
      <c r="AW545" s="1213">
        <f t="shared" si="299"/>
        <v>0</v>
      </c>
      <c r="AX545" s="1213">
        <f t="shared" si="300"/>
        <v>0</v>
      </c>
      <c r="AY545" s="1133">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243"/>
      <c r="B546" s="1102"/>
      <c r="C546" s="1102"/>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1213">
        <f t="shared" si="298"/>
        <v>0</v>
      </c>
      <c r="AW546" s="1213">
        <f t="shared" si="299"/>
        <v>0</v>
      </c>
      <c r="AX546" s="1213">
        <f t="shared" si="300"/>
        <v>0</v>
      </c>
      <c r="AY546" s="1133">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243"/>
      <c r="B547" s="1102"/>
      <c r="C547" s="1102"/>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1213">
        <f t="shared" si="298"/>
        <v>0</v>
      </c>
      <c r="AW547" s="1213">
        <f t="shared" si="299"/>
        <v>0</v>
      </c>
      <c r="AX547" s="1213">
        <f t="shared" si="300"/>
        <v>0</v>
      </c>
      <c r="AY547" s="1133">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243"/>
      <c r="B548" s="1102"/>
      <c r="C548" s="1102"/>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1213">
        <f t="shared" si="298"/>
        <v>0</v>
      </c>
      <c r="AW548" s="1213">
        <f t="shared" si="299"/>
        <v>0</v>
      </c>
      <c r="AX548" s="1213">
        <f t="shared" si="300"/>
        <v>0</v>
      </c>
      <c r="AY548" s="1133">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243"/>
      <c r="B549" s="1102"/>
      <c r="C549" s="1102"/>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1213">
        <f t="shared" si="298"/>
        <v>0</v>
      </c>
      <c r="AW549" s="1213">
        <f t="shared" si="299"/>
        <v>0</v>
      </c>
      <c r="AX549" s="1213">
        <f t="shared" si="300"/>
        <v>0</v>
      </c>
      <c r="AY549" s="1133">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243"/>
      <c r="B550" s="1102"/>
      <c r="C550" s="1102"/>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1213">
        <f t="shared" si="298"/>
        <v>0</v>
      </c>
      <c r="AW550" s="1213">
        <f t="shared" si="299"/>
        <v>0</v>
      </c>
      <c r="AX550" s="1213">
        <f t="shared" si="300"/>
        <v>0</v>
      </c>
      <c r="AY550" s="1133">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243"/>
      <c r="B551" s="1102"/>
      <c r="C551" s="1102"/>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1213">
        <f t="shared" si="298"/>
        <v>0</v>
      </c>
      <c r="AW551" s="1213">
        <f t="shared" si="299"/>
        <v>0</v>
      </c>
      <c r="AX551" s="1213">
        <f t="shared" si="300"/>
        <v>0</v>
      </c>
      <c r="AY551" s="1133">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243"/>
      <c r="B552" s="1102"/>
      <c r="C552" s="1102"/>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1213">
        <f t="shared" si="298"/>
        <v>0</v>
      </c>
      <c r="AW552" s="1213">
        <f t="shared" si="299"/>
        <v>0</v>
      </c>
      <c r="AX552" s="1213">
        <f t="shared" si="300"/>
        <v>0</v>
      </c>
      <c r="AY552" s="1133">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243"/>
      <c r="B553" s="1102"/>
      <c r="C553" s="1102"/>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1213">
        <f t="shared" ref="AV553:AV587" si="330">A553</f>
        <v>0</v>
      </c>
      <c r="AW553" s="1213">
        <f t="shared" ref="AW553:AW587" si="331">B553</f>
        <v>0</v>
      </c>
      <c r="AX553" s="1213">
        <f t="shared" ref="AX553:AX587" si="332">C553</f>
        <v>0</v>
      </c>
      <c r="AY553" s="1133">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243"/>
      <c r="B554" s="1102"/>
      <c r="C554" s="1102"/>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1213">
        <f t="shared" si="330"/>
        <v>0</v>
      </c>
      <c r="AW554" s="1213">
        <f t="shared" si="331"/>
        <v>0</v>
      </c>
      <c r="AX554" s="1213">
        <f t="shared" si="332"/>
        <v>0</v>
      </c>
      <c r="AY554" s="1133">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243"/>
      <c r="B555" s="1102"/>
      <c r="C555" s="1102"/>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1213">
        <f t="shared" si="330"/>
        <v>0</v>
      </c>
      <c r="AW555" s="1213">
        <f t="shared" si="331"/>
        <v>0</v>
      </c>
      <c r="AX555" s="1213">
        <f t="shared" si="332"/>
        <v>0</v>
      </c>
      <c r="AY555" s="1133">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243"/>
      <c r="B556" s="1102"/>
      <c r="C556" s="1102"/>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1213">
        <f t="shared" si="330"/>
        <v>0</v>
      </c>
      <c r="AW556" s="1213">
        <f t="shared" si="331"/>
        <v>0</v>
      </c>
      <c r="AX556" s="1213">
        <f t="shared" si="332"/>
        <v>0</v>
      </c>
      <c r="AY556" s="1133">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243"/>
      <c r="B557" s="1102"/>
      <c r="C557" s="1102"/>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1213">
        <f t="shared" si="330"/>
        <v>0</v>
      </c>
      <c r="AW557" s="1213">
        <f t="shared" si="331"/>
        <v>0</v>
      </c>
      <c r="AX557" s="1213">
        <f t="shared" si="332"/>
        <v>0</v>
      </c>
      <c r="AY557" s="1133">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243"/>
      <c r="B558" s="1102"/>
      <c r="C558" s="1102"/>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1213">
        <f t="shared" si="330"/>
        <v>0</v>
      </c>
      <c r="AW558" s="1213">
        <f t="shared" si="331"/>
        <v>0</v>
      </c>
      <c r="AX558" s="1213">
        <f t="shared" si="332"/>
        <v>0</v>
      </c>
      <c r="AY558" s="1133">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243"/>
      <c r="B559" s="1102"/>
      <c r="C559" s="1102"/>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1213">
        <f t="shared" si="330"/>
        <v>0</v>
      </c>
      <c r="AW559" s="1213">
        <f t="shared" si="331"/>
        <v>0</v>
      </c>
      <c r="AX559" s="1213">
        <f t="shared" si="332"/>
        <v>0</v>
      </c>
      <c r="AY559" s="1133">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243"/>
      <c r="B560" s="1102"/>
      <c r="C560" s="1102"/>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1213">
        <f t="shared" si="330"/>
        <v>0</v>
      </c>
      <c r="AW560" s="1213">
        <f t="shared" si="331"/>
        <v>0</v>
      </c>
      <c r="AX560" s="1213">
        <f t="shared" si="332"/>
        <v>0</v>
      </c>
      <c r="AY560" s="1133">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243"/>
      <c r="B561" s="1102"/>
      <c r="C561" s="1102"/>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1213">
        <f t="shared" si="330"/>
        <v>0</v>
      </c>
      <c r="AW561" s="1213">
        <f t="shared" si="331"/>
        <v>0</v>
      </c>
      <c r="AX561" s="1213">
        <f t="shared" si="332"/>
        <v>0</v>
      </c>
      <c r="AY561" s="1133">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243"/>
      <c r="B562" s="1102"/>
      <c r="C562" s="1102"/>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1213">
        <f t="shared" si="330"/>
        <v>0</v>
      </c>
      <c r="AW562" s="1213">
        <f t="shared" si="331"/>
        <v>0</v>
      </c>
      <c r="AX562" s="1213">
        <f t="shared" si="332"/>
        <v>0</v>
      </c>
      <c r="AY562" s="1133">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243"/>
      <c r="B563" s="1102"/>
      <c r="C563" s="1102"/>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1213">
        <f t="shared" si="330"/>
        <v>0</v>
      </c>
      <c r="AW563" s="1213">
        <f t="shared" si="331"/>
        <v>0</v>
      </c>
      <c r="AX563" s="1213">
        <f t="shared" si="332"/>
        <v>0</v>
      </c>
      <c r="AY563" s="1133">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243"/>
      <c r="B564" s="1102"/>
      <c r="C564" s="1102"/>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1213">
        <f t="shared" si="330"/>
        <v>0</v>
      </c>
      <c r="AW564" s="1213">
        <f t="shared" si="331"/>
        <v>0</v>
      </c>
      <c r="AX564" s="1213">
        <f t="shared" si="332"/>
        <v>0</v>
      </c>
      <c r="AY564" s="1133">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243"/>
      <c r="B565" s="1102"/>
      <c r="C565" s="1102"/>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1213">
        <f t="shared" si="330"/>
        <v>0</v>
      </c>
      <c r="AW565" s="1213">
        <f t="shared" si="331"/>
        <v>0</v>
      </c>
      <c r="AX565" s="1213">
        <f t="shared" si="332"/>
        <v>0</v>
      </c>
      <c r="AY565" s="1133">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243"/>
      <c r="B566" s="1102"/>
      <c r="C566" s="1102"/>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1213">
        <f t="shared" si="330"/>
        <v>0</v>
      </c>
      <c r="AW566" s="1213">
        <f t="shared" si="331"/>
        <v>0</v>
      </c>
      <c r="AX566" s="1213">
        <f t="shared" si="332"/>
        <v>0</v>
      </c>
      <c r="AY566" s="1133">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243"/>
      <c r="B567" s="1102"/>
      <c r="C567" s="1102"/>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1213">
        <f t="shared" si="330"/>
        <v>0</v>
      </c>
      <c r="AW567" s="1213">
        <f t="shared" si="331"/>
        <v>0</v>
      </c>
      <c r="AX567" s="1213">
        <f t="shared" si="332"/>
        <v>0</v>
      </c>
      <c r="AY567" s="1133">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243"/>
      <c r="B568" s="1102"/>
      <c r="C568" s="1102"/>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1213">
        <f t="shared" si="330"/>
        <v>0</v>
      </c>
      <c r="AW568" s="1213">
        <f t="shared" si="331"/>
        <v>0</v>
      </c>
      <c r="AX568" s="1213">
        <f t="shared" si="332"/>
        <v>0</v>
      </c>
      <c r="AY568" s="1133">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243"/>
      <c r="B569" s="1102"/>
      <c r="C569" s="1102"/>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1213">
        <f t="shared" si="330"/>
        <v>0</v>
      </c>
      <c r="AW569" s="1213">
        <f t="shared" si="331"/>
        <v>0</v>
      </c>
      <c r="AX569" s="1213">
        <f t="shared" si="332"/>
        <v>0</v>
      </c>
      <c r="AY569" s="1133">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243"/>
      <c r="B570" s="1102"/>
      <c r="C570" s="1102"/>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1213">
        <f t="shared" si="330"/>
        <v>0</v>
      </c>
      <c r="AW570" s="1213">
        <f t="shared" si="331"/>
        <v>0</v>
      </c>
      <c r="AX570" s="1213">
        <f t="shared" si="332"/>
        <v>0</v>
      </c>
      <c r="AY570" s="1133">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243"/>
      <c r="B571" s="1102"/>
      <c r="C571" s="1102"/>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1213">
        <f t="shared" si="330"/>
        <v>0</v>
      </c>
      <c r="AW571" s="1213">
        <f t="shared" si="331"/>
        <v>0</v>
      </c>
      <c r="AX571" s="1213">
        <f t="shared" si="332"/>
        <v>0</v>
      </c>
      <c r="AY571" s="1133">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243"/>
      <c r="B572" s="1102"/>
      <c r="C572" s="1102"/>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1213">
        <f t="shared" si="330"/>
        <v>0</v>
      </c>
      <c r="AW572" s="1213">
        <f t="shared" si="331"/>
        <v>0</v>
      </c>
      <c r="AX572" s="1213">
        <f t="shared" si="332"/>
        <v>0</v>
      </c>
      <c r="AY572" s="1133">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243"/>
      <c r="B573" s="1102"/>
      <c r="C573" s="1102"/>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1213">
        <f t="shared" si="330"/>
        <v>0</v>
      </c>
      <c r="AW573" s="1213">
        <f t="shared" si="331"/>
        <v>0</v>
      </c>
      <c r="AX573" s="1213">
        <f t="shared" si="332"/>
        <v>0</v>
      </c>
      <c r="AY573" s="1133">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243"/>
      <c r="B574" s="1102"/>
      <c r="C574" s="1102"/>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1213">
        <f t="shared" si="330"/>
        <v>0</v>
      </c>
      <c r="AW574" s="1213">
        <f t="shared" si="331"/>
        <v>0</v>
      </c>
      <c r="AX574" s="1213">
        <f t="shared" si="332"/>
        <v>0</v>
      </c>
      <c r="AY574" s="1133">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243"/>
      <c r="B575" s="1102"/>
      <c r="C575" s="1102"/>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1213">
        <f t="shared" si="330"/>
        <v>0</v>
      </c>
      <c r="AW575" s="1213">
        <f t="shared" si="331"/>
        <v>0</v>
      </c>
      <c r="AX575" s="1213">
        <f t="shared" si="332"/>
        <v>0</v>
      </c>
      <c r="AY575" s="1133">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243"/>
      <c r="B576" s="1102"/>
      <c r="C576" s="1102"/>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1213">
        <f t="shared" si="330"/>
        <v>0</v>
      </c>
      <c r="AW576" s="1213">
        <f t="shared" si="331"/>
        <v>0</v>
      </c>
      <c r="AX576" s="1213">
        <f t="shared" si="332"/>
        <v>0</v>
      </c>
      <c r="AY576" s="1133">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243"/>
      <c r="B577" s="1102"/>
      <c r="C577" s="1102"/>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1213">
        <f t="shared" si="330"/>
        <v>0</v>
      </c>
      <c r="AW577" s="1213">
        <f t="shared" si="331"/>
        <v>0</v>
      </c>
      <c r="AX577" s="1213">
        <f t="shared" si="332"/>
        <v>0</v>
      </c>
      <c r="AY577" s="1133">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243"/>
      <c r="B578" s="1102"/>
      <c r="C578" s="1102"/>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1213">
        <f t="shared" si="330"/>
        <v>0</v>
      </c>
      <c r="AW578" s="1213">
        <f t="shared" si="331"/>
        <v>0</v>
      </c>
      <c r="AX578" s="1213">
        <f t="shared" si="332"/>
        <v>0</v>
      </c>
      <c r="AY578" s="1133">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243"/>
      <c r="B579" s="1102"/>
      <c r="C579" s="1102"/>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1213">
        <f t="shared" si="330"/>
        <v>0</v>
      </c>
      <c r="AW579" s="1213">
        <f t="shared" si="331"/>
        <v>0</v>
      </c>
      <c r="AX579" s="1213">
        <f t="shared" si="332"/>
        <v>0</v>
      </c>
      <c r="AY579" s="1133">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243"/>
      <c r="B580" s="1102"/>
      <c r="C580" s="1102"/>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1213">
        <f t="shared" si="330"/>
        <v>0</v>
      </c>
      <c r="AW580" s="1213">
        <f t="shared" si="331"/>
        <v>0</v>
      </c>
      <c r="AX580" s="1213">
        <f t="shared" si="332"/>
        <v>0</v>
      </c>
      <c r="AY580" s="1133">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243"/>
      <c r="B581" s="1102"/>
      <c r="C581" s="1102"/>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1213">
        <f t="shared" si="330"/>
        <v>0</v>
      </c>
      <c r="AW581" s="1213">
        <f t="shared" si="331"/>
        <v>0</v>
      </c>
      <c r="AX581" s="1213">
        <f t="shared" si="332"/>
        <v>0</v>
      </c>
      <c r="AY581" s="1133">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243"/>
      <c r="B582" s="1102"/>
      <c r="C582" s="1102"/>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1213">
        <f t="shared" si="330"/>
        <v>0</v>
      </c>
      <c r="AW582" s="1213">
        <f t="shared" si="331"/>
        <v>0</v>
      </c>
      <c r="AX582" s="1213">
        <f t="shared" si="332"/>
        <v>0</v>
      </c>
      <c r="AY582" s="1133">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243"/>
      <c r="B583" s="1102"/>
      <c r="C583" s="1102"/>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1213">
        <f t="shared" si="330"/>
        <v>0</v>
      </c>
      <c r="AW583" s="1213">
        <f t="shared" si="331"/>
        <v>0</v>
      </c>
      <c r="AX583" s="1213">
        <f t="shared" si="332"/>
        <v>0</v>
      </c>
      <c r="AY583" s="1133">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243"/>
      <c r="B584" s="1102"/>
      <c r="C584" s="1102"/>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1213">
        <f t="shared" si="330"/>
        <v>0</v>
      </c>
      <c r="AW584" s="1213">
        <f t="shared" si="331"/>
        <v>0</v>
      </c>
      <c r="AX584" s="1213">
        <f t="shared" si="332"/>
        <v>0</v>
      </c>
      <c r="AY584" s="1133">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243"/>
      <c r="B585" s="1243"/>
      <c r="C585" s="1243"/>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2136"/>
      <c r="AV585" s="1213">
        <f t="shared" si="330"/>
        <v>0</v>
      </c>
      <c r="AW585" s="1213">
        <f t="shared" si="331"/>
        <v>0</v>
      </c>
      <c r="AX585" s="1213">
        <f t="shared" si="332"/>
        <v>0</v>
      </c>
      <c r="AY585" s="1133">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243"/>
      <c r="B586" s="1243"/>
      <c r="C586" s="1243"/>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2136"/>
      <c r="AV586" s="1213">
        <f t="shared" si="330"/>
        <v>0</v>
      </c>
      <c r="AW586" s="1213">
        <f t="shared" si="331"/>
        <v>0</v>
      </c>
      <c r="AX586" s="1213">
        <f t="shared" si="332"/>
        <v>0</v>
      </c>
      <c r="AY586" s="1133">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243"/>
      <c r="B587" s="1243"/>
      <c r="C587" s="1243"/>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2136"/>
      <c r="AV587" s="1213">
        <f t="shared" si="330"/>
        <v>0</v>
      </c>
      <c r="AW587" s="1213">
        <f t="shared" si="331"/>
        <v>0</v>
      </c>
      <c r="AX587" s="1213">
        <f t="shared" si="332"/>
        <v>0</v>
      </c>
      <c r="AY587" s="1133">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4" customWidth="1"/>
    <col min="2" max="2" width="10.25" style="2714" customWidth="1"/>
    <col min="3" max="3" width="18.5" style="2714" customWidth="1"/>
    <col min="4" max="4" width="11.625" style="2714" customWidth="1"/>
    <col min="5" max="5" width="13.375" style="2714" customWidth="1"/>
    <col min="6" max="8" width="11.5" style="2714" customWidth="1"/>
    <col min="9" max="9" width="11.125" style="2714" customWidth="1"/>
    <col min="10" max="10" width="3.125" style="2714" customWidth="1"/>
    <col min="11" max="16" width="10" style="2714" customWidth="1"/>
    <col min="17" max="17" width="2.625" style="2714" customWidth="1"/>
    <col min="18" max="18" width="9.375" style="2714" customWidth="1"/>
    <col min="19" max="19" width="10.5" style="2714" customWidth="1"/>
    <col min="20" max="16384" width="9.25" style="2714"/>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1" t="s">
        <v>613</v>
      </c>
      <c r="F2" s="2809"/>
      <c r="G2" s="2952"/>
      <c r="H2" s="2953"/>
      <c r="I2" s="1540" t="s">
        <v>614</v>
      </c>
      <c r="J2" s="2809"/>
      <c r="K2" s="2809"/>
      <c r="L2" s="2809"/>
      <c r="M2" s="2809"/>
      <c r="N2" s="1135"/>
      <c r="O2" s="2809"/>
      <c r="P2" s="2809"/>
    </row>
    <row r="3" ht="15.75" spans="1:16">
      <c r="A3" s="2954" t="s">
        <v>615</v>
      </c>
      <c r="B3" s="2954"/>
      <c r="C3" s="2954"/>
      <c r="D3" s="2955">
        <f>'数据-基础表'!AY6</f>
        <v>0</v>
      </c>
      <c r="E3" s="2955">
        <f>'数据-基础表'!AZ5</f>
        <v>165.59</v>
      </c>
      <c r="F3" s="2809"/>
      <c r="G3" s="2956"/>
      <c r="H3" s="1301" t="s">
        <v>616</v>
      </c>
      <c r="I3" s="2670" t="e">
        <f>ROUND('数据-基础表'!B3/'数据-基础表'!A3,2)</f>
        <v>#DIV/0!</v>
      </c>
      <c r="J3" s="2809"/>
      <c r="K3" s="2809"/>
      <c r="L3" s="2809"/>
      <c r="M3" s="2809"/>
      <c r="N3" s="1135"/>
      <c r="O3" s="2809"/>
      <c r="P3" s="2809"/>
    </row>
    <row r="4" ht="15" spans="1:16">
      <c r="A4" s="1538"/>
      <c r="B4" s="1539"/>
      <c r="C4" s="2957"/>
      <c r="D4" s="2958" t="s">
        <v>612</v>
      </c>
      <c r="E4" s="2959" t="s">
        <v>613</v>
      </c>
      <c r="F4" s="2809"/>
      <c r="G4" s="2960" t="s">
        <v>617</v>
      </c>
      <c r="H4" s="1301" t="s">
        <v>618</v>
      </c>
      <c r="I4" s="2670" t="e">
        <f>ROUND(SUMIF('数据-基础表'!I9:AS9,"地上",'数据-基础表'!I5:AS5)/'数据-基础表'!A3,2)</f>
        <v>#DIV/0!</v>
      </c>
      <c r="J4" s="2809"/>
      <c r="K4" s="2809"/>
      <c r="L4" s="2809"/>
      <c r="M4" s="2809"/>
      <c r="N4" s="1135"/>
      <c r="O4" s="2809"/>
      <c r="P4" s="2809"/>
    </row>
    <row r="5" spans="1:16">
      <c r="A5" s="2956" t="s">
        <v>619</v>
      </c>
      <c r="B5" s="1231" t="s">
        <v>620</v>
      </c>
      <c r="C5" s="1231"/>
      <c r="D5" s="1301">
        <f>ROUND($D$3*E5/$E$3,2)</f>
        <v>0</v>
      </c>
      <c r="E5" s="2961">
        <f>SUMIF('数据-基础表'!$11:$11,"住宅",'数据-基础表'!$5:$5)</f>
        <v>0</v>
      </c>
      <c r="F5" s="2809"/>
      <c r="G5" s="2956"/>
      <c r="H5" s="1301" t="s">
        <v>616</v>
      </c>
      <c r="I5" s="2670" t="e">
        <f>ROUND(E31/D31,2)</f>
        <v>#DIV/0!</v>
      </c>
      <c r="J5" s="2809"/>
      <c r="K5" s="2809"/>
      <c r="L5" s="2809"/>
      <c r="M5" s="2809"/>
      <c r="N5" s="2809"/>
      <c r="O5" s="2809"/>
      <c r="P5" s="2809"/>
    </row>
    <row r="6" ht="15" spans="1:16">
      <c r="A6" s="2962"/>
      <c r="B6" s="1231" t="s">
        <v>621</v>
      </c>
      <c r="C6" s="1231"/>
      <c r="D6" s="1301">
        <f>ROUND($D$3*E6/$E$3,2)</f>
        <v>0</v>
      </c>
      <c r="E6" s="2961">
        <f>E3-E5</f>
        <v>165.59</v>
      </c>
      <c r="F6" s="2809"/>
      <c r="G6" s="2963" t="s">
        <v>622</v>
      </c>
      <c r="H6" s="2964" t="s">
        <v>618</v>
      </c>
      <c r="I6" s="3006" t="e">
        <f>ROUND(F31/D31,2)</f>
        <v>#DIV/0!</v>
      </c>
      <c r="J6" s="2809"/>
      <c r="K6" s="2809"/>
      <c r="L6" s="2809"/>
      <c r="M6" s="2809"/>
      <c r="N6" s="2809"/>
      <c r="O6" s="2809"/>
      <c r="P6" s="2809"/>
    </row>
    <row r="7" ht="15" spans="1:16">
      <c r="A7" s="2965"/>
      <c r="B7" s="2966"/>
      <c r="C7" s="2967"/>
      <c r="D7" s="2958" t="s">
        <v>612</v>
      </c>
      <c r="E7" s="2968" t="s">
        <v>623</v>
      </c>
      <c r="F7" s="2809"/>
      <c r="G7" s="2969" t="s">
        <v>624</v>
      </c>
      <c r="H7" s="2929"/>
      <c r="I7" s="3007">
        <v>2.5</v>
      </c>
      <c r="J7" s="2809"/>
      <c r="K7" s="2809"/>
      <c r="L7" s="2809"/>
      <c r="M7" s="2809"/>
      <c r="N7" s="2809"/>
      <c r="O7" s="2809"/>
      <c r="P7" s="2809"/>
    </row>
    <row r="8" spans="1:16">
      <c r="A8" s="2956" t="s">
        <v>625</v>
      </c>
      <c r="B8" s="2964" t="s">
        <v>626</v>
      </c>
      <c r="C8" s="1301" t="s">
        <v>627</v>
      </c>
      <c r="D8" s="1301">
        <f t="shared" ref="D8:D15" si="0">ROUND($D$3*E8/$E$3,2)</f>
        <v>0</v>
      </c>
      <c r="E8" s="2970">
        <f>SUMIF('数据-基础表'!BB10:BK10,"地上",'数据-基础表'!BB5:BK5)</f>
        <v>63.37</v>
      </c>
      <c r="F8" s="2809"/>
      <c r="G8" s="2809"/>
      <c r="H8" s="2809"/>
      <c r="I8" s="2809"/>
      <c r="J8" s="2809"/>
      <c r="K8" s="2809"/>
      <c r="L8" s="2809"/>
      <c r="M8" s="2809"/>
      <c r="N8" s="2809"/>
      <c r="O8" s="2809"/>
      <c r="P8" s="2809"/>
    </row>
    <row r="9" spans="1:16">
      <c r="A9" s="2963"/>
      <c r="B9" s="2971"/>
      <c r="C9" s="1301" t="s">
        <v>628</v>
      </c>
      <c r="D9" s="1301">
        <f t="shared" si="0"/>
        <v>0</v>
      </c>
      <c r="E9" s="2972">
        <v>0</v>
      </c>
      <c r="F9" s="2809"/>
      <c r="G9" s="2809"/>
      <c r="H9" s="2809"/>
      <c r="I9" s="2809"/>
      <c r="J9" s="2809"/>
      <c r="K9" s="2809"/>
      <c r="L9" s="2809"/>
      <c r="M9" s="2809"/>
      <c r="N9" s="2809"/>
      <c r="O9" s="2809"/>
      <c r="P9" s="2809"/>
    </row>
    <row r="10" spans="1:16">
      <c r="A10" s="2963"/>
      <c r="B10" s="2971"/>
      <c r="C10" s="1301" t="s">
        <v>629</v>
      </c>
      <c r="D10" s="1301">
        <f t="shared" si="0"/>
        <v>0</v>
      </c>
      <c r="E10" s="2970">
        <f>SUMPRODUCT(('数据-基础表'!BB10:BK10="地下")*('数据-基础表'!BB11:BK11="商业")*('数据-基础表'!BB5:BK5))</f>
        <v>0</v>
      </c>
      <c r="F10" s="2809"/>
      <c r="G10" s="2809"/>
      <c r="H10" s="2809"/>
      <c r="I10" s="2809"/>
      <c r="J10" s="2809"/>
      <c r="K10" s="2809"/>
      <c r="L10" s="2809"/>
      <c r="M10" s="2809"/>
      <c r="N10" s="2809"/>
      <c r="O10" s="2809"/>
      <c r="P10" s="2809"/>
    </row>
    <row r="11" spans="1:16">
      <c r="A11" s="2963"/>
      <c r="B11" s="2971"/>
      <c r="C11" s="1301" t="s">
        <v>630</v>
      </c>
      <c r="D11" s="1301">
        <f t="shared" si="0"/>
        <v>0</v>
      </c>
      <c r="E11" s="2970">
        <f>SUMPRODUCT(('数据-基础表'!BB10:BK10="地下")*('数据-基础表'!BB11:BK11="办公")*('数据-基础表'!BB5:BK5))+'数据-基础表'!BP5</f>
        <v>0</v>
      </c>
      <c r="F11" s="2809"/>
      <c r="G11" s="2809"/>
      <c r="H11" s="2809"/>
      <c r="I11" s="2809"/>
      <c r="J11" s="2809"/>
      <c r="K11" s="2809"/>
      <c r="L11" s="2809"/>
      <c r="M11" s="2809"/>
      <c r="N11" s="2809"/>
      <c r="O11" s="2809"/>
      <c r="P11" s="2809"/>
    </row>
    <row r="12" spans="1:16">
      <c r="A12" s="2963"/>
      <c r="B12" s="2971"/>
      <c r="C12" s="1301" t="s">
        <v>631</v>
      </c>
      <c r="D12" s="1301">
        <f t="shared" si="0"/>
        <v>0</v>
      </c>
      <c r="E12" s="2970">
        <f>SUMPRODUCT(('数据-基础表'!BB10:BK10="地下")*('数据-基础表'!BB11:BK11="仓储")*('数据-基础表'!BB5:BK5))</f>
        <v>61.73</v>
      </c>
      <c r="F12" s="2809"/>
      <c r="G12" s="2809"/>
      <c r="H12" s="2809"/>
      <c r="I12" s="2809"/>
      <c r="J12" s="2809"/>
      <c r="K12" s="2809"/>
      <c r="L12" s="2809"/>
      <c r="M12" s="2809"/>
      <c r="N12" s="2809"/>
      <c r="O12" s="2809"/>
      <c r="P12" s="2809"/>
    </row>
    <row r="13" spans="1:16">
      <c r="A13" s="2963"/>
      <c r="B13" s="2971"/>
      <c r="C13" s="1301" t="s">
        <v>632</v>
      </c>
      <c r="D13" s="1301">
        <f t="shared" si="0"/>
        <v>0</v>
      </c>
      <c r="E13" s="2970">
        <f>SUMPRODUCT(('数据-基础表'!BB10:BK10="地下")*('数据-基础表'!BB11:BK11="车库")*('数据-基础表'!BB5:BK5))</f>
        <v>0</v>
      </c>
      <c r="F13" s="2809"/>
      <c r="G13" s="2809"/>
      <c r="H13" s="2809"/>
      <c r="I13" s="2809"/>
      <c r="J13" s="2809"/>
      <c r="K13" s="2809"/>
      <c r="L13" s="2809"/>
      <c r="M13" s="2809"/>
      <c r="N13" s="2809"/>
      <c r="O13" s="2809"/>
      <c r="P13" s="2809"/>
    </row>
    <row r="14" spans="1:16">
      <c r="A14" s="2963"/>
      <c r="B14" s="2971"/>
      <c r="C14" s="1301" t="s">
        <v>633</v>
      </c>
      <c r="D14" s="1301">
        <f t="shared" si="0"/>
        <v>0</v>
      </c>
      <c r="E14" s="2970">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3"/>
      <c r="B15" s="2971"/>
      <c r="C15" s="1301" t="s">
        <v>634</v>
      </c>
      <c r="D15" s="1301">
        <f t="shared" si="0"/>
        <v>0</v>
      </c>
      <c r="E15" s="2970">
        <f>SUMPRODUCT(('数据-基础表'!BB10:BK10="地下")*('数据-基础表'!BB11:BK11="车库—办公")*('数据-基础表'!BB5:BK5))</f>
        <v>40.49</v>
      </c>
      <c r="F15" s="2809"/>
      <c r="G15" s="2809"/>
      <c r="H15" s="2809"/>
      <c r="I15" s="2809"/>
      <c r="J15" s="2809"/>
      <c r="K15" s="2809"/>
      <c r="L15" s="2809"/>
      <c r="M15" s="2809"/>
      <c r="N15" s="2809"/>
      <c r="O15" s="2809"/>
      <c r="P15" s="2809"/>
    </row>
    <row r="16" ht="15" spans="1:16">
      <c r="A16" s="2962"/>
      <c r="B16" s="2971"/>
      <c r="C16" s="2964" t="s">
        <v>635</v>
      </c>
      <c r="D16" s="2964">
        <f>SUM(D8:D15)</f>
        <v>0</v>
      </c>
      <c r="E16" s="2973">
        <f>SUM(E8:E15)</f>
        <v>165.59</v>
      </c>
      <c r="F16" s="2809"/>
      <c r="G16" s="2809"/>
      <c r="H16" s="2974" t="s">
        <v>636</v>
      </c>
      <c r="I16" s="3008"/>
      <c r="J16" s="1355"/>
      <c r="K16" s="3009" t="s">
        <v>636</v>
      </c>
      <c r="L16" s="2976"/>
      <c r="M16" s="2976"/>
      <c r="N16" s="2976"/>
      <c r="O16" s="2976"/>
      <c r="P16" s="3010"/>
    </row>
    <row r="17" ht="15" spans="1:19">
      <c r="A17" s="2920" t="s">
        <v>637</v>
      </c>
      <c r="B17" s="2975" t="s">
        <v>638</v>
      </c>
      <c r="C17" s="1326" t="s">
        <v>639</v>
      </c>
      <c r="D17" s="2976" t="s">
        <v>612</v>
      </c>
      <c r="E17" s="2977" t="s">
        <v>613</v>
      </c>
      <c r="F17" s="2978"/>
      <c r="G17" s="2979"/>
      <c r="H17" s="2980" t="s">
        <v>640</v>
      </c>
      <c r="I17" s="3011" t="s">
        <v>641</v>
      </c>
      <c r="J17" s="1355"/>
      <c r="K17" s="3012" t="s">
        <v>642</v>
      </c>
      <c r="L17" s="3013"/>
      <c r="M17" s="3014"/>
      <c r="N17" s="3012" t="s">
        <v>643</v>
      </c>
      <c r="O17" s="3013"/>
      <c r="P17" s="3014"/>
      <c r="R17" s="2619" t="s">
        <v>644</v>
      </c>
      <c r="S17" s="1287"/>
    </row>
    <row r="18" ht="15" spans="1:19">
      <c r="A18" s="2963"/>
      <c r="B18" s="2981"/>
      <c r="C18" s="1290"/>
      <c r="D18" s="2982"/>
      <c r="E18" s="2983" t="s">
        <v>645</v>
      </c>
      <c r="F18" s="2984" t="s">
        <v>618</v>
      </c>
      <c r="G18" s="2985" t="s">
        <v>646</v>
      </c>
      <c r="H18" s="2924" t="s">
        <v>647</v>
      </c>
      <c r="I18" s="3015" t="s">
        <v>648</v>
      </c>
      <c r="J18" s="1355"/>
      <c r="K18" s="2924" t="s">
        <v>649</v>
      </c>
      <c r="L18" s="1559" t="s">
        <v>650</v>
      </c>
      <c r="M18" s="2670" t="s">
        <v>651</v>
      </c>
      <c r="N18" s="2924" t="s">
        <v>649</v>
      </c>
      <c r="O18" s="1559" t="s">
        <v>650</v>
      </c>
      <c r="P18" s="2670" t="s">
        <v>651</v>
      </c>
      <c r="R18" s="1301" t="s">
        <v>647</v>
      </c>
      <c r="S18" s="1301" t="s">
        <v>648</v>
      </c>
    </row>
    <row r="19" spans="1:19">
      <c r="A19" s="2986"/>
      <c r="B19" s="2964" t="s">
        <v>652</v>
      </c>
      <c r="C19" s="2987" t="s">
        <v>653</v>
      </c>
      <c r="D19" s="1301">
        <f>ROUND($D$3*E19/$E$3,2)</f>
        <v>0</v>
      </c>
      <c r="E19" s="2988">
        <f t="shared" ref="E19:E26" si="1">SUM(F19:G19)</f>
        <v>63.37</v>
      </c>
      <c r="F19" s="2989">
        <f>'数据-基础表'!I13</f>
        <v>63.37</v>
      </c>
      <c r="G19" s="1339"/>
      <c r="H19" s="2911">
        <f>ROUND($D$3*I19/$E$3,2)</f>
        <v>0</v>
      </c>
      <c r="I19" s="2970">
        <f t="shared" ref="I19:I26" si="2">IF($I$17="自定义",P19,M19)</f>
        <v>0</v>
      </c>
      <c r="J19" s="1355"/>
      <c r="K19" s="2911">
        <f t="shared" ref="K19:K26" si="3">ROUND(E$28*E19/E$27,2)</f>
        <v>0</v>
      </c>
      <c r="L19" s="1301">
        <f t="shared" ref="L19:L26" si="4">ROUND(IF(COUNTIF(C19,"*住宅*")&gt;0,E$29*E19/E$32,0),2)</f>
        <v>0</v>
      </c>
      <c r="M19" s="2970">
        <f>K19+L19</f>
        <v>0</v>
      </c>
      <c r="N19" s="3016"/>
      <c r="O19" s="3017"/>
      <c r="P19" s="2970">
        <f>N19+O19</f>
        <v>0</v>
      </c>
      <c r="R19" s="1301">
        <f t="shared" ref="R19:S26" si="5">D19+H19</f>
        <v>0</v>
      </c>
      <c r="S19" s="2988">
        <f t="shared" si="5"/>
        <v>63.37</v>
      </c>
    </row>
    <row r="20" spans="1:19">
      <c r="A20" s="2986"/>
      <c r="B20" s="2964" t="s">
        <v>652</v>
      </c>
      <c r="C20" s="2987" t="s">
        <v>654</v>
      </c>
      <c r="D20" s="1301">
        <f t="shared" ref="D20:D26" si="6">ROUND($D$3*E20/$E$3,2)</f>
        <v>0</v>
      </c>
      <c r="E20" s="2988">
        <f t="shared" si="1"/>
        <v>61.73</v>
      </c>
      <c r="F20" s="2989"/>
      <c r="G20" s="1339">
        <f>'数据-基础表'!K13</f>
        <v>61.73</v>
      </c>
      <c r="H20" s="2911">
        <f t="shared" ref="H20:H26" si="7">ROUND($D$3*I20/$E$3,2)</f>
        <v>0</v>
      </c>
      <c r="I20" s="2970">
        <f t="shared" si="2"/>
        <v>0</v>
      </c>
      <c r="J20" s="1355"/>
      <c r="K20" s="2911">
        <f t="shared" si="3"/>
        <v>0</v>
      </c>
      <c r="L20" s="1301">
        <f t="shared" si="4"/>
        <v>0</v>
      </c>
      <c r="M20" s="2970">
        <f t="shared" ref="M20:M26" si="8">K20+L20</f>
        <v>0</v>
      </c>
      <c r="N20" s="3016"/>
      <c r="O20" s="3017"/>
      <c r="P20" s="2970">
        <f t="shared" ref="P20:P26" si="9">N20+O20</f>
        <v>0</v>
      </c>
      <c r="R20" s="1301">
        <f t="shared" si="5"/>
        <v>0</v>
      </c>
      <c r="S20" s="2988">
        <f t="shared" si="5"/>
        <v>61.73</v>
      </c>
    </row>
    <row r="21" spans="1:19">
      <c r="A21" s="2986"/>
      <c r="B21" s="2964" t="s">
        <v>652</v>
      </c>
      <c r="C21" s="2987" t="s">
        <v>655</v>
      </c>
      <c r="D21" s="1301">
        <f t="shared" si="6"/>
        <v>0</v>
      </c>
      <c r="E21" s="2988">
        <f t="shared" si="1"/>
        <v>40.49</v>
      </c>
      <c r="F21" s="2989"/>
      <c r="G21" s="1339">
        <f>'数据-基础表'!M13</f>
        <v>40.49</v>
      </c>
      <c r="H21" s="2911">
        <f t="shared" si="7"/>
        <v>0</v>
      </c>
      <c r="I21" s="2970">
        <f t="shared" si="2"/>
        <v>0</v>
      </c>
      <c r="J21" s="1355"/>
      <c r="K21" s="2911">
        <f t="shared" si="3"/>
        <v>0</v>
      </c>
      <c r="L21" s="1301">
        <f t="shared" si="4"/>
        <v>0</v>
      </c>
      <c r="M21" s="2970">
        <f t="shared" si="8"/>
        <v>0</v>
      </c>
      <c r="N21" s="3016"/>
      <c r="O21" s="3017"/>
      <c r="P21" s="2970">
        <f t="shared" si="9"/>
        <v>0</v>
      </c>
      <c r="R21" s="1301">
        <f t="shared" si="5"/>
        <v>0</v>
      </c>
      <c r="S21" s="2988">
        <f t="shared" si="5"/>
        <v>40.49</v>
      </c>
    </row>
    <row r="22" spans="1:19">
      <c r="A22" s="2986"/>
      <c r="B22" s="2964" t="s">
        <v>652</v>
      </c>
      <c r="C22" s="2990"/>
      <c r="D22" s="1301">
        <f t="shared" si="6"/>
        <v>0</v>
      </c>
      <c r="E22" s="2988">
        <f t="shared" si="1"/>
        <v>0</v>
      </c>
      <c r="F22" s="2991"/>
      <c r="G22" s="2992"/>
      <c r="H22" s="2911">
        <f t="shared" si="7"/>
        <v>0</v>
      </c>
      <c r="I22" s="2970">
        <f t="shared" si="2"/>
        <v>0</v>
      </c>
      <c r="J22" s="1355"/>
      <c r="K22" s="2911">
        <f t="shared" si="3"/>
        <v>0</v>
      </c>
      <c r="L22" s="1301">
        <f t="shared" si="4"/>
        <v>0</v>
      </c>
      <c r="M22" s="2970">
        <f t="shared" si="8"/>
        <v>0</v>
      </c>
      <c r="N22" s="3016"/>
      <c r="O22" s="3017"/>
      <c r="P22" s="2970">
        <f t="shared" si="9"/>
        <v>0</v>
      </c>
      <c r="R22" s="1301">
        <f t="shared" si="5"/>
        <v>0</v>
      </c>
      <c r="S22" s="2988">
        <f t="shared" si="5"/>
        <v>0</v>
      </c>
    </row>
    <row r="23" spans="1:19">
      <c r="A23" s="2986"/>
      <c r="B23" s="2964" t="s">
        <v>652</v>
      </c>
      <c r="C23" s="2990"/>
      <c r="D23" s="1301">
        <f t="shared" si="6"/>
        <v>0</v>
      </c>
      <c r="E23" s="2988">
        <f t="shared" si="1"/>
        <v>0</v>
      </c>
      <c r="F23" s="2991"/>
      <c r="G23" s="2992"/>
      <c r="H23" s="2911">
        <f t="shared" si="7"/>
        <v>0</v>
      </c>
      <c r="I23" s="2970">
        <f t="shared" si="2"/>
        <v>0</v>
      </c>
      <c r="J23" s="1355"/>
      <c r="K23" s="2911">
        <f t="shared" si="3"/>
        <v>0</v>
      </c>
      <c r="L23" s="1301">
        <f t="shared" si="4"/>
        <v>0</v>
      </c>
      <c r="M23" s="2970">
        <f t="shared" si="8"/>
        <v>0</v>
      </c>
      <c r="N23" s="3016"/>
      <c r="O23" s="3017"/>
      <c r="P23" s="2970">
        <f t="shared" si="9"/>
        <v>0</v>
      </c>
      <c r="R23" s="1301">
        <f t="shared" si="5"/>
        <v>0</v>
      </c>
      <c r="S23" s="2988">
        <f t="shared" si="5"/>
        <v>0</v>
      </c>
    </row>
    <row r="24" spans="1:19">
      <c r="A24" s="2986"/>
      <c r="B24" s="2964" t="s">
        <v>652</v>
      </c>
      <c r="C24" s="2990"/>
      <c r="D24" s="1301">
        <f t="shared" si="6"/>
        <v>0</v>
      </c>
      <c r="E24" s="2988">
        <f t="shared" si="1"/>
        <v>0</v>
      </c>
      <c r="F24" s="2991"/>
      <c r="G24" s="2992"/>
      <c r="H24" s="2911">
        <f t="shared" si="7"/>
        <v>0</v>
      </c>
      <c r="I24" s="2970">
        <f t="shared" si="2"/>
        <v>0</v>
      </c>
      <c r="J24" s="1355"/>
      <c r="K24" s="2911">
        <f t="shared" si="3"/>
        <v>0</v>
      </c>
      <c r="L24" s="1301">
        <f t="shared" si="4"/>
        <v>0</v>
      </c>
      <c r="M24" s="2970">
        <f t="shared" si="8"/>
        <v>0</v>
      </c>
      <c r="N24" s="3016"/>
      <c r="O24" s="3017"/>
      <c r="P24" s="2970">
        <f t="shared" si="9"/>
        <v>0</v>
      </c>
      <c r="R24" s="1301">
        <f t="shared" si="5"/>
        <v>0</v>
      </c>
      <c r="S24" s="2988">
        <f t="shared" si="5"/>
        <v>0</v>
      </c>
    </row>
    <row r="25" spans="1:19">
      <c r="A25" s="2986"/>
      <c r="B25" s="2964" t="s">
        <v>652</v>
      </c>
      <c r="C25" s="2990"/>
      <c r="D25" s="1301">
        <f t="shared" si="6"/>
        <v>0</v>
      </c>
      <c r="E25" s="2988">
        <f t="shared" si="1"/>
        <v>0</v>
      </c>
      <c r="F25" s="2991"/>
      <c r="G25" s="2992"/>
      <c r="H25" s="2956">
        <f t="shared" si="7"/>
        <v>0</v>
      </c>
      <c r="I25" s="2970">
        <f t="shared" si="2"/>
        <v>0</v>
      </c>
      <c r="J25" s="1355"/>
      <c r="K25" s="2911">
        <f t="shared" si="3"/>
        <v>0</v>
      </c>
      <c r="L25" s="1301">
        <f t="shared" si="4"/>
        <v>0</v>
      </c>
      <c r="M25" s="2970">
        <f t="shared" si="8"/>
        <v>0</v>
      </c>
      <c r="N25" s="3016"/>
      <c r="O25" s="3017"/>
      <c r="P25" s="2970">
        <f t="shared" si="9"/>
        <v>0</v>
      </c>
      <c r="R25" s="1301">
        <f t="shared" si="5"/>
        <v>0</v>
      </c>
      <c r="S25" s="2988">
        <f t="shared" si="5"/>
        <v>0</v>
      </c>
    </row>
    <row r="26" spans="1:19">
      <c r="A26" s="2986"/>
      <c r="B26" s="2964" t="s">
        <v>652</v>
      </c>
      <c r="C26" s="2993"/>
      <c r="D26" s="1301">
        <f t="shared" si="6"/>
        <v>0</v>
      </c>
      <c r="E26" s="2988">
        <f t="shared" si="1"/>
        <v>0</v>
      </c>
      <c r="F26" s="2991"/>
      <c r="G26" s="2992"/>
      <c r="H26" s="2956">
        <f t="shared" si="7"/>
        <v>0</v>
      </c>
      <c r="I26" s="2970">
        <f t="shared" si="2"/>
        <v>0</v>
      </c>
      <c r="J26" s="1355"/>
      <c r="K26" s="2956">
        <f t="shared" si="3"/>
        <v>0</v>
      </c>
      <c r="L26" s="2964">
        <f t="shared" si="4"/>
        <v>0</v>
      </c>
      <c r="M26" s="2973">
        <f t="shared" si="8"/>
        <v>0</v>
      </c>
      <c r="N26" s="3018"/>
      <c r="O26" s="3019"/>
      <c r="P26" s="2973">
        <f t="shared" si="9"/>
        <v>0</v>
      </c>
      <c r="R26" s="1301">
        <f t="shared" si="5"/>
        <v>0</v>
      </c>
      <c r="S26" s="2988">
        <f t="shared" si="5"/>
        <v>0</v>
      </c>
    </row>
    <row r="27" ht="15.75" spans="1:19">
      <c r="A27" s="2986"/>
      <c r="B27" s="1301"/>
      <c r="C27" s="1545" t="s">
        <v>656</v>
      </c>
      <c r="D27" s="2994">
        <f>SUM(D19:D26)</f>
        <v>0</v>
      </c>
      <c r="E27" s="2995">
        <f>IF(SUM(E19:E26)='数据-基础表'!BA5,SUM(E19:E26),IF(F27="地上面积有误","面积有误","地下面积有误"))</f>
        <v>165.59</v>
      </c>
      <c r="F27" s="2994">
        <f>IF(SUM(F19:F26)=E8,SUM(F19:F26),"地上面积有误")</f>
        <v>63.37</v>
      </c>
      <c r="G27" s="2996">
        <f>SUM(G19:G26)</f>
        <v>102.22</v>
      </c>
      <c r="H27" s="2997">
        <f>SUM(H19:H26)</f>
        <v>0</v>
      </c>
      <c r="I27" s="3020">
        <f>SUM(I19:I26)</f>
        <v>0</v>
      </c>
      <c r="J27" s="1355"/>
      <c r="K27" s="3021">
        <f>SUM(K19:K26)</f>
        <v>0</v>
      </c>
      <c r="L27" s="2626">
        <f>SUM(L19:L26)</f>
        <v>0</v>
      </c>
      <c r="M27" s="3022">
        <f>SUM(M19:M26)</f>
        <v>0</v>
      </c>
      <c r="N27" s="3021">
        <f t="shared" ref="N27:P27" si="10">SUM(N19:N26)</f>
        <v>0</v>
      </c>
      <c r="O27" s="2626">
        <f t="shared" si="10"/>
        <v>0</v>
      </c>
      <c r="P27" s="2928">
        <f t="shared" si="10"/>
        <v>0</v>
      </c>
      <c r="R27" s="2945">
        <f>IF(SUM(R19:R26)=$D$3,SUM(R19:R26),SUM(R19:R26)&amp;"误差"&amp;ROUND(SUM(R19:R26)-$D$3,2))</f>
        <v>0</v>
      </c>
      <c r="S27" s="1301">
        <f>IF(SUM(S19:S26)=$E$3,SUM(S19:S26),SUM(S19:S26)&amp;"误差"&amp;ROUND(SUM(S19:S26)-E3,2))</f>
        <v>165.59</v>
      </c>
    </row>
    <row r="28" spans="1:16">
      <c r="A28" s="2986"/>
      <c r="B28" s="2964" t="s">
        <v>657</v>
      </c>
      <c r="C28" s="1287" t="s">
        <v>658</v>
      </c>
      <c r="D28" s="1301">
        <f>ROUND($D$3*E28/$E$3,2)</f>
        <v>0</v>
      </c>
      <c r="E28" s="2988">
        <f>SUM(F28:G28)</f>
        <v>0</v>
      </c>
      <c r="F28" s="1287">
        <f>'数据-基础表'!BQ5+'数据-基础表'!BS5</f>
        <v>0</v>
      </c>
      <c r="G28" s="2643">
        <f>'数据-基础表'!BR5+'数据-基础表'!BT5</f>
        <v>0</v>
      </c>
      <c r="H28" s="2809"/>
      <c r="I28" s="2809"/>
      <c r="J28" s="2809"/>
      <c r="K28" s="2809"/>
      <c r="L28" s="2809"/>
      <c r="M28" s="2809"/>
      <c r="N28" s="2809"/>
      <c r="O28" s="2809"/>
      <c r="P28" s="2809"/>
    </row>
    <row r="29" spans="1:16">
      <c r="A29" s="2986"/>
      <c r="B29" s="2964" t="s">
        <v>657</v>
      </c>
      <c r="C29" s="1353" t="s">
        <v>659</v>
      </c>
      <c r="D29" s="1301">
        <f>ROUND($D$3*E29/$E$3,2)</f>
        <v>0</v>
      </c>
      <c r="E29" s="2988">
        <f>SUM(F29:G29)</f>
        <v>0</v>
      </c>
      <c r="F29" s="2998">
        <f>'数据-基础表'!BM5+'数据-基础表'!BO5</f>
        <v>0</v>
      </c>
      <c r="G29" s="2973">
        <f>'数据-基础表'!BN5+'数据-基础表'!BP5</f>
        <v>0</v>
      </c>
      <c r="H29" s="2809"/>
      <c r="I29" s="2809"/>
      <c r="J29" s="2809"/>
      <c r="K29" s="2809"/>
      <c r="L29" s="2809"/>
      <c r="M29" s="2809"/>
      <c r="N29" s="2809"/>
      <c r="O29" s="2809"/>
      <c r="P29" s="2809"/>
    </row>
    <row r="30" ht="15" spans="1:16">
      <c r="A30" s="2986"/>
      <c r="B30" s="2964"/>
      <c r="C30" s="2999" t="s">
        <v>656</v>
      </c>
      <c r="D30" s="2994">
        <f>SUM(D28:D29)</f>
        <v>0</v>
      </c>
      <c r="E30" s="2994">
        <f>SUM(E28:E29)</f>
        <v>0</v>
      </c>
      <c r="F30" s="2994">
        <f>SUM(F28:F29)</f>
        <v>0</v>
      </c>
      <c r="G30" s="2996">
        <f>SUM(G28:G29)</f>
        <v>0</v>
      </c>
      <c r="H30" s="2809"/>
      <c r="I30" s="2809"/>
      <c r="J30" s="2809"/>
      <c r="K30" s="2809"/>
      <c r="L30" s="2809"/>
      <c r="M30" s="2809"/>
      <c r="N30" s="2809"/>
      <c r="O30" s="2809"/>
      <c r="P30" s="2809"/>
    </row>
    <row r="31" ht="15.75" spans="1:16">
      <c r="A31" s="3000"/>
      <c r="B31" s="2919"/>
      <c r="C31" s="2626" t="s">
        <v>660</v>
      </c>
      <c r="D31" s="3001">
        <f>D27+D30</f>
        <v>0</v>
      </c>
      <c r="E31" s="3001">
        <f>E27+E30</f>
        <v>165.59</v>
      </c>
      <c r="F31" s="3002">
        <f>F27+F30</f>
        <v>63.37</v>
      </c>
      <c r="G31" s="3003">
        <f>G27+G30</f>
        <v>102.22</v>
      </c>
      <c r="H31" s="2809"/>
      <c r="I31" s="2809"/>
      <c r="J31" s="2809"/>
      <c r="K31" s="2809"/>
      <c r="L31" s="2809"/>
      <c r="M31" s="2809"/>
      <c r="N31" s="2809"/>
      <c r="O31" s="2809"/>
      <c r="P31" s="2809"/>
    </row>
    <row r="32" spans="1:16">
      <c r="A32" s="2981"/>
      <c r="B32" s="2981" t="s">
        <v>661</v>
      </c>
      <c r="C32" s="2981"/>
      <c r="D32" s="2981"/>
      <c r="E32" s="3004">
        <f>SUMIF(C19:C26,"*住宅*",E19:E26)</f>
        <v>0</v>
      </c>
      <c r="F32" s="2981"/>
      <c r="G32" s="2981"/>
      <c r="H32" s="2809"/>
      <c r="I32" s="2809"/>
      <c r="J32" s="2809"/>
      <c r="K32" s="2809"/>
      <c r="L32" s="2809"/>
      <c r="M32" s="2809"/>
      <c r="N32" s="2809"/>
      <c r="O32" s="2809"/>
      <c r="P32" s="2809"/>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N29" sqref="N29"/>
    </sheetView>
  </sheetViews>
  <sheetFormatPr defaultColWidth="13.75" defaultRowHeight="12.75"/>
  <cols>
    <col min="1" max="1" width="20.875" style="2773" customWidth="1"/>
    <col min="2" max="2" width="12" style="1267" customWidth="1"/>
    <col min="3" max="3" width="12.75" style="1267" customWidth="1"/>
    <col min="4" max="4" width="9.125" style="2774" customWidth="1"/>
    <col min="5" max="5" width="15" style="1267" customWidth="1"/>
    <col min="6" max="10" width="8.875" style="1267" customWidth="1"/>
    <col min="11" max="12" width="12.375" style="2775"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6" t="s">
        <v>662</v>
      </c>
      <c r="B1" s="833"/>
      <c r="C1" s="579"/>
      <c r="D1" s="2777"/>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1" customFormat="1" ht="15.75" spans="1:67">
      <c r="A2" s="2778" t="s">
        <v>663</v>
      </c>
      <c r="B2" s="2779">
        <f>项目基本情况!D3</f>
        <v>45852</v>
      </c>
      <c r="C2" s="1355"/>
      <c r="D2" s="2780"/>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9"/>
      <c r="AO2" s="2809"/>
      <c r="AP2" s="2809"/>
      <c r="AQ2" s="2809"/>
      <c r="AR2" s="2809"/>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71" customFormat="1" ht="15" spans="1:67">
      <c r="A3" s="2781"/>
      <c r="B3" s="1290"/>
      <c r="C3" s="1355"/>
      <c r="D3" s="2780"/>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9"/>
      <c r="AO3" s="2809"/>
      <c r="AP3" s="2809"/>
      <c r="AQ3" s="2809"/>
      <c r="AR3" s="2809"/>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71" customFormat="1" ht="15" spans="1:67">
      <c r="A4" s="999" t="s">
        <v>664</v>
      </c>
      <c r="B4" s="1310"/>
      <c r="C4" s="2782"/>
      <c r="D4" s="2783"/>
      <c r="E4" s="2782" t="s">
        <v>665</v>
      </c>
      <c r="F4" s="2782"/>
      <c r="G4" s="2782"/>
      <c r="H4" s="2782"/>
      <c r="I4" s="2782"/>
      <c r="J4" s="1350"/>
      <c r="K4" s="2873"/>
      <c r="L4" s="2874"/>
      <c r="M4" s="2782"/>
      <c r="N4" s="2782" t="s">
        <v>666</v>
      </c>
      <c r="O4" s="2782"/>
      <c r="P4" s="2782"/>
      <c r="Q4" s="2782"/>
      <c r="R4" s="2782"/>
      <c r="S4" s="1350"/>
      <c r="T4" s="2894" t="str">
        <f>'数据-汇总表'!I17</f>
        <v>按面积比例</v>
      </c>
      <c r="U4" s="1310" t="s">
        <v>667</v>
      </c>
      <c r="V4" s="2782"/>
      <c r="W4" s="2782"/>
      <c r="X4" s="2782"/>
      <c r="Y4" s="1350"/>
      <c r="Z4" s="1326" t="s">
        <v>668</v>
      </c>
      <c r="AA4" s="1326"/>
      <c r="AB4" s="1326"/>
      <c r="AC4" s="1326"/>
      <c r="AD4" s="1326"/>
      <c r="AE4" s="2920" t="s">
        <v>669</v>
      </c>
      <c r="AF4" s="1326"/>
      <c r="AG4" s="2930"/>
      <c r="AH4" s="1310"/>
      <c r="AI4" s="2782"/>
      <c r="AJ4" s="2782"/>
      <c r="AK4" s="2782"/>
      <c r="AL4" s="2782"/>
      <c r="AM4" s="1350"/>
      <c r="AN4" s="2809"/>
      <c r="AO4" s="2809"/>
      <c r="AP4" s="2809"/>
      <c r="AQ4" s="2809"/>
      <c r="AR4" s="2809"/>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72" customFormat="1" ht="42" spans="1:67">
      <c r="A5" s="2784" t="s">
        <v>639</v>
      </c>
      <c r="B5" s="2785" t="s">
        <v>638</v>
      </c>
      <c r="C5" s="2786" t="s">
        <v>670</v>
      </c>
      <c r="D5" s="2787" t="s">
        <v>671</v>
      </c>
      <c r="E5" s="1121" t="s">
        <v>672</v>
      </c>
      <c r="F5" s="2788" t="s">
        <v>673</v>
      </c>
      <c r="G5" s="1121" t="s">
        <v>674</v>
      </c>
      <c r="H5" s="1121" t="s">
        <v>675</v>
      </c>
      <c r="I5" s="1121" t="s">
        <v>676</v>
      </c>
      <c r="J5" s="2153" t="s">
        <v>677</v>
      </c>
      <c r="K5" s="2875" t="s">
        <v>648</v>
      </c>
      <c r="L5" s="2876" t="s">
        <v>678</v>
      </c>
      <c r="M5" s="2877" t="s">
        <v>679</v>
      </c>
      <c r="N5" s="2878" t="s">
        <v>680</v>
      </c>
      <c r="O5" s="2876" t="s">
        <v>681</v>
      </c>
      <c r="P5" s="2879" t="s">
        <v>682</v>
      </c>
      <c r="Q5" s="2156" t="s">
        <v>683</v>
      </c>
      <c r="R5" s="2895" t="s">
        <v>684</v>
      </c>
      <c r="S5" s="2896" t="s">
        <v>685</v>
      </c>
      <c r="T5" s="2897" t="s">
        <v>686</v>
      </c>
      <c r="U5" s="2898" t="s">
        <v>687</v>
      </c>
      <c r="V5" s="1121" t="s">
        <v>688</v>
      </c>
      <c r="W5" s="1121" t="s">
        <v>689</v>
      </c>
      <c r="X5" s="2020"/>
      <c r="Y5" s="1002" t="s">
        <v>690</v>
      </c>
      <c r="Z5" s="2119" t="s">
        <v>687</v>
      </c>
      <c r="AA5" s="1121" t="s">
        <v>688</v>
      </c>
      <c r="AB5" s="1121" t="s">
        <v>689</v>
      </c>
      <c r="AC5" s="2020"/>
      <c r="AD5" s="2020" t="s">
        <v>690</v>
      </c>
      <c r="AE5" s="2898" t="s">
        <v>691</v>
      </c>
      <c r="AF5" s="1121" t="s">
        <v>692</v>
      </c>
      <c r="AG5" s="1002" t="s">
        <v>693</v>
      </c>
      <c r="AH5" s="2898" t="s">
        <v>694</v>
      </c>
      <c r="AI5" s="2119" t="s">
        <v>695</v>
      </c>
      <c r="AJ5" s="2119" t="s">
        <v>696</v>
      </c>
      <c r="AK5" s="1121" t="s">
        <v>697</v>
      </c>
      <c r="AL5" s="1121" t="s">
        <v>698</v>
      </c>
      <c r="AM5" s="1002" t="s">
        <v>699</v>
      </c>
      <c r="AN5" s="2931" t="s">
        <v>700</v>
      </c>
      <c r="AO5" s="2944" t="s">
        <v>701</v>
      </c>
      <c r="AP5" s="2945" t="s">
        <v>702</v>
      </c>
      <c r="AQ5" s="2946" t="s">
        <v>703</v>
      </c>
      <c r="AR5" s="2946"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1" customFormat="1" ht="14.25" spans="1:67">
      <c r="A6" s="2789" t="str">
        <f>'数据-汇总表'!C19</f>
        <v>6-110</v>
      </c>
      <c r="B6" s="2790" t="str">
        <f>IF(A6=0,"","经营性")</f>
        <v>经营性</v>
      </c>
      <c r="C6" s="2791" t="s">
        <v>230</v>
      </c>
      <c r="D6" s="2792">
        <f>SUMIF(项目基本情况!C$12:I$12,C6,项目基本情况!C$14:I$14)</f>
        <v>50</v>
      </c>
      <c r="E6" s="2793">
        <f>IF(B6="","",SUMIF(项目基本情况!C$12:I$12,C6,项目基本情况!C$13:I$13))</f>
        <v>58305</v>
      </c>
      <c r="F6" s="2794">
        <f>SUMIF(项目基本情况!C$12:I$12,C6,项目基本情况!C$15:I$15)</f>
        <v>34.11</v>
      </c>
      <c r="G6" s="2795">
        <f>IF(ISERROR(ROUND(POWER(1+H6,D6-F6)*(POWER(1+H6,F6)-1)/(POWER(1+H6,D6)-1),3)),0,ROUND(POWER(1+H6,D6-F6)*(POWER(1+H6,F6)-1)/(POWER(1+H6,D6)-1),3))</f>
        <v>0.888</v>
      </c>
      <c r="H6" s="2796">
        <v>0.05</v>
      </c>
      <c r="I6" s="2796">
        <v>0.055</v>
      </c>
      <c r="J6" s="2797">
        <v>0.07</v>
      </c>
      <c r="K6" s="2880">
        <f>SUMIF('数据-汇总表'!C$19:C$33,A6,'数据-汇总表'!E$19:E$33)</f>
        <v>63.37</v>
      </c>
      <c r="L6" s="2881">
        <v>4000</v>
      </c>
      <c r="M6" s="2882">
        <f t="shared" ref="M6:M14" si="0">ROUND(K6*L6/10000,0)</f>
        <v>25</v>
      </c>
      <c r="N6" s="2883">
        <v>0.8</v>
      </c>
      <c r="O6" s="2882" t="str">
        <f>IF($N$5="成新度","——",ROUND(M6*N6,0))</f>
        <v>——</v>
      </c>
      <c r="P6" s="1136" t="str">
        <f>IF($N$5="成新度","——",M6-O6)</f>
        <v>——</v>
      </c>
      <c r="Q6" s="2899">
        <v>0.15</v>
      </c>
      <c r="R6" s="2900">
        <f ca="1">SUMIF('数据-汇总表'!C$19:C$33,A6,'数据-汇总表'!R$19:R$27)</f>
        <v>0</v>
      </c>
      <c r="S6" s="2901">
        <f>IF('数据-汇总表'!$I$17="按面积比例",SUMIF('数据-汇总表'!C$19:C$33,A6,'数据-汇总表'!K$19:K$33),SUMIF('数据-汇总表'!C$19:C$33,A6,'数据-汇总表'!N$19:N$33))</f>
        <v>0</v>
      </c>
      <c r="T6" s="2902">
        <f>ROUND($L$14*S6/10000,0)</f>
        <v>0</v>
      </c>
      <c r="U6" s="2903">
        <v>2.5</v>
      </c>
      <c r="V6" s="2904">
        <v>0.02</v>
      </c>
      <c r="W6" s="2904">
        <v>0.1</v>
      </c>
      <c r="X6" s="2905"/>
      <c r="Y6" s="2921">
        <f>N6</f>
        <v>0.8</v>
      </c>
      <c r="Z6" s="2922"/>
      <c r="AA6" s="2797"/>
      <c r="AB6" s="2797"/>
      <c r="AC6" s="2905"/>
      <c r="AD6" s="2923"/>
      <c r="AE6" s="2924">
        <f ca="1">IF(AN6="",0,SUMIF(INDIRECT("'"&amp;AN6&amp;"'"&amp;"!E:E"),$AE$5,INDIRECT("'"&amp;AN6&amp;"'"&amp;"!F:F")))</f>
        <v>34.11</v>
      </c>
      <c r="AF6" s="1282"/>
      <c r="AG6" s="1303">
        <f ca="1">IF(AF6="",0,AE6-AF6)</f>
        <v>0</v>
      </c>
      <c r="AH6" s="2932"/>
      <c r="AI6" s="2933">
        <v>365</v>
      </c>
      <c r="AJ6" s="1282"/>
      <c r="AK6" s="2934">
        <v>0.002</v>
      </c>
      <c r="AL6" s="2935">
        <v>0.001</v>
      </c>
      <c r="AM6" s="2936">
        <v>0.005</v>
      </c>
      <c r="AN6" s="2937" t="s">
        <v>285</v>
      </c>
      <c r="AO6" s="1231">
        <f ca="1">SUMIF(INDIRECT("'"&amp;AN6&amp;"'"&amp;"!A:A"),"总价",INDIRECT("'"&amp;AN6&amp;"'"&amp;"!B:B"))</f>
        <v>93.7086</v>
      </c>
      <c r="AP6" s="2947">
        <f>IF(C6="住宅",K6*L6,0)</f>
        <v>0</v>
      </c>
      <c r="AQ6" s="1231">
        <f>ROUND($L$14*$N$14*S6/10000,0)</f>
        <v>0</v>
      </c>
      <c r="AR6" s="1231">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71" customFormat="1" ht="14.25" spans="1:67">
      <c r="A7" s="2789" t="str">
        <f>'数据-汇总表'!C20</f>
        <v>6--110</v>
      </c>
      <c r="B7" s="2790" t="str">
        <f t="shared" ref="B7:B13" si="1">IF(A7=0,"","经营性")</f>
        <v>经营性</v>
      </c>
      <c r="C7" s="2791" t="s">
        <v>599</v>
      </c>
      <c r="D7" s="2792">
        <f>SUMIF(项目基本情况!C$12:I$12,C7,项目基本情况!C$14:I$14)</f>
        <v>50</v>
      </c>
      <c r="E7" s="2793">
        <f>IF(B7="","",SUMIF(项目基本情况!C$12:I$12,C7,项目基本情况!C$13:I$13))</f>
        <v>58305</v>
      </c>
      <c r="F7" s="2794">
        <f>SUMIF(项目基本情况!C$12:I$12,C7,项目基本情况!C$15:I$15)</f>
        <v>34.11</v>
      </c>
      <c r="G7" s="2795">
        <f t="shared" ref="G7:G13" si="2">IF(ISERROR(ROUND(POWER(1+H7,D7-F7)*(POWER(1+H7,F7)-1)/(POWER(1+H7,D7)-1),3)),0,ROUND(POWER(1+H7,D7-F7)*(POWER(1+H7,F7)-1)/(POWER(1+H7,D7)-1),3))</f>
        <v>0.888</v>
      </c>
      <c r="H7" s="2796">
        <f>H6</f>
        <v>0.05</v>
      </c>
      <c r="I7" s="2796">
        <f>I6</f>
        <v>0.055</v>
      </c>
      <c r="J7" s="2797">
        <f>J6</f>
        <v>0.07</v>
      </c>
      <c r="K7" s="2880">
        <f>SUMIF('数据-汇总表'!C$19:C$33,A7,'数据-汇总表'!E$19:E$33)</f>
        <v>61.73</v>
      </c>
      <c r="L7" s="2881">
        <v>4000</v>
      </c>
      <c r="M7" s="2882">
        <f t="shared" si="0"/>
        <v>25</v>
      </c>
      <c r="N7" s="2883">
        <v>0.8</v>
      </c>
      <c r="O7" s="2882" t="str">
        <f t="shared" ref="O7:O14" si="3">IF($N$5="成新度","——",ROUND(M7*N7,0))</f>
        <v>——</v>
      </c>
      <c r="P7" s="1136" t="str">
        <f t="shared" ref="P7:P14" si="4">IF($N$5="成新度","——",M7-O7)</f>
        <v>——</v>
      </c>
      <c r="Q7" s="2899">
        <v>0.08</v>
      </c>
      <c r="R7" s="2900">
        <f ca="1">SUMIF('数据-汇总表'!C$19:C$33,A7,'数据-汇总表'!R$19:R$27)</f>
        <v>0</v>
      </c>
      <c r="S7" s="2901">
        <f>IF('数据-汇总表'!$I$17="按面积比例",SUMIF('数据-汇总表'!C$19:C$33,A7,'数据-汇总表'!K$19:K$33),SUMIF('数据-汇总表'!C$19:C$33,A7,'数据-汇总表'!N$19:N$33))</f>
        <v>0</v>
      </c>
      <c r="T7" s="2902">
        <f t="shared" ref="T7:T13" si="5">ROUND($L$14*S7/10000,0)</f>
        <v>0</v>
      </c>
      <c r="U7" s="2903">
        <v>1</v>
      </c>
      <c r="V7" s="2904">
        <v>0.02</v>
      </c>
      <c r="W7" s="2904">
        <v>0.1</v>
      </c>
      <c r="X7" s="2905"/>
      <c r="Y7" s="2921">
        <f>N7</f>
        <v>0.8</v>
      </c>
      <c r="Z7" s="2922"/>
      <c r="AA7" s="2797"/>
      <c r="AB7" s="2797"/>
      <c r="AC7" s="2905"/>
      <c r="AD7" s="2923"/>
      <c r="AE7" s="2924">
        <f ca="1" t="shared" ref="AE7:AE13" si="6">IF(AN7="",0,SUMIF(INDIRECT("'"&amp;AN7&amp;"'"&amp;"!E:E"),$AE$5,INDIRECT("'"&amp;AN7&amp;"'"&amp;"!F:F")))</f>
        <v>34.11</v>
      </c>
      <c r="AF7" s="1282"/>
      <c r="AG7" s="1303">
        <f ca="1" t="shared" ref="AG7:AG13" si="7">IF(AF7="",0,AE7-AF7)</f>
        <v>0</v>
      </c>
      <c r="AH7" s="2932"/>
      <c r="AI7" s="2933">
        <v>365</v>
      </c>
      <c r="AJ7" s="1282"/>
      <c r="AK7" s="2934">
        <v>0.002</v>
      </c>
      <c r="AL7" s="2935">
        <v>0.001</v>
      </c>
      <c r="AM7" s="2936">
        <v>0.005</v>
      </c>
      <c r="AN7" s="2937" t="s">
        <v>353</v>
      </c>
      <c r="AO7" s="1231">
        <f ca="1" t="shared" ref="AO7:AO13" si="8">SUMIF(INDIRECT("'"&amp;AN7&amp;"'"&amp;"!A:A"),"总价",INDIRECT("'"&amp;AN7&amp;"'"&amp;"!B:B"))</f>
        <v>36.0999</v>
      </c>
      <c r="AP7" s="2947">
        <f t="shared" ref="AP7:AP13" si="9">IF(C7="住宅",K7*L7,0)</f>
        <v>0</v>
      </c>
      <c r="AQ7" s="1231">
        <f t="shared" ref="AQ7:AQ13" si="10">ROUND($L$14*$N$14*S7/10000,0)</f>
        <v>0</v>
      </c>
      <c r="AR7" s="1231">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71" customFormat="1" ht="14.25" spans="1:67">
      <c r="A8" s="2789" t="str">
        <f>'数据-汇总表'!C21</f>
        <v>13-023</v>
      </c>
      <c r="B8" s="2790" t="str">
        <f t="shared" si="1"/>
        <v>经营性</v>
      </c>
      <c r="C8" s="2791" t="s">
        <v>705</v>
      </c>
      <c r="D8" s="2792">
        <f>SUMIF(项目基本情况!C$12:I$12,C8,项目基本情况!C$14:I$14)</f>
        <v>50</v>
      </c>
      <c r="E8" s="2793">
        <f>IF(B8="","",SUMIF(项目基本情况!C$12:I$12,C8,项目基本情况!C$13:I$13))</f>
        <v>58305</v>
      </c>
      <c r="F8" s="2794">
        <f>SUMIF(项目基本情况!C$12:I$12,C8,项目基本情况!C$15:I$15)</f>
        <v>34.11</v>
      </c>
      <c r="G8" s="2795">
        <f t="shared" si="2"/>
        <v>0.888</v>
      </c>
      <c r="H8" s="2796">
        <f>H6</f>
        <v>0.05</v>
      </c>
      <c r="I8" s="2796">
        <f>I6</f>
        <v>0.055</v>
      </c>
      <c r="J8" s="2797">
        <f>J6</f>
        <v>0.07</v>
      </c>
      <c r="K8" s="2880">
        <f>SUMIF('数据-汇总表'!C$19:C$33,A8,'数据-汇总表'!E$19:E$33)</f>
        <v>40.49</v>
      </c>
      <c r="L8" s="2881">
        <v>4000</v>
      </c>
      <c r="M8" s="2882">
        <f t="shared" si="0"/>
        <v>16</v>
      </c>
      <c r="N8" s="2883">
        <v>0.8</v>
      </c>
      <c r="O8" s="2882" t="str">
        <f t="shared" si="3"/>
        <v>——</v>
      </c>
      <c r="P8" s="1136" t="str">
        <f t="shared" si="4"/>
        <v>——</v>
      </c>
      <c r="Q8" s="2899">
        <v>0.05</v>
      </c>
      <c r="R8" s="2900">
        <f ca="1">SUMIF('数据-汇总表'!C$19:C$33,A8,'数据-汇总表'!R$19:R$27)</f>
        <v>0</v>
      </c>
      <c r="S8" s="2901">
        <f>IF('数据-汇总表'!$I$17="按面积比例",SUMIF('数据-汇总表'!C$19:C$33,A8,'数据-汇总表'!K$19:K$33),SUMIF('数据-汇总表'!C$19:C$33,A8,'数据-汇总表'!N$19:N$33))</f>
        <v>0</v>
      </c>
      <c r="T8" s="2902">
        <f t="shared" si="5"/>
        <v>0</v>
      </c>
      <c r="U8" s="2906">
        <v>200</v>
      </c>
      <c r="V8" s="2907">
        <v>0.015</v>
      </c>
      <c r="W8" s="2907">
        <v>0.1</v>
      </c>
      <c r="X8" s="2905"/>
      <c r="Y8" s="2921">
        <f>N8</f>
        <v>0.8</v>
      </c>
      <c r="Z8" s="2922"/>
      <c r="AA8" s="2797"/>
      <c r="AB8" s="2797"/>
      <c r="AC8" s="2905"/>
      <c r="AD8" s="2923"/>
      <c r="AE8" s="2924">
        <f ca="1" t="shared" si="6"/>
        <v>34.11</v>
      </c>
      <c r="AF8" s="1282"/>
      <c r="AG8" s="1303">
        <f ca="1" t="shared" si="7"/>
        <v>0</v>
      </c>
      <c r="AH8" s="2938">
        <v>1</v>
      </c>
      <c r="AI8" s="2933">
        <v>12</v>
      </c>
      <c r="AJ8" s="1282"/>
      <c r="AK8" s="2939">
        <v>0.002</v>
      </c>
      <c r="AL8" s="2940">
        <v>0.001</v>
      </c>
      <c r="AM8" s="2841">
        <v>0.005</v>
      </c>
      <c r="AN8" s="2937" t="s">
        <v>356</v>
      </c>
      <c r="AO8" s="1231">
        <f ca="1" t="shared" si="8"/>
        <v>3.29</v>
      </c>
      <c r="AP8" s="2947">
        <f t="shared" si="9"/>
        <v>0</v>
      </c>
      <c r="AQ8" s="1231">
        <f t="shared" si="10"/>
        <v>0</v>
      </c>
      <c r="AR8" s="1231">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71"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1136" t="str">
        <f t="shared" si="4"/>
        <v>——</v>
      </c>
      <c r="Q9" s="2908"/>
      <c r="R9" s="2900">
        <f ca="1">SUMIF('数据-汇总表'!C$19:C$33,A9,'数据-汇总表'!R$19:R$27)</f>
        <v>0</v>
      </c>
      <c r="S9" s="2901">
        <f>IF('数据-汇总表'!$I$17="按面积比例",SUMIF('数据-汇总表'!C$19:C$33,A9,'数据-汇总表'!K$19:K$33),SUMIF('数据-汇总表'!C$19:C$33,A9,'数据-汇总表'!N$19:N$33))</f>
        <v>0</v>
      </c>
      <c r="T9" s="2902">
        <f t="shared" si="5"/>
        <v>0</v>
      </c>
      <c r="U9" s="2903"/>
      <c r="V9" s="2904"/>
      <c r="W9" s="2904"/>
      <c r="X9" s="2905"/>
      <c r="Y9" s="2921"/>
      <c r="Z9" s="2922"/>
      <c r="AA9" s="2797"/>
      <c r="AB9" s="2797"/>
      <c r="AC9" s="2905"/>
      <c r="AD9" s="2923"/>
      <c r="AE9" s="2924">
        <f ca="1" t="shared" si="6"/>
        <v>0</v>
      </c>
      <c r="AF9" s="1282"/>
      <c r="AG9" s="1303">
        <f ca="1" t="shared" si="7"/>
        <v>0</v>
      </c>
      <c r="AH9" s="2932"/>
      <c r="AI9" s="2933"/>
      <c r="AJ9" s="1282"/>
      <c r="AK9" s="2934"/>
      <c r="AL9" s="2935"/>
      <c r="AM9" s="2936"/>
      <c r="AN9" s="2937"/>
      <c r="AO9" s="1231" t="e">
        <f ca="1" t="shared" si="8"/>
        <v>#REF!</v>
      </c>
      <c r="AP9" s="2947">
        <f t="shared" si="9"/>
        <v>0</v>
      </c>
      <c r="AQ9" s="1231">
        <f t="shared" si="10"/>
        <v>0</v>
      </c>
      <c r="AR9" s="1231">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71"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1136" t="str">
        <f t="shared" si="4"/>
        <v>——</v>
      </c>
      <c r="Q10" s="2908"/>
      <c r="R10" s="2900">
        <f ca="1">SUMIF('数据-汇总表'!C$19:C$33,A10,'数据-汇总表'!R$19:R$27)</f>
        <v>0</v>
      </c>
      <c r="S10" s="2901">
        <f>IF('数据-汇总表'!$I$17="按面积比例",SUMIF('数据-汇总表'!C$19:C$33,A10,'数据-汇总表'!K$19:K$33),SUMIF('数据-汇总表'!C$19:C$33,A10,'数据-汇总表'!N$19:N$33))</f>
        <v>0</v>
      </c>
      <c r="T10" s="2902">
        <f t="shared" si="5"/>
        <v>0</v>
      </c>
      <c r="U10" s="2903"/>
      <c r="V10" s="2904"/>
      <c r="W10" s="2904"/>
      <c r="X10" s="2905"/>
      <c r="Y10" s="2921"/>
      <c r="Z10" s="2922"/>
      <c r="AA10" s="2797"/>
      <c r="AB10" s="2797"/>
      <c r="AC10" s="2905"/>
      <c r="AD10" s="2923"/>
      <c r="AE10" s="2924">
        <f ca="1" t="shared" si="6"/>
        <v>0</v>
      </c>
      <c r="AF10" s="1282"/>
      <c r="AG10" s="1303">
        <f ca="1" t="shared" si="7"/>
        <v>0</v>
      </c>
      <c r="AH10" s="2932"/>
      <c r="AI10" s="2933"/>
      <c r="AJ10" s="1282"/>
      <c r="AK10" s="2934"/>
      <c r="AL10" s="2935"/>
      <c r="AM10" s="2936"/>
      <c r="AN10" s="2937"/>
      <c r="AO10" s="1231" t="e">
        <f ca="1" t="shared" si="8"/>
        <v>#REF!</v>
      </c>
      <c r="AP10" s="2947">
        <f t="shared" si="9"/>
        <v>0</v>
      </c>
      <c r="AQ10" s="1231">
        <f t="shared" si="10"/>
        <v>0</v>
      </c>
      <c r="AR10" s="1231">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71"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1136" t="str">
        <f t="shared" si="4"/>
        <v>——</v>
      </c>
      <c r="Q11" s="2908"/>
      <c r="R11" s="2900">
        <f ca="1">SUMIF('数据-汇总表'!C$19:C$33,A11,'数据-汇总表'!R$19:R$27)</f>
        <v>0</v>
      </c>
      <c r="S11" s="2901">
        <f>IF('数据-汇总表'!$I$17="按面积比例",SUMIF('数据-汇总表'!C$19:C$33,A11,'数据-汇总表'!K$19:K$33),SUMIF('数据-汇总表'!C$19:C$33,A11,'数据-汇总表'!N$19:N$33))</f>
        <v>0</v>
      </c>
      <c r="T11" s="2902">
        <f t="shared" si="5"/>
        <v>0</v>
      </c>
      <c r="U11" s="2903"/>
      <c r="V11" s="2797"/>
      <c r="W11" s="2797"/>
      <c r="X11" s="2905"/>
      <c r="Y11" s="2921"/>
      <c r="Z11" s="2925"/>
      <c r="AA11" s="2797"/>
      <c r="AB11" s="2797"/>
      <c r="AC11" s="2905"/>
      <c r="AD11" s="2923"/>
      <c r="AE11" s="2924">
        <f ca="1" t="shared" si="6"/>
        <v>0</v>
      </c>
      <c r="AF11" s="1282"/>
      <c r="AG11" s="1303">
        <f ca="1" t="shared" si="7"/>
        <v>0</v>
      </c>
      <c r="AH11" s="2932"/>
      <c r="AI11" s="2933"/>
      <c r="AJ11" s="1282"/>
      <c r="AK11" s="2934"/>
      <c r="AL11" s="2935"/>
      <c r="AM11" s="2936"/>
      <c r="AN11" s="2937"/>
      <c r="AO11" s="1231" t="e">
        <f ca="1" t="shared" si="8"/>
        <v>#REF!</v>
      </c>
      <c r="AP11" s="2947">
        <f t="shared" si="9"/>
        <v>0</v>
      </c>
      <c r="AQ11" s="1231">
        <f t="shared" si="10"/>
        <v>0</v>
      </c>
      <c r="AR11" s="1231">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71"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1136" t="str">
        <f t="shared" si="4"/>
        <v>——</v>
      </c>
      <c r="Q12" s="2908"/>
      <c r="R12" s="2900">
        <f ca="1">SUMIF('数据-汇总表'!C$19:C$33,A12,'数据-汇总表'!R$19:R$27)</f>
        <v>0</v>
      </c>
      <c r="S12" s="2901">
        <f>IF('数据-汇总表'!$I$17="按面积比例",SUMIF('数据-汇总表'!C$19:C$33,A12,'数据-汇总表'!K$19:K$33),SUMIF('数据-汇总表'!C$19:C$33,A12,'数据-汇总表'!N$19:N$33))</f>
        <v>0</v>
      </c>
      <c r="T12" s="2902">
        <f t="shared" si="5"/>
        <v>0</v>
      </c>
      <c r="U12" s="2903"/>
      <c r="V12" s="2797"/>
      <c r="W12" s="2797"/>
      <c r="X12" s="2905"/>
      <c r="Y12" s="2921"/>
      <c r="Z12" s="2925"/>
      <c r="AA12" s="2797"/>
      <c r="AB12" s="2797"/>
      <c r="AC12" s="2905"/>
      <c r="AD12" s="2923"/>
      <c r="AE12" s="2924">
        <f ca="1" t="shared" si="6"/>
        <v>0</v>
      </c>
      <c r="AF12" s="1282"/>
      <c r="AG12" s="1303">
        <f ca="1" t="shared" si="7"/>
        <v>0</v>
      </c>
      <c r="AH12" s="2932"/>
      <c r="AI12" s="2933"/>
      <c r="AJ12" s="1282"/>
      <c r="AK12" s="2934"/>
      <c r="AL12" s="2935"/>
      <c r="AM12" s="2936"/>
      <c r="AN12" s="2937"/>
      <c r="AO12" s="1231" t="e">
        <f ca="1" t="shared" si="8"/>
        <v>#REF!</v>
      </c>
      <c r="AP12" s="2947">
        <f t="shared" si="9"/>
        <v>0</v>
      </c>
      <c r="AQ12" s="1231">
        <f t="shared" si="10"/>
        <v>0</v>
      </c>
      <c r="AR12" s="1231">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71"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1136" t="str">
        <f t="shared" si="4"/>
        <v>——</v>
      </c>
      <c r="Q13" s="2908"/>
      <c r="R13" s="2900">
        <f ca="1">SUMIF('数据-汇总表'!C$19:C$33,A13,'数据-汇总表'!R$19:R$27)</f>
        <v>0</v>
      </c>
      <c r="S13" s="2901">
        <f>IF('数据-汇总表'!$I$17="按面积比例",SUMIF('数据-汇总表'!C$19:C$33,A13,'数据-汇总表'!K$19:K$33),SUMIF('数据-汇总表'!C$19:C$33,A13,'数据-汇总表'!N$19:N$33))</f>
        <v>0</v>
      </c>
      <c r="T13" s="2902">
        <f t="shared" si="5"/>
        <v>0</v>
      </c>
      <c r="U13" s="2909"/>
      <c r="V13" s="2904"/>
      <c r="W13" s="2904"/>
      <c r="X13" s="2905"/>
      <c r="Y13" s="2921"/>
      <c r="Z13" s="2922"/>
      <c r="AA13" s="2797"/>
      <c r="AB13" s="2797"/>
      <c r="AC13" s="2905"/>
      <c r="AD13" s="2923"/>
      <c r="AE13" s="2924">
        <f ca="1" t="shared" si="6"/>
        <v>0</v>
      </c>
      <c r="AF13" s="1282"/>
      <c r="AG13" s="1303">
        <f ca="1" t="shared" si="7"/>
        <v>0</v>
      </c>
      <c r="AH13" s="2932"/>
      <c r="AI13" s="2933"/>
      <c r="AJ13" s="1282"/>
      <c r="AK13" s="2934"/>
      <c r="AL13" s="2935"/>
      <c r="AM13" s="2936"/>
      <c r="AN13" s="2937"/>
      <c r="AO13" s="1231" t="e">
        <f ca="1" t="shared" si="8"/>
        <v>#REF!</v>
      </c>
      <c r="AP13" s="2947">
        <f t="shared" si="9"/>
        <v>0</v>
      </c>
      <c r="AQ13" s="1231">
        <f t="shared" si="10"/>
        <v>0</v>
      </c>
      <c r="AR13" s="1231">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71" customFormat="1" ht="14.25" spans="1:67">
      <c r="A14" s="2798" t="s">
        <v>658</v>
      </c>
      <c r="B14" s="2790" t="s">
        <v>657</v>
      </c>
      <c r="C14" s="2799" t="s">
        <v>658</v>
      </c>
      <c r="D14" s="2792"/>
      <c r="E14" s="2793"/>
      <c r="F14" s="2794"/>
      <c r="G14" s="2795"/>
      <c r="H14" s="2800"/>
      <c r="I14" s="2800"/>
      <c r="J14" s="2800"/>
      <c r="K14" s="2880">
        <f>SUMIF('数据-汇总表'!C$19:C$33,A14,'数据-汇总表'!E$19:E$33)</f>
        <v>0</v>
      </c>
      <c r="L14" s="2884"/>
      <c r="M14" s="2882">
        <f t="shared" si="0"/>
        <v>0</v>
      </c>
      <c r="N14" s="2885"/>
      <c r="O14" s="2882" t="str">
        <f t="shared" si="3"/>
        <v>——</v>
      </c>
      <c r="P14" s="1136" t="str">
        <f t="shared" si="4"/>
        <v>——</v>
      </c>
      <c r="Q14" s="2910"/>
      <c r="R14" s="2900"/>
      <c r="S14" s="2901"/>
      <c r="T14" s="2902"/>
      <c r="U14" s="2911"/>
      <c r="V14" s="2912"/>
      <c r="W14" s="2912"/>
      <c r="X14" s="2913"/>
      <c r="Y14" s="2926"/>
      <c r="Z14" s="1287"/>
      <c r="AA14" s="2927"/>
      <c r="AB14" s="2927"/>
      <c r="AC14" s="2905"/>
      <c r="AD14" s="2913"/>
      <c r="AE14" s="2924"/>
      <c r="AF14" s="1231"/>
      <c r="AG14" s="1303"/>
      <c r="AH14" s="2924"/>
      <c r="AI14" s="1212"/>
      <c r="AJ14" s="1231"/>
      <c r="AK14" s="2941"/>
      <c r="AL14" s="2942"/>
      <c r="AM14" s="2943"/>
      <c r="AN14" s="2569"/>
      <c r="AO14" s="2809"/>
      <c r="AP14" s="2809"/>
      <c r="AQ14" s="2809"/>
      <c r="AR14" s="2809"/>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71" customFormat="1" ht="27" spans="1:67">
      <c r="A15" s="2798" t="s">
        <v>659</v>
      </c>
      <c r="B15" s="2790" t="s">
        <v>657</v>
      </c>
      <c r="C15" s="2799" t="s">
        <v>706</v>
      </c>
      <c r="D15" s="2792"/>
      <c r="E15" s="2793"/>
      <c r="F15" s="2794"/>
      <c r="G15" s="2795"/>
      <c r="H15" s="2800"/>
      <c r="I15" s="2800"/>
      <c r="J15" s="2800"/>
      <c r="K15" s="2880">
        <f>SUMIF('数据-汇总表'!C$19:C$33,A15,'数据-汇总表'!E$19:E$33)</f>
        <v>0</v>
      </c>
      <c r="L15" s="2886"/>
      <c r="M15" s="2882"/>
      <c r="N15" s="2887"/>
      <c r="O15" s="2882"/>
      <c r="P15" s="1136"/>
      <c r="Q15" s="2910"/>
      <c r="R15" s="2900"/>
      <c r="S15" s="2901"/>
      <c r="T15" s="2902"/>
      <c r="U15" s="2911"/>
      <c r="V15" s="2912"/>
      <c r="W15" s="2912"/>
      <c r="X15" s="2913"/>
      <c r="Y15" s="2926"/>
      <c r="Z15" s="1287"/>
      <c r="AA15" s="2927"/>
      <c r="AB15" s="2927"/>
      <c r="AC15" s="2905"/>
      <c r="AD15" s="2913"/>
      <c r="AE15" s="2924"/>
      <c r="AF15" s="1231"/>
      <c r="AG15" s="1303"/>
      <c r="AH15" s="2924"/>
      <c r="AI15" s="1212"/>
      <c r="AJ15" s="1231"/>
      <c r="AK15" s="2941"/>
      <c r="AL15" s="2942"/>
      <c r="AM15" s="2943"/>
      <c r="AN15" s="2569"/>
      <c r="AO15" s="2809"/>
      <c r="AP15" s="2809"/>
      <c r="AQ15" s="2809"/>
      <c r="AR15" s="2809"/>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71" customFormat="1" ht="15.75" spans="1:67">
      <c r="A16" s="2801" t="s">
        <v>660</v>
      </c>
      <c r="B16" s="2802"/>
      <c r="C16" s="2624"/>
      <c r="D16" s="2803"/>
      <c r="E16" s="2802"/>
      <c r="F16" s="2802"/>
      <c r="G16" s="2804">
        <f>ROUND(SUMPRODUCT(G6:G13,K6:K13)/SUMPRODUCT((G6:G13&gt;0)*(K6:K13)),3)</f>
        <v>0.888</v>
      </c>
      <c r="H16" s="2805">
        <f>ROUND(SUMPRODUCT(H6:H13,K6:K13)/SUMPRODUCT((H6:H13&gt;0)*(K6:K13)),3)</f>
        <v>0.05</v>
      </c>
      <c r="I16" s="2888"/>
      <c r="J16" s="2888"/>
      <c r="K16" s="2889">
        <f>SUM(K6:K15)</f>
        <v>165.59</v>
      </c>
      <c r="L16" s="2890">
        <f>ROUND(M16*10000/SUM(K6:K14),0)</f>
        <v>3986</v>
      </c>
      <c r="M16" s="2890">
        <f>SUM(M6:M14)</f>
        <v>66</v>
      </c>
      <c r="N16" s="2891">
        <f>ROUND(SUMPRODUCT(M6:M14,N6:N14)/M16,3)</f>
        <v>0.8</v>
      </c>
      <c r="O16" s="2890">
        <f>SUM(O6:O14)</f>
        <v>0</v>
      </c>
      <c r="P16" s="2890">
        <f>SUM(P6:P14)</f>
        <v>0</v>
      </c>
      <c r="Q16" s="2914">
        <f>ROUND(SUMPRODUCT(Q6:Q13,K6:K13)/SUMPRODUCT((Q6:Q13&gt;0)*(K6:K13)),2)</f>
        <v>0.1</v>
      </c>
      <c r="R16" s="2915">
        <f ca="1">SUM(R6:R13)</f>
        <v>0</v>
      </c>
      <c r="S16" s="2916">
        <f>SUM(S6:S13)</f>
        <v>0</v>
      </c>
      <c r="T16" s="2917">
        <f>IF(SUMIF(T6:T13,"&lt;9E307")=M14,SUMIF(T6:T13,"&lt;9E307"),"有误，请检查")</f>
        <v>0</v>
      </c>
      <c r="U16" s="2918"/>
      <c r="V16" s="1305"/>
      <c r="W16" s="1305"/>
      <c r="X16" s="2919"/>
      <c r="Y16" s="2928"/>
      <c r="Z16" s="2929"/>
      <c r="AA16" s="1305"/>
      <c r="AB16" s="1305"/>
      <c r="AC16" s="2919"/>
      <c r="AD16" s="2919"/>
      <c r="AE16" s="2918"/>
      <c r="AF16" s="1305"/>
      <c r="AG16" s="2928"/>
      <c r="AH16" s="2918"/>
      <c r="AI16" s="2929"/>
      <c r="AJ16" s="2929"/>
      <c r="AK16" s="1305"/>
      <c r="AL16" s="1305"/>
      <c r="AM16" s="2928"/>
      <c r="AN16" s="2569"/>
      <c r="AO16" s="2809"/>
      <c r="AP16" s="2809"/>
      <c r="AQ16" s="2809"/>
      <c r="AR16" s="2809"/>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5" spans="1:44">
      <c r="A17" s="2722"/>
      <c r="B17" s="2806"/>
      <c r="C17" s="2569"/>
      <c r="D17" s="2807"/>
      <c r="E17" s="2807"/>
      <c r="F17" s="2569"/>
      <c r="G17" s="2569"/>
      <c r="H17" s="2569"/>
      <c r="I17" s="2569"/>
      <c r="J17" s="2569"/>
      <c r="K17" s="2892"/>
      <c r="L17" s="2892"/>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8"/>
      <c r="C18" s="2809"/>
      <c r="D18" s="2810"/>
      <c r="E18" s="2809"/>
      <c r="F18" s="2809"/>
      <c r="G18" s="2809"/>
      <c r="H18" s="2809"/>
      <c r="I18" s="2809"/>
      <c r="J18" s="2809"/>
      <c r="K18" s="2892"/>
      <c r="L18" s="2893"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1" t="s">
        <v>709</v>
      </c>
      <c r="B19" s="2812">
        <v>0</v>
      </c>
      <c r="C19" s="2813" t="s">
        <v>710</v>
      </c>
      <c r="D19" s="2810"/>
      <c r="E19" s="2809"/>
      <c r="F19" s="2809"/>
      <c r="G19" s="2809"/>
      <c r="H19" s="2809"/>
      <c r="I19" s="2809"/>
      <c r="J19" s="2809"/>
      <c r="K19" s="2892"/>
      <c r="L19" s="2892"/>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4" t="s">
        <v>711</v>
      </c>
      <c r="B20" s="2815">
        <v>2</v>
      </c>
      <c r="C20" s="2816" t="s">
        <v>712</v>
      </c>
      <c r="D20" s="2810"/>
      <c r="E20" s="2809"/>
      <c r="F20" s="2809"/>
      <c r="G20" s="2809"/>
      <c r="H20" s="2809"/>
      <c r="I20" s="2809"/>
      <c r="J20" s="2809"/>
      <c r="K20" s="2892"/>
      <c r="L20" s="2892"/>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7" t="s">
        <v>713</v>
      </c>
      <c r="B21" s="2815">
        <v>2</v>
      </c>
      <c r="C21" s="2809"/>
      <c r="D21" s="2810"/>
      <c r="E21" s="2809"/>
      <c r="F21" s="2809"/>
      <c r="G21" s="2809"/>
      <c r="H21" s="2809"/>
      <c r="I21" s="2809"/>
      <c r="J21" s="2809"/>
      <c r="K21" s="2892"/>
      <c r="L21" s="2892"/>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4" t="s">
        <v>714</v>
      </c>
      <c r="B22" s="2818">
        <f>B19+B20</f>
        <v>2</v>
      </c>
      <c r="C22" s="2809"/>
      <c r="D22" s="2810"/>
      <c r="E22" s="2809"/>
      <c r="F22" s="2809"/>
      <c r="G22" s="2809"/>
      <c r="H22" s="2809"/>
      <c r="I22" s="2809"/>
      <c r="J22" s="2809"/>
      <c r="K22" s="2892"/>
      <c r="L22" s="2892"/>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7" t="s">
        <v>715</v>
      </c>
      <c r="B23" s="2818">
        <f>B19+B21</f>
        <v>2</v>
      </c>
      <c r="C23" s="2809"/>
      <c r="D23" s="2810"/>
      <c r="E23" s="2809"/>
      <c r="F23" s="2809"/>
      <c r="G23" s="2809"/>
      <c r="H23" s="2809"/>
      <c r="I23" s="2809"/>
      <c r="J23" s="2809"/>
      <c r="K23" s="2892"/>
      <c r="L23" s="2892"/>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9" t="s">
        <v>716</v>
      </c>
      <c r="B24" s="2820">
        <f>B20-B21</f>
        <v>0</v>
      </c>
      <c r="C24" s="2809"/>
      <c r="D24" s="2810"/>
      <c r="E24" s="2809"/>
      <c r="F24" s="2809"/>
      <c r="G24" s="2809"/>
      <c r="H24" s="2809"/>
      <c r="I24" s="2809"/>
      <c r="J24" s="2809"/>
      <c r="K24" s="2892"/>
      <c r="L24" s="2892"/>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1"/>
      <c r="B25" s="1290"/>
      <c r="C25" s="2809"/>
      <c r="D25" s="2810"/>
      <c r="E25" s="2809"/>
      <c r="F25" s="2809"/>
      <c r="G25" s="2809"/>
      <c r="H25" s="2809"/>
      <c r="I25" s="2809"/>
      <c r="J25" s="2809"/>
      <c r="K25" s="2892"/>
      <c r="L25" s="2892"/>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8" t="s">
        <v>717</v>
      </c>
      <c r="B26" s="2821" t="s">
        <v>718</v>
      </c>
      <c r="C26" s="2822" t="s">
        <v>719</v>
      </c>
      <c r="D26" s="2810"/>
      <c r="E26" s="2809"/>
      <c r="F26" s="2809"/>
      <c r="G26" s="2809"/>
      <c r="H26" s="2809"/>
      <c r="I26" s="2809"/>
      <c r="J26" s="2809"/>
      <c r="K26" s="2892"/>
      <c r="L26" s="2892"/>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3" t="s">
        <v>720</v>
      </c>
      <c r="B27" s="2824"/>
      <c r="C27" s="2825" t="s">
        <v>721</v>
      </c>
      <c r="D27" s="2826"/>
      <c r="E27" s="1135"/>
      <c r="F27" s="1135"/>
      <c r="G27" s="2809"/>
      <c r="H27" s="2809"/>
      <c r="I27" s="2809"/>
      <c r="J27" s="2809"/>
      <c r="K27" s="2892"/>
      <c r="L27" s="2892"/>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7" t="s">
        <v>722</v>
      </c>
      <c r="B28" s="2828">
        <v>200</v>
      </c>
      <c r="C28" s="2829"/>
      <c r="D28" s="2826"/>
      <c r="E28" s="1135"/>
      <c r="F28" s="1135"/>
      <c r="G28" s="2809"/>
      <c r="H28" s="2809"/>
      <c r="I28" s="2809"/>
      <c r="J28" s="2809"/>
      <c r="K28" s="2892"/>
      <c r="L28" s="2892"/>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0" t="s">
        <v>723</v>
      </c>
      <c r="B29" s="2831"/>
      <c r="C29" s="2832" t="s">
        <v>724</v>
      </c>
      <c r="D29" s="2826"/>
      <c r="E29" s="1135"/>
      <c r="F29" s="1135"/>
      <c r="G29" s="2809"/>
      <c r="H29" s="2809"/>
      <c r="I29" s="2809"/>
      <c r="J29" s="2809"/>
      <c r="K29" s="2892"/>
      <c r="L29" s="2892"/>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3" t="s">
        <v>725</v>
      </c>
      <c r="B30" s="2834">
        <v>200</v>
      </c>
      <c r="C30" s="2829"/>
      <c r="D30" s="2826"/>
      <c r="E30" s="1135"/>
      <c r="F30" s="1135"/>
      <c r="G30" s="2809"/>
      <c r="H30" s="2809"/>
      <c r="I30" s="2809"/>
      <c r="J30" s="2809"/>
      <c r="K30" s="2892"/>
      <c r="L30" s="2892"/>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7" t="s">
        <v>726</v>
      </c>
      <c r="B31" s="2835">
        <f>B30-B32</f>
        <v>200</v>
      </c>
      <c r="C31" s="2836"/>
      <c r="D31" s="2826"/>
      <c r="E31" s="1135"/>
      <c r="F31" s="1135"/>
      <c r="G31" s="2809"/>
      <c r="H31" s="2809"/>
      <c r="I31" s="2809"/>
      <c r="J31" s="2809"/>
      <c r="K31" s="2892"/>
      <c r="L31" s="2892"/>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7" t="s">
        <v>727</v>
      </c>
      <c r="B32" s="2838">
        <v>0</v>
      </c>
      <c r="C32" s="2829"/>
      <c r="D32" s="2810"/>
      <c r="E32" s="2809"/>
      <c r="F32" s="2809"/>
      <c r="G32" s="2809"/>
      <c r="H32" s="2809"/>
      <c r="I32" s="2809"/>
      <c r="J32" s="2809"/>
      <c r="K32" s="2892"/>
      <c r="L32" s="2892"/>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3" t="s">
        <v>728</v>
      </c>
      <c r="B33" s="2839">
        <v>0.07</v>
      </c>
      <c r="C33" s="2840" t="s">
        <v>729</v>
      </c>
      <c r="D33" s="2810"/>
      <c r="E33" s="2809"/>
      <c r="F33" s="2809"/>
      <c r="G33" s="2809"/>
      <c r="H33" s="2809"/>
      <c r="I33" s="2809"/>
      <c r="J33" s="2809"/>
      <c r="K33" s="2892"/>
      <c r="L33" s="2892"/>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7" t="s">
        <v>730</v>
      </c>
      <c r="B34" s="2841">
        <v>0</v>
      </c>
      <c r="C34" s="2840" t="s">
        <v>731</v>
      </c>
      <c r="D34" s="2842" t="s">
        <v>732</v>
      </c>
      <c r="E34" s="2806"/>
      <c r="F34" s="2809"/>
      <c r="G34" s="2809"/>
      <c r="H34" s="2809"/>
      <c r="I34" s="2809"/>
      <c r="J34" s="2809"/>
      <c r="K34" s="2892"/>
      <c r="L34" s="2892"/>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7" t="s">
        <v>733</v>
      </c>
      <c r="B35" s="2828">
        <v>200</v>
      </c>
      <c r="C35" s="2840" t="s">
        <v>734</v>
      </c>
      <c r="D35" s="2826"/>
      <c r="E35" s="1135"/>
      <c r="F35" s="1135"/>
      <c r="G35" s="2809"/>
      <c r="H35" s="2809"/>
      <c r="I35" s="2809"/>
      <c r="J35" s="2809"/>
      <c r="K35" s="2892"/>
      <c r="L35" s="2892"/>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0" t="s">
        <v>735</v>
      </c>
      <c r="B36" s="2843">
        <v>0.02</v>
      </c>
      <c r="C36" s="2840" t="s">
        <v>736</v>
      </c>
      <c r="D36" s="2810"/>
      <c r="E36" s="2809"/>
      <c r="F36" s="2809"/>
      <c r="G36" s="2809"/>
      <c r="H36" s="2809"/>
      <c r="I36" s="2809"/>
      <c r="J36" s="2809"/>
      <c r="K36" s="2892"/>
      <c r="L36" s="2892"/>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3" t="s">
        <v>737</v>
      </c>
      <c r="B37" s="2844">
        <v>0.02</v>
      </c>
      <c r="C37" s="2840" t="s">
        <v>738</v>
      </c>
      <c r="D37" s="2810"/>
      <c r="E37" s="2809"/>
      <c r="F37" s="2809"/>
      <c r="G37" s="2809"/>
      <c r="H37" s="2809"/>
      <c r="I37" s="2809"/>
      <c r="J37" s="2809"/>
      <c r="K37" s="2892"/>
      <c r="L37" s="2892"/>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7" t="s">
        <v>739</v>
      </c>
      <c r="B38" s="2841">
        <v>0.02</v>
      </c>
      <c r="C38" s="2840" t="s">
        <v>740</v>
      </c>
      <c r="D38" s="2810"/>
      <c r="E38" s="2809"/>
      <c r="F38" s="2809"/>
      <c r="G38" s="2809"/>
      <c r="H38" s="2809"/>
      <c r="I38" s="2809"/>
      <c r="J38" s="2809"/>
      <c r="K38" s="2892"/>
      <c r="L38" s="2892"/>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7" t="s">
        <v>741</v>
      </c>
      <c r="B39" s="2845">
        <f ca="1">存贷款利率!I1</f>
        <v>0.015</v>
      </c>
      <c r="C39" s="2846"/>
      <c r="D39" s="2810"/>
      <c r="E39" s="2809"/>
      <c r="F39" s="2809"/>
      <c r="G39" s="2809"/>
      <c r="H39" s="2809"/>
      <c r="I39" s="2809"/>
      <c r="J39" s="2809"/>
      <c r="K39" s="2892"/>
      <c r="L39" s="2892"/>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7" t="s">
        <v>742</v>
      </c>
      <c r="B40" s="2848">
        <f ca="1">IF(A40="利息：取LPR",存贷款利率!G1,存贷款利率!G1+C40)</f>
        <v>0.03</v>
      </c>
      <c r="C40" s="2849">
        <v>0.005</v>
      </c>
      <c r="D40" s="2569"/>
      <c r="E40" s="2810"/>
      <c r="F40" s="2809"/>
      <c r="G40" s="2809"/>
      <c r="H40" s="2809"/>
      <c r="I40" s="2809"/>
      <c r="J40" s="2809"/>
      <c r="K40" s="2892"/>
      <c r="L40" s="2892"/>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3" t="s">
        <v>743</v>
      </c>
      <c r="B41" s="2850">
        <f>B42+B43</f>
        <v>0.055</v>
      </c>
      <c r="C41" s="2836"/>
      <c r="D41" s="2569"/>
      <c r="E41" s="2810"/>
      <c r="F41" s="2809"/>
      <c r="G41" s="2809"/>
      <c r="H41" s="2809"/>
      <c r="I41" s="2809"/>
      <c r="J41" s="2809"/>
      <c r="K41" s="2892"/>
      <c r="L41" s="2892"/>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1" t="s">
        <v>744</v>
      </c>
      <c r="B42" s="2852">
        <v>0.05</v>
      </c>
      <c r="C42" s="2853">
        <f>IF(B2&lt;DATE(2016,5,1),0,B42)</f>
        <v>0.05</v>
      </c>
      <c r="D42" s="2810"/>
      <c r="E42" s="2809"/>
      <c r="F42" s="2809"/>
      <c r="G42" s="2809"/>
      <c r="H42" s="2809"/>
      <c r="I42" s="2809"/>
      <c r="J42" s="2809"/>
      <c r="K42" s="2892"/>
      <c r="L42" s="2892"/>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1" t="s">
        <v>745</v>
      </c>
      <c r="B43" s="2854">
        <f>B42*(B44+B45+B46)+B47</f>
        <v>0.005</v>
      </c>
      <c r="C43" s="2836"/>
      <c r="D43" s="2810"/>
      <c r="E43" s="2809"/>
      <c r="F43" s="2809"/>
      <c r="G43" s="2809"/>
      <c r="H43" s="2809"/>
      <c r="I43" s="2809"/>
      <c r="J43" s="2809"/>
      <c r="K43" s="2892"/>
      <c r="L43" s="2892"/>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5" t="s">
        <v>746</v>
      </c>
      <c r="B44" s="2856">
        <v>0.05</v>
      </c>
      <c r="C44" s="2840" t="s">
        <v>747</v>
      </c>
      <c r="D44" s="2810"/>
      <c r="E44" s="2809"/>
      <c r="F44" s="2809"/>
      <c r="G44" s="2809"/>
      <c r="H44" s="2809"/>
      <c r="I44" s="2809"/>
      <c r="J44" s="2809"/>
      <c r="K44" s="2892"/>
      <c r="L44" s="2892"/>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5" t="s">
        <v>748</v>
      </c>
      <c r="B45" s="2852">
        <v>0.03</v>
      </c>
      <c r="C45" s="2832" t="s">
        <v>749</v>
      </c>
      <c r="D45" s="2810"/>
      <c r="E45" s="2809"/>
      <c r="F45" s="2809"/>
      <c r="G45" s="2809"/>
      <c r="H45" s="2809"/>
      <c r="I45" s="2809"/>
      <c r="J45" s="2809"/>
      <c r="K45" s="2892"/>
      <c r="L45" s="2892"/>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5" t="s">
        <v>750</v>
      </c>
      <c r="B46" s="2852">
        <v>0.02</v>
      </c>
      <c r="C46" s="2832" t="s">
        <v>751</v>
      </c>
      <c r="D46" s="2810"/>
      <c r="E46" s="2809"/>
      <c r="F46" s="2809"/>
      <c r="G46" s="2809"/>
      <c r="H46" s="2809"/>
      <c r="I46" s="2809"/>
      <c r="J46" s="2809"/>
      <c r="K46" s="2892"/>
      <c r="L46" s="2892"/>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7" t="s">
        <v>752</v>
      </c>
      <c r="B47" s="2858"/>
      <c r="C47" s="2859" t="s">
        <v>753</v>
      </c>
      <c r="D47" s="2810"/>
      <c r="E47" s="2809"/>
      <c r="F47" s="2809"/>
      <c r="G47" s="2809"/>
      <c r="H47" s="2809"/>
      <c r="I47" s="2809"/>
      <c r="J47" s="2809"/>
      <c r="K47" s="2892"/>
      <c r="L47" s="2892"/>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0" t="s">
        <v>754</v>
      </c>
      <c r="B48" s="2861">
        <v>0.03</v>
      </c>
      <c r="C48" s="2832" t="s">
        <v>749</v>
      </c>
      <c r="D48" s="2810"/>
      <c r="E48" s="2809"/>
      <c r="F48" s="2809"/>
      <c r="G48" s="2809"/>
      <c r="H48" s="2809"/>
      <c r="I48" s="2809"/>
      <c r="J48" s="2809"/>
      <c r="K48" s="2892"/>
      <c r="L48" s="2892"/>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7" t="s">
        <v>755</v>
      </c>
      <c r="B49" s="2852">
        <v>0.0005</v>
      </c>
      <c r="C49" s="2832" t="s">
        <v>756</v>
      </c>
      <c r="D49" s="2810"/>
      <c r="E49" s="2809"/>
      <c r="F49" s="2809"/>
      <c r="G49" s="2809"/>
      <c r="H49" s="2809"/>
      <c r="I49" s="2809"/>
      <c r="J49" s="2809"/>
      <c r="K49" s="2892"/>
      <c r="L49" s="2892"/>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2" t="s">
        <v>757</v>
      </c>
      <c r="B50" s="2863">
        <v>0.012</v>
      </c>
      <c r="C50" s="1135"/>
      <c r="D50" s="2810"/>
      <c r="E50" s="2809"/>
      <c r="F50" s="2809"/>
      <c r="G50" s="2809"/>
      <c r="H50" s="2809"/>
      <c r="I50" s="2809"/>
      <c r="J50" s="2809"/>
      <c r="K50" s="2892"/>
      <c r="L50" s="2892"/>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0" t="s">
        <v>758</v>
      </c>
      <c r="B51" s="2864">
        <v>0.12</v>
      </c>
      <c r="C51" s="1135"/>
      <c r="D51" s="2810"/>
      <c r="E51" s="2809"/>
      <c r="F51" s="2809"/>
      <c r="G51" s="2809"/>
      <c r="H51" s="2809"/>
      <c r="I51" s="2809"/>
      <c r="J51" s="2809"/>
      <c r="K51" s="2892"/>
      <c r="L51" s="2892"/>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2" t="s">
        <v>759</v>
      </c>
      <c r="B52" s="2865">
        <f>SUMIF(A54:A63,B53,B54:B63)</f>
        <v>0</v>
      </c>
      <c r="C52" s="1135"/>
      <c r="D52" s="2810"/>
      <c r="E52" s="2809"/>
      <c r="F52" s="2809"/>
      <c r="G52" s="2809"/>
      <c r="H52" s="2809"/>
      <c r="I52" s="2809"/>
      <c r="J52" s="2809"/>
      <c r="K52" s="2892"/>
      <c r="L52" s="2892"/>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7" t="s">
        <v>760</v>
      </c>
      <c r="B53" s="2866" t="s">
        <v>295</v>
      </c>
      <c r="C53" s="1135" t="s">
        <v>761</v>
      </c>
      <c r="D53" s="2867" t="s">
        <v>762</v>
      </c>
      <c r="E53" s="2809"/>
      <c r="F53" s="2809"/>
      <c r="G53" s="2809"/>
      <c r="H53" s="2809"/>
      <c r="I53" s="2809"/>
      <c r="J53" s="2809"/>
      <c r="K53" s="2892"/>
      <c r="L53" s="2892"/>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8" t="s">
        <v>763</v>
      </c>
      <c r="B54" s="2869"/>
      <c r="C54" s="1135">
        <v>30</v>
      </c>
      <c r="D54" s="2810"/>
      <c r="E54" s="2809"/>
      <c r="F54" s="2809"/>
      <c r="G54" s="2809"/>
      <c r="H54" s="2809"/>
      <c r="I54" s="2809"/>
      <c r="J54" s="2809"/>
      <c r="K54" s="2892"/>
      <c r="L54" s="2892"/>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8" t="s">
        <v>764</v>
      </c>
      <c r="B55" s="2869"/>
      <c r="C55" s="1135">
        <v>24</v>
      </c>
      <c r="D55" s="2810"/>
      <c r="E55" s="2809"/>
      <c r="F55" s="2809"/>
      <c r="G55" s="2809"/>
      <c r="H55" s="2809"/>
      <c r="I55" s="2809"/>
      <c r="J55" s="2809"/>
      <c r="K55" s="2892"/>
      <c r="L55" s="2892"/>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8" t="s">
        <v>765</v>
      </c>
      <c r="B56" s="2869"/>
      <c r="C56" s="1135">
        <v>18</v>
      </c>
      <c r="D56" s="2810"/>
      <c r="E56" s="2809"/>
      <c r="F56" s="2809"/>
      <c r="G56" s="2809"/>
      <c r="H56" s="2809"/>
      <c r="I56" s="2809"/>
      <c r="J56" s="2809"/>
      <c r="K56" s="2892"/>
      <c r="L56" s="2892"/>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8" t="s">
        <v>766</v>
      </c>
      <c r="B57" s="2869"/>
      <c r="C57" s="1135">
        <v>12</v>
      </c>
      <c r="D57" s="2810"/>
      <c r="E57" s="2809"/>
      <c r="F57" s="2809"/>
      <c r="G57" s="2809"/>
      <c r="H57" s="2809"/>
      <c r="I57" s="2809"/>
      <c r="J57" s="2809"/>
      <c r="K57" s="2892"/>
      <c r="L57" s="2892"/>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8" t="s">
        <v>767</v>
      </c>
      <c r="B58" s="2869"/>
      <c r="C58" s="1135">
        <v>3</v>
      </c>
      <c r="D58" s="2810"/>
      <c r="E58" s="2809"/>
      <c r="F58" s="2809"/>
      <c r="G58" s="2809"/>
      <c r="H58" s="2809"/>
      <c r="I58" s="2809"/>
      <c r="J58" s="2809"/>
      <c r="K58" s="2892"/>
      <c r="L58" s="2892"/>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8" t="s">
        <v>768</v>
      </c>
      <c r="B59" s="2869"/>
      <c r="C59" s="1135">
        <v>1.5</v>
      </c>
      <c r="D59" s="2810"/>
      <c r="E59" s="2809"/>
      <c r="F59" s="2809"/>
      <c r="G59" s="2809"/>
      <c r="H59" s="2809"/>
      <c r="I59" s="2809"/>
      <c r="J59" s="2809"/>
      <c r="K59" s="2892"/>
      <c r="L59" s="2892"/>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8" t="s">
        <v>769</v>
      </c>
      <c r="B60" s="2869"/>
      <c r="C60" s="2809"/>
      <c r="D60" s="2810"/>
      <c r="E60" s="2809"/>
      <c r="F60" s="2809"/>
      <c r="G60" s="2809"/>
      <c r="H60" s="2809"/>
      <c r="I60" s="2809"/>
      <c r="J60" s="2809"/>
      <c r="K60" s="2892"/>
      <c r="L60" s="2892"/>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8" t="s">
        <v>770</v>
      </c>
      <c r="B61" s="2869"/>
      <c r="C61" s="2809"/>
      <c r="D61" s="2810"/>
      <c r="E61" s="2809"/>
      <c r="F61" s="2809"/>
      <c r="G61" s="2809"/>
      <c r="H61" s="2809"/>
      <c r="I61" s="2809"/>
      <c r="J61" s="2809"/>
      <c r="K61" s="2892"/>
      <c r="L61" s="2892"/>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8" t="s">
        <v>771</v>
      </c>
      <c r="B62" s="2869"/>
      <c r="C62" s="2809"/>
      <c r="D62" s="2810"/>
      <c r="E62" s="2809"/>
      <c r="F62" s="2809"/>
      <c r="G62" s="2809"/>
      <c r="H62" s="2809"/>
      <c r="I62" s="2809"/>
      <c r="J62" s="2809"/>
      <c r="K62" s="2892"/>
      <c r="L62" s="2892"/>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0" t="s">
        <v>772</v>
      </c>
      <c r="B63" s="2871"/>
      <c r="C63" s="2809"/>
      <c r="D63" s="2810"/>
      <c r="E63" s="2809"/>
      <c r="F63" s="2809"/>
      <c r="G63" s="2809"/>
      <c r="H63" s="2809"/>
      <c r="I63" s="2809"/>
      <c r="J63" s="2809"/>
      <c r="K63" s="2892"/>
      <c r="L63" s="2892"/>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2"/>
      <c r="B64" s="2569"/>
      <c r="C64" s="2569"/>
      <c r="D64" s="2807"/>
      <c r="E64" s="2569"/>
      <c r="F64" s="2569"/>
      <c r="G64" s="2569"/>
      <c r="H64" s="2569"/>
      <c r="I64" s="2569"/>
      <c r="J64" s="2569"/>
      <c r="K64" s="2892"/>
      <c r="L64" s="2892"/>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2"/>
      <c r="B65" s="2569"/>
      <c r="C65" s="2569"/>
      <c r="D65" s="2807"/>
      <c r="E65" s="2569"/>
      <c r="F65" s="2569"/>
      <c r="G65" s="2569"/>
      <c r="H65" s="2569"/>
      <c r="I65" s="2569"/>
      <c r="J65" s="2569"/>
      <c r="K65" s="2892"/>
      <c r="L65" s="2892"/>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2"/>
      <c r="B66" s="2569"/>
      <c r="C66" s="2569"/>
      <c r="D66" s="2807"/>
      <c r="E66" s="2569"/>
      <c r="F66" s="2569"/>
      <c r="G66" s="2569"/>
      <c r="H66" s="2569"/>
      <c r="I66" s="2569"/>
      <c r="J66" s="2569"/>
      <c r="K66" s="2892"/>
      <c r="L66" s="2892"/>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2"/>
      <c r="B67" s="2569"/>
      <c r="C67" s="2569"/>
      <c r="D67" s="2807"/>
      <c r="E67" s="2569"/>
      <c r="F67" s="2569"/>
      <c r="G67" s="2569"/>
      <c r="H67" s="2569"/>
      <c r="I67" s="2569"/>
      <c r="J67" s="2569"/>
      <c r="K67" s="2892"/>
      <c r="L67" s="2892"/>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2"/>
      <c r="B68" s="2569"/>
      <c r="C68" s="2569"/>
      <c r="D68" s="2807"/>
      <c r="E68" s="2569"/>
      <c r="F68" s="2569"/>
      <c r="G68" s="2569"/>
      <c r="H68" s="2569"/>
      <c r="I68" s="2569"/>
      <c r="J68" s="2569"/>
      <c r="K68" s="2892"/>
      <c r="L68" s="2892"/>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8"/>
      <c r="K69" s="631"/>
      <c r="L69" s="631"/>
    </row>
    <row r="70" s="534" customFormat="1" spans="1:12">
      <c r="A70" s="1618"/>
      <c r="D70" s="2948"/>
      <c r="K70" s="631"/>
      <c r="L70" s="631"/>
    </row>
    <row r="71" s="534" customFormat="1" spans="1:12">
      <c r="A71" s="1618"/>
      <c r="D71" s="2948"/>
      <c r="K71" s="631"/>
      <c r="L71" s="631"/>
    </row>
    <row r="72" s="534" customFormat="1" spans="1:12">
      <c r="A72" s="1618"/>
      <c r="D72" s="2948"/>
      <c r="K72" s="631"/>
      <c r="L72" s="631"/>
    </row>
    <row r="73" s="534" customFormat="1" spans="1:12">
      <c r="A73" s="1618"/>
      <c r="D73" s="2948"/>
      <c r="K73" s="631"/>
      <c r="L73" s="631"/>
    </row>
    <row r="74" s="534" customFormat="1" spans="1:12">
      <c r="A74" s="1618"/>
      <c r="D74" s="2948"/>
      <c r="K74" s="631"/>
      <c r="L74" s="631"/>
    </row>
    <row r="75" s="534" customFormat="1" spans="1:12">
      <c r="A75" s="1618"/>
      <c r="D75" s="2948"/>
      <c r="K75" s="631"/>
      <c r="L75" s="631"/>
    </row>
    <row r="76" s="534" customFormat="1" spans="1:12">
      <c r="A76" s="1618"/>
      <c r="D76" s="2948"/>
      <c r="K76" s="631"/>
      <c r="L76" s="631"/>
    </row>
    <row r="77" s="534" customFormat="1" spans="1:12">
      <c r="A77" s="1618"/>
      <c r="D77" s="2948"/>
      <c r="K77" s="631"/>
      <c r="L77" s="631"/>
    </row>
    <row r="78" s="534" customFormat="1" spans="1:12">
      <c r="A78" s="1618"/>
      <c r="D78" s="2948"/>
      <c r="K78" s="631"/>
      <c r="L78" s="631"/>
    </row>
    <row r="79" s="534" customFormat="1" spans="1:12">
      <c r="A79" s="1618"/>
      <c r="D79" s="2948"/>
      <c r="K79" s="631"/>
      <c r="L79" s="631"/>
    </row>
    <row r="80" s="534" customFormat="1" spans="1:12">
      <c r="A80" s="1618"/>
      <c r="D80" s="2948"/>
      <c r="K80" s="631"/>
      <c r="L80" s="631"/>
    </row>
    <row r="81" s="534" customFormat="1" spans="1:12">
      <c r="A81" s="1618"/>
      <c r="D81" s="2948"/>
      <c r="K81" s="631"/>
      <c r="L81" s="631"/>
    </row>
    <row r="82" s="534" customFormat="1" spans="1:12">
      <c r="A82" s="1618"/>
      <c r="D82" s="2948"/>
      <c r="K82" s="631"/>
      <c r="L82" s="631"/>
    </row>
    <row r="83" s="534" customFormat="1" spans="1:12">
      <c r="A83" s="1618"/>
      <c r="D83" s="2948"/>
      <c r="K83" s="631"/>
      <c r="L83" s="631"/>
    </row>
    <row r="84" s="534" customFormat="1" spans="1:12">
      <c r="A84" s="1618"/>
      <c r="D84" s="2948"/>
      <c r="K84" s="631"/>
      <c r="L84" s="631"/>
    </row>
    <row r="85" s="534" customFormat="1" spans="1:12">
      <c r="A85" s="1618"/>
      <c r="D85" s="2948"/>
      <c r="K85" s="631"/>
      <c r="L85" s="631"/>
    </row>
    <row r="86" s="534" customFormat="1" spans="1:12">
      <c r="A86" s="1618"/>
      <c r="D86" s="2948"/>
      <c r="K86" s="631"/>
      <c r="L86" s="631"/>
    </row>
    <row r="87" s="534" customFormat="1" spans="1:12">
      <c r="A87" s="1618"/>
      <c r="D87" s="2948"/>
      <c r="K87" s="631"/>
      <c r="L87" s="631"/>
    </row>
    <row r="88" s="534" customFormat="1" spans="1:12">
      <c r="A88" s="1618"/>
      <c r="D88" s="2948"/>
      <c r="K88" s="631"/>
      <c r="L88" s="631"/>
    </row>
    <row r="89" s="534" customFormat="1" spans="1:12">
      <c r="A89" s="1618"/>
      <c r="D89" s="2948"/>
      <c r="K89" s="631"/>
      <c r="L89" s="631"/>
    </row>
    <row r="90" s="534" customFormat="1" spans="1:12">
      <c r="A90" s="1618"/>
      <c r="D90" s="2948"/>
      <c r="K90" s="631"/>
      <c r="L90" s="631"/>
    </row>
    <row r="91" s="534" customFormat="1" spans="1:12">
      <c r="A91" s="1618"/>
      <c r="D91" s="2948"/>
      <c r="K91" s="631"/>
      <c r="L91" s="631"/>
    </row>
    <row r="92" s="534" customFormat="1" spans="1:12">
      <c r="A92" s="1618"/>
      <c r="D92" s="2948"/>
      <c r="K92" s="631"/>
      <c r="L92" s="631"/>
    </row>
    <row r="93" s="534" customFormat="1" spans="1:12">
      <c r="A93" s="1618"/>
      <c r="D93" s="2948"/>
      <c r="K93" s="631"/>
      <c r="L93" s="631"/>
    </row>
    <row r="94" s="534" customFormat="1" spans="1:12">
      <c r="A94" s="1618"/>
      <c r="D94" s="2948"/>
      <c r="K94" s="631"/>
      <c r="L94" s="631"/>
    </row>
    <row r="95" s="534" customFormat="1" spans="1:12">
      <c r="A95" s="1618"/>
      <c r="D95" s="2948"/>
      <c r="K95" s="631"/>
      <c r="L95" s="631"/>
    </row>
    <row r="96" s="534" customFormat="1" spans="1:12">
      <c r="A96" s="1618"/>
      <c r="D96" s="2948"/>
      <c r="K96" s="631"/>
      <c r="L96" s="631"/>
    </row>
    <row r="97" s="534" customFormat="1" spans="1:12">
      <c r="A97" s="1618"/>
      <c r="D97" s="2948"/>
      <c r="K97" s="631"/>
      <c r="L97" s="631"/>
    </row>
    <row r="98" s="534" customFormat="1" spans="1:12">
      <c r="A98" s="1618"/>
      <c r="D98" s="2948"/>
      <c r="K98" s="631"/>
      <c r="L98" s="631"/>
    </row>
    <row r="99" s="534" customFormat="1" spans="1:12">
      <c r="A99" s="1618"/>
      <c r="D99" s="2948"/>
      <c r="K99" s="631"/>
      <c r="L99" s="631"/>
    </row>
    <row r="100" s="534" customFormat="1" spans="1:12">
      <c r="A100" s="1618"/>
      <c r="D100" s="2948"/>
      <c r="K100" s="631"/>
      <c r="L100" s="631"/>
    </row>
    <row r="101" s="534" customFormat="1" spans="1:12">
      <c r="A101" s="1618"/>
      <c r="D101" s="2948"/>
      <c r="K101" s="631"/>
      <c r="L101" s="631"/>
    </row>
    <row r="102" s="534" customFormat="1" spans="1:12">
      <c r="A102" s="1618"/>
      <c r="D102" s="2948"/>
      <c r="K102" s="631"/>
      <c r="L102" s="631"/>
    </row>
    <row r="103" s="534" customFormat="1" spans="1:12">
      <c r="A103" s="1618"/>
      <c r="D103" s="2948"/>
      <c r="K103" s="631"/>
      <c r="L103" s="631"/>
    </row>
    <row r="104" s="534" customFormat="1" spans="1:12">
      <c r="A104" s="1618"/>
      <c r="D104" s="2948"/>
      <c r="K104" s="631"/>
      <c r="L104" s="631"/>
    </row>
    <row r="105" s="534" customFormat="1" spans="1:12">
      <c r="A105" s="1618"/>
      <c r="D105" s="2948"/>
      <c r="K105" s="631"/>
      <c r="L105" s="631"/>
    </row>
    <row r="106" s="534" customFormat="1" spans="1:12">
      <c r="A106" s="1618"/>
      <c r="D106" s="2948"/>
      <c r="K106" s="631"/>
      <c r="L106" s="631"/>
    </row>
    <row r="107" s="534" customFormat="1" spans="1:12">
      <c r="A107" s="1618"/>
      <c r="D107" s="2948"/>
      <c r="K107" s="631"/>
      <c r="L107" s="631"/>
    </row>
    <row r="108" s="534" customFormat="1" spans="1:12">
      <c r="A108" s="1618"/>
      <c r="D108" s="2948"/>
      <c r="K108" s="631"/>
      <c r="L108" s="631"/>
    </row>
    <row r="109" s="534" customFormat="1" spans="1:12">
      <c r="A109" s="1618"/>
      <c r="D109" s="2948"/>
      <c r="K109" s="631"/>
      <c r="L109" s="631"/>
    </row>
    <row r="110" s="534" customFormat="1" spans="1:12">
      <c r="A110" s="1618"/>
      <c r="D110" s="2948"/>
      <c r="K110" s="631"/>
      <c r="L110" s="631"/>
    </row>
    <row r="111" s="534" customFormat="1" spans="1:12">
      <c r="A111" s="1618"/>
      <c r="D111" s="2948"/>
      <c r="K111" s="631"/>
      <c r="L111" s="631"/>
    </row>
    <row r="112" s="534" customFormat="1" spans="1:12">
      <c r="A112" s="1618"/>
      <c r="D112" s="2948"/>
      <c r="K112" s="631"/>
      <c r="L112" s="631"/>
    </row>
    <row r="113" s="534" customFormat="1" spans="1:12">
      <c r="A113" s="1618"/>
      <c r="D113" s="2948"/>
      <c r="K113" s="631"/>
      <c r="L113" s="631"/>
    </row>
    <row r="114" s="534" customFormat="1" spans="1:12">
      <c r="A114" s="1618"/>
      <c r="D114" s="2948"/>
      <c r="K114" s="631"/>
      <c r="L114" s="631"/>
    </row>
    <row r="115" s="534" customFormat="1" spans="1:12">
      <c r="A115" s="1618"/>
      <c r="D115" s="2948"/>
      <c r="K115" s="631"/>
      <c r="L115" s="631"/>
    </row>
    <row r="116" s="534" customFormat="1" spans="1:12">
      <c r="A116" s="1618"/>
      <c r="D116" s="2948"/>
      <c r="K116" s="631"/>
      <c r="L116" s="631"/>
    </row>
    <row r="117" s="534" customFormat="1" spans="1:12">
      <c r="A117" s="1618"/>
      <c r="D117" s="2948"/>
      <c r="K117" s="631"/>
      <c r="L117" s="631"/>
    </row>
    <row r="118" s="534" customFormat="1" spans="1:12">
      <c r="A118" s="1618"/>
      <c r="D118" s="2948"/>
      <c r="K118" s="631"/>
      <c r="L118" s="631"/>
    </row>
    <row r="119" s="534" customFormat="1" spans="1:12">
      <c r="A119" s="1618"/>
      <c r="D119" s="2948"/>
      <c r="K119" s="631"/>
      <c r="L119" s="631"/>
    </row>
    <row r="120" s="534" customFormat="1" spans="1:12">
      <c r="A120" s="1618"/>
      <c r="D120" s="2948"/>
      <c r="K120" s="631"/>
      <c r="L120" s="631"/>
    </row>
    <row r="121" s="534" customFormat="1" spans="1:12">
      <c r="A121" s="1618"/>
      <c r="D121" s="2948"/>
      <c r="K121" s="631"/>
      <c r="L121" s="631"/>
    </row>
    <row r="122" s="534" customFormat="1" spans="1:12">
      <c r="A122" s="1618"/>
      <c r="D122" s="2948"/>
      <c r="K122" s="631"/>
      <c r="L122" s="631"/>
    </row>
    <row r="123" s="534" customFormat="1" spans="1:12">
      <c r="A123" s="1618"/>
      <c r="D123" s="2948"/>
      <c r="K123" s="631"/>
      <c r="L123" s="631"/>
    </row>
    <row r="124" s="534" customFormat="1" spans="1:12">
      <c r="A124" s="1618"/>
      <c r="D124" s="2948"/>
      <c r="K124" s="631"/>
      <c r="L124" s="631"/>
    </row>
    <row r="125" s="534" customFormat="1" spans="1:12">
      <c r="A125" s="1618"/>
      <c r="D125" s="2948"/>
      <c r="K125" s="631"/>
      <c r="L125" s="631"/>
    </row>
    <row r="126" s="534" customFormat="1" spans="1:12">
      <c r="A126" s="1618"/>
      <c r="D126" s="2948"/>
      <c r="K126" s="631"/>
      <c r="L126" s="631"/>
    </row>
    <row r="127" s="534" customFormat="1" spans="1:12">
      <c r="A127" s="1618"/>
      <c r="D127" s="2948"/>
      <c r="K127" s="631"/>
      <c r="L127" s="631"/>
    </row>
    <row r="128" s="534" customFormat="1" spans="1:12">
      <c r="A128" s="1618"/>
      <c r="D128" s="2948"/>
      <c r="K128" s="631"/>
      <c r="L128" s="631"/>
    </row>
    <row r="129" s="534" customFormat="1" spans="1:12">
      <c r="A129" s="1618"/>
      <c r="D129" s="2948"/>
      <c r="K129" s="631"/>
      <c r="L129" s="631"/>
    </row>
    <row r="130" s="534" customFormat="1" spans="1:12">
      <c r="A130" s="1618"/>
      <c r="D130" s="2948"/>
      <c r="K130" s="631"/>
      <c r="L130" s="631"/>
    </row>
    <row r="131" s="534" customFormat="1" spans="1:12">
      <c r="A131" s="1618"/>
      <c r="D131" s="2948"/>
      <c r="K131" s="631"/>
      <c r="L131" s="631"/>
    </row>
    <row r="132" s="534" customFormat="1" spans="1:12">
      <c r="A132" s="1618"/>
      <c r="D132" s="2948"/>
      <c r="K132" s="631"/>
      <c r="L132" s="631"/>
    </row>
    <row r="133" s="534" customFormat="1" spans="1:12">
      <c r="A133" s="1618"/>
      <c r="D133" s="2948"/>
      <c r="K133" s="631"/>
      <c r="L133" s="631"/>
    </row>
    <row r="134" s="533" customFormat="1" spans="1:12">
      <c r="A134" s="2949"/>
      <c r="D134" s="2950"/>
      <c r="K134" s="530"/>
      <c r="L134" s="530"/>
    </row>
    <row r="135" s="533" customFormat="1" spans="1:12">
      <c r="A135" s="2949"/>
      <c r="D135" s="2950"/>
      <c r="K135" s="530"/>
      <c r="L135" s="530"/>
    </row>
    <row r="136" s="533" customFormat="1" spans="1:12">
      <c r="A136" s="2949"/>
      <c r="D136" s="2950"/>
      <c r="K136" s="530"/>
      <c r="L136" s="530"/>
    </row>
    <row r="137" s="533" customFormat="1" spans="1:12">
      <c r="A137" s="2949"/>
      <c r="D137" s="2950"/>
      <c r="K137" s="530"/>
      <c r="L137" s="530"/>
    </row>
    <row r="138" s="533" customFormat="1" spans="1:12">
      <c r="A138" s="2949"/>
      <c r="D138" s="2950"/>
      <c r="K138" s="530"/>
      <c r="L138" s="530"/>
    </row>
    <row r="139" s="533" customFormat="1" spans="1:12">
      <c r="A139" s="2949"/>
      <c r="D139" s="2950"/>
      <c r="K139" s="530"/>
      <c r="L139" s="530"/>
    </row>
    <row r="140" s="533" customFormat="1" spans="1:12">
      <c r="A140" s="2949"/>
      <c r="D140" s="2950"/>
      <c r="K140" s="530"/>
      <c r="L140" s="530"/>
    </row>
    <row r="141" s="533" customFormat="1" spans="1:12">
      <c r="A141" s="2949"/>
      <c r="D141" s="2950"/>
      <c r="K141" s="530"/>
      <c r="L141" s="530"/>
    </row>
    <row r="142" s="533" customFormat="1" spans="1:12">
      <c r="A142" s="2949"/>
      <c r="D142" s="2950"/>
      <c r="K142" s="530"/>
      <c r="L142" s="530"/>
    </row>
    <row r="143" s="533" customFormat="1" spans="1:12">
      <c r="A143" s="2949"/>
      <c r="D143" s="2950"/>
      <c r="K143" s="530"/>
      <c r="L143" s="530"/>
    </row>
    <row r="144" s="533" customFormat="1" spans="1:12">
      <c r="A144" s="2949"/>
      <c r="D144" s="2950"/>
      <c r="K144" s="530"/>
      <c r="L144" s="530"/>
    </row>
    <row r="145" s="533" customFormat="1" spans="1:12">
      <c r="A145" s="2949"/>
      <c r="D145" s="2950"/>
      <c r="K145" s="530"/>
      <c r="L145" s="530"/>
    </row>
    <row r="146" s="533" customFormat="1" spans="1:12">
      <c r="A146" s="2949"/>
      <c r="D146" s="2950"/>
      <c r="K146" s="530"/>
      <c r="L146" s="530"/>
    </row>
    <row r="147" s="533" customFormat="1" spans="1:12">
      <c r="A147" s="2949"/>
      <c r="D147" s="2950"/>
      <c r="K147" s="530"/>
      <c r="L147" s="530"/>
    </row>
    <row r="148" s="533" customFormat="1" spans="1:12">
      <c r="A148" s="2949"/>
      <c r="D148" s="2950"/>
      <c r="K148" s="530"/>
      <c r="L148" s="530"/>
    </row>
    <row r="149" s="533" customFormat="1" spans="1:12">
      <c r="A149" s="2949"/>
      <c r="D149" s="2950"/>
      <c r="K149" s="530"/>
      <c r="L149" s="530"/>
    </row>
    <row r="150" s="533" customFormat="1" spans="1:12">
      <c r="A150" s="2949"/>
      <c r="D150" s="2950"/>
      <c r="K150" s="530"/>
      <c r="L150" s="530"/>
    </row>
    <row r="151" s="533" customFormat="1" spans="1:12">
      <c r="A151" s="2949"/>
      <c r="D151" s="2950"/>
      <c r="K151" s="530"/>
      <c r="L151" s="530"/>
    </row>
    <row r="152" s="533" customFormat="1" spans="1:12">
      <c r="A152" s="2949"/>
      <c r="D152" s="2950"/>
      <c r="K152" s="530"/>
      <c r="L152" s="530"/>
    </row>
    <row r="153" s="533" customFormat="1" spans="1:12">
      <c r="A153" s="2949"/>
      <c r="D153" s="2950"/>
      <c r="K153" s="530"/>
      <c r="L153" s="530"/>
    </row>
    <row r="154" s="533" customFormat="1" spans="1:12">
      <c r="A154" s="2949"/>
      <c r="D154" s="2950"/>
      <c r="K154" s="530"/>
      <c r="L154" s="530"/>
    </row>
    <row r="155" s="533" customFormat="1" spans="1:12">
      <c r="A155" s="2949"/>
      <c r="D155" s="2950"/>
      <c r="K155" s="530"/>
      <c r="L155" s="530"/>
    </row>
    <row r="156" s="533" customFormat="1" spans="1:12">
      <c r="A156" s="2949"/>
      <c r="D156" s="2950"/>
      <c r="K156" s="530"/>
      <c r="L156" s="530"/>
    </row>
    <row r="157" s="533" customFormat="1" spans="1:12">
      <c r="A157" s="2949"/>
      <c r="D157" s="2950"/>
      <c r="K157" s="530"/>
      <c r="L157" s="530"/>
    </row>
    <row r="158" s="533" customFormat="1" spans="1:12">
      <c r="A158" s="2949"/>
      <c r="D158" s="2950"/>
      <c r="K158" s="530"/>
      <c r="L158" s="530"/>
    </row>
    <row r="159" s="533" customFormat="1" spans="1:12">
      <c r="A159" s="2949"/>
      <c r="D159" s="2950"/>
      <c r="K159" s="530"/>
      <c r="L159" s="530"/>
    </row>
    <row r="160" s="533" customFormat="1" spans="1:12">
      <c r="A160" s="2949"/>
      <c r="D160" s="2950"/>
      <c r="K160" s="530"/>
      <c r="L160" s="530"/>
    </row>
    <row r="161" s="533" customFormat="1" spans="1:12">
      <c r="A161" s="2949"/>
      <c r="D161" s="2950"/>
      <c r="K161" s="530"/>
      <c r="L161" s="530"/>
    </row>
    <row r="162" s="533" customFormat="1" spans="1:12">
      <c r="A162" s="2949"/>
      <c r="D162" s="2950"/>
      <c r="K162" s="530"/>
      <c r="L162" s="530"/>
    </row>
    <row r="163" s="533" customFormat="1" spans="1:12">
      <c r="A163" s="2949"/>
      <c r="D163" s="2950"/>
      <c r="K163" s="530"/>
      <c r="L163" s="530"/>
    </row>
    <row r="164" s="533" customFormat="1" spans="1:12">
      <c r="A164" s="2949"/>
      <c r="D164" s="2950"/>
      <c r="K164" s="530"/>
      <c r="L164" s="530"/>
    </row>
    <row r="165" s="533" customFormat="1" spans="1:12">
      <c r="A165" s="2949"/>
      <c r="D165" s="2950"/>
      <c r="K165" s="530"/>
      <c r="L165" s="530"/>
    </row>
    <row r="166" s="533" customFormat="1" spans="1:12">
      <c r="A166" s="2949"/>
      <c r="D166" s="2950"/>
      <c r="K166" s="530"/>
      <c r="L166" s="530"/>
    </row>
    <row r="167" s="533" customFormat="1" spans="1:12">
      <c r="A167" s="2949"/>
      <c r="D167" s="2950"/>
      <c r="K167" s="530"/>
      <c r="L167" s="530"/>
    </row>
    <row r="168" s="533" customFormat="1" spans="1:12">
      <c r="A168" s="2949"/>
      <c r="D168" s="2950"/>
      <c r="K168" s="530"/>
      <c r="L168" s="530"/>
    </row>
    <row r="169" s="533" customFormat="1" spans="1:12">
      <c r="A169" s="2949"/>
      <c r="D169" s="2950"/>
      <c r="K169" s="530"/>
      <c r="L169" s="530"/>
    </row>
    <row r="170" s="533" customFormat="1" spans="1:12">
      <c r="A170" s="2949"/>
      <c r="D170" s="2950"/>
      <c r="K170" s="530"/>
      <c r="L170" s="530"/>
    </row>
    <row r="171" s="533" customFormat="1" spans="1:12">
      <c r="A171" s="2949"/>
      <c r="D171" s="2950"/>
      <c r="K171" s="530"/>
      <c r="L171" s="530"/>
    </row>
    <row r="172" s="533" customFormat="1" spans="1:12">
      <c r="A172" s="2949"/>
      <c r="D172" s="2950"/>
      <c r="K172" s="530"/>
      <c r="L172" s="530"/>
    </row>
    <row r="173" s="533" customFormat="1" spans="1:12">
      <c r="A173" s="2949"/>
      <c r="D173" s="2950"/>
      <c r="K173" s="530"/>
      <c r="L173" s="530"/>
    </row>
    <row r="174" s="533" customFormat="1" spans="1:12">
      <c r="A174" s="2949"/>
      <c r="D174" s="2950"/>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4" customWidth="1"/>
    <col min="2" max="3" width="24.5" style="2235" customWidth="1"/>
    <col min="4" max="4" width="2.625" style="2235" customWidth="1"/>
    <col min="5" max="5" width="5.875" style="2235" customWidth="1"/>
    <col min="6" max="7" width="27" style="2235" customWidth="1"/>
    <col min="8" max="8" width="11.875" style="2715" customWidth="1"/>
    <col min="9" max="9" width="16.75" style="2715" customWidth="1"/>
    <col min="10" max="10" width="2.625" style="2715" customWidth="1"/>
    <col min="11" max="11" width="11.875" style="2715" customWidth="1"/>
    <col min="12" max="12" width="16.75" style="2715" customWidth="1"/>
    <col min="13" max="13" width="2.625" style="2715" customWidth="1"/>
    <col min="14" max="14" width="11.875" style="2715" customWidth="1"/>
    <col min="15" max="15" width="16.75" style="2715" customWidth="1"/>
    <col min="16" max="16" width="2.625" style="2715" customWidth="1"/>
    <col min="17" max="17" width="11.875" style="2715" customWidth="1"/>
    <col min="18" max="18" width="16.75" style="2558" customWidth="1"/>
    <col min="19" max="29" width="9" style="2558"/>
    <col min="30" max="16384" width="9" style="2714"/>
  </cols>
  <sheetData>
    <row r="1" s="2713" customFormat="1" ht="18.75" spans="1:29">
      <c r="A1" s="2716" t="s">
        <v>773</v>
      </c>
      <c r="B1" s="2717"/>
      <c r="C1" s="2717"/>
      <c r="D1" s="2717"/>
      <c r="E1" s="2717"/>
      <c r="F1" s="2717"/>
      <c r="G1" s="2717"/>
      <c r="H1" s="2718"/>
      <c r="I1" s="2718"/>
      <c r="J1" s="2718"/>
      <c r="K1" s="2718"/>
      <c r="L1" s="2718"/>
      <c r="M1" s="2718"/>
      <c r="N1" s="2718"/>
      <c r="O1" s="2718"/>
      <c r="P1" s="2718"/>
      <c r="Q1" s="2769"/>
      <c r="R1" s="2770"/>
      <c r="S1" s="2770"/>
      <c r="T1" s="2770"/>
      <c r="U1" s="2770"/>
      <c r="V1" s="2770"/>
      <c r="W1" s="2770"/>
      <c r="X1" s="2770"/>
      <c r="Y1" s="2770"/>
      <c r="Z1" s="2770"/>
      <c r="AA1" s="2770"/>
      <c r="AB1" s="2770"/>
      <c r="AC1" s="2770"/>
    </row>
    <row r="2" ht="15" spans="1:17">
      <c r="A2" s="2719"/>
      <c r="B2" s="2720"/>
      <c r="C2" s="2721" t="s">
        <v>774</v>
      </c>
      <c r="D2" s="2722"/>
      <c r="E2" s="2719"/>
      <c r="F2" s="2723"/>
      <c r="G2" s="2721" t="s">
        <v>775</v>
      </c>
      <c r="H2" s="2558"/>
      <c r="I2" s="2558"/>
      <c r="J2" s="2558"/>
      <c r="K2" s="2558"/>
      <c r="L2" s="2558"/>
      <c r="M2" s="2558"/>
      <c r="N2" s="2558"/>
      <c r="O2" s="2558"/>
      <c r="P2" s="2558"/>
      <c r="Q2" s="2558"/>
    </row>
    <row r="3" ht="48" spans="1:17">
      <c r="A3" s="2724" t="s">
        <v>776</v>
      </c>
      <c r="B3" s="2725" t="s">
        <v>777</v>
      </c>
      <c r="C3" s="2726" t="s">
        <v>778</v>
      </c>
      <c r="D3" s="2727"/>
      <c r="E3" s="2728" t="s">
        <v>776</v>
      </c>
      <c r="F3" s="2729" t="s">
        <v>779</v>
      </c>
      <c r="G3" s="2730" t="s">
        <v>780</v>
      </c>
      <c r="H3" s="2558"/>
      <c r="I3" s="2558"/>
      <c r="J3" s="2558"/>
      <c r="K3" s="2558"/>
      <c r="L3" s="2558"/>
      <c r="M3" s="2558"/>
      <c r="N3" s="2558"/>
      <c r="O3" s="2558"/>
      <c r="P3" s="2558"/>
      <c r="Q3" s="2558"/>
    </row>
    <row r="4" ht="36.75" spans="1:17">
      <c r="A4" s="2728"/>
      <c r="B4" s="731" t="s">
        <v>781</v>
      </c>
      <c r="C4" s="2731" t="s">
        <v>782</v>
      </c>
      <c r="D4" s="2727"/>
      <c r="E4" s="2732"/>
      <c r="F4" s="1437" t="s">
        <v>783</v>
      </c>
      <c r="G4" s="2733" t="s">
        <v>784</v>
      </c>
      <c r="H4" s="2558"/>
      <c r="I4" s="2558"/>
      <c r="J4" s="2558"/>
      <c r="K4" s="2558"/>
      <c r="L4" s="2558"/>
      <c r="M4" s="2558"/>
      <c r="N4" s="2558"/>
      <c r="O4" s="2558"/>
      <c r="P4" s="2558"/>
      <c r="Q4" s="2558"/>
    </row>
    <row r="5" ht="36.75" spans="1:17">
      <c r="A5" s="2728"/>
      <c r="B5" s="731" t="s">
        <v>785</v>
      </c>
      <c r="C5" s="2731" t="s">
        <v>786</v>
      </c>
      <c r="D5" s="2727"/>
      <c r="E5" s="2732"/>
      <c r="F5" s="731" t="s">
        <v>601</v>
      </c>
      <c r="G5" s="2733" t="s">
        <v>787</v>
      </c>
      <c r="H5" s="2558"/>
      <c r="I5" s="2558"/>
      <c r="J5" s="2558"/>
      <c r="K5" s="2558"/>
      <c r="L5" s="2558"/>
      <c r="M5" s="2558"/>
      <c r="N5" s="2558"/>
      <c r="O5" s="2558"/>
      <c r="P5" s="2558"/>
      <c r="Q5" s="2558"/>
    </row>
    <row r="6" ht="36" spans="1:17">
      <c r="A6" s="2728"/>
      <c r="B6" s="731" t="s">
        <v>783</v>
      </c>
      <c r="C6" s="2733" t="s">
        <v>784</v>
      </c>
      <c r="D6" s="2727"/>
      <c r="E6" s="2732"/>
      <c r="F6" s="731" t="s">
        <v>788</v>
      </c>
      <c r="G6" s="2733" t="s">
        <v>789</v>
      </c>
      <c r="H6" s="2558"/>
      <c r="I6" s="2558"/>
      <c r="J6" s="2558"/>
      <c r="K6" s="2558"/>
      <c r="L6" s="2558"/>
      <c r="M6" s="2558"/>
      <c r="N6" s="2558"/>
      <c r="O6" s="2558"/>
      <c r="P6" s="2558"/>
      <c r="Q6" s="2558"/>
    </row>
    <row r="7" ht="24.75" spans="1:17">
      <c r="A7" s="2728"/>
      <c r="B7" s="731" t="s">
        <v>601</v>
      </c>
      <c r="C7" s="2733" t="s">
        <v>787</v>
      </c>
      <c r="D7" s="2734"/>
      <c r="E7" s="2735"/>
      <c r="F7" s="2736" t="s">
        <v>790</v>
      </c>
      <c r="G7" s="2737" t="s">
        <v>791</v>
      </c>
      <c r="H7" s="2558"/>
      <c r="I7" s="2558"/>
      <c r="J7" s="2558"/>
      <c r="K7" s="2558"/>
      <c r="L7" s="2558"/>
      <c r="M7" s="2558"/>
      <c r="N7" s="2558"/>
      <c r="O7" s="2558"/>
      <c r="P7" s="2558"/>
      <c r="Q7" s="2558"/>
    </row>
    <row r="8" spans="1:17">
      <c r="A8" s="2728"/>
      <c r="B8" s="731" t="s">
        <v>788</v>
      </c>
      <c r="C8" s="2733" t="s">
        <v>789</v>
      </c>
      <c r="D8" s="2734"/>
      <c r="E8" s="2734"/>
      <c r="F8" s="579"/>
      <c r="G8" s="579"/>
      <c r="H8" s="2558"/>
      <c r="I8" s="2558"/>
      <c r="J8" s="2558"/>
      <c r="K8" s="2558"/>
      <c r="L8" s="2558"/>
      <c r="M8" s="2558"/>
      <c r="N8" s="2558"/>
      <c r="O8" s="2558"/>
      <c r="P8" s="2558"/>
      <c r="Q8" s="2558"/>
    </row>
    <row r="9" ht="24" spans="1:17">
      <c r="A9" s="2728"/>
      <c r="B9" s="731" t="s">
        <v>792</v>
      </c>
      <c r="C9" s="2731" t="s">
        <v>793</v>
      </c>
      <c r="D9" s="2727"/>
      <c r="E9" s="2734"/>
      <c r="F9" s="579"/>
      <c r="G9" s="579"/>
      <c r="H9" s="2558"/>
      <c r="I9" s="2558"/>
      <c r="J9" s="2558"/>
      <c r="K9" s="2558"/>
      <c r="L9" s="2558"/>
      <c r="M9" s="2558"/>
      <c r="N9" s="2558"/>
      <c r="O9" s="2558"/>
      <c r="P9" s="2558"/>
      <c r="Q9" s="2558"/>
    </row>
    <row r="10" ht="15" spans="1:18">
      <c r="A10" s="2738"/>
      <c r="B10" s="2739" t="s">
        <v>794</v>
      </c>
      <c r="C10" s="2740"/>
      <c r="D10" s="2727"/>
      <c r="E10" s="2727"/>
      <c r="F10" s="579"/>
      <c r="G10" s="579"/>
      <c r="J10" s="2766"/>
      <c r="M10" s="2766"/>
      <c r="P10" s="2766"/>
      <c r="R10" s="2715"/>
    </row>
    <row r="11" spans="1:18">
      <c r="A11" s="2741"/>
      <c r="B11" s="2734"/>
      <c r="C11" s="2727"/>
      <c r="D11" s="2727"/>
      <c r="E11" s="2727"/>
      <c r="F11" s="2734"/>
      <c r="G11" s="2734"/>
      <c r="J11" s="2766"/>
      <c r="M11" s="2766"/>
      <c r="P11" s="2766"/>
      <c r="R11" s="2715"/>
    </row>
    <row r="12" s="2713" customFormat="1" ht="18" spans="1:29">
      <c r="A12" s="2741"/>
      <c r="B12" s="2734"/>
      <c r="C12" s="2727"/>
      <c r="D12" s="2742"/>
      <c r="E12" s="2727"/>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795</v>
      </c>
      <c r="B13" s="2742"/>
      <c r="C13" s="2742"/>
      <c r="D13" s="2741"/>
      <c r="E13" s="2742"/>
      <c r="F13" s="2742"/>
      <c r="G13" s="2742"/>
    </row>
    <row r="14" spans="1:7">
      <c r="A14" s="2745"/>
      <c r="B14" s="2745"/>
      <c r="C14" s="2746" t="s">
        <v>774</v>
      </c>
      <c r="D14" s="2727"/>
      <c r="E14" s="2747"/>
      <c r="F14" s="2747"/>
      <c r="G14" s="2721" t="s">
        <v>775</v>
      </c>
    </row>
    <row r="15" ht="48" spans="1:7">
      <c r="A15" s="2748" t="s">
        <v>776</v>
      </c>
      <c r="B15" s="2749" t="s">
        <v>777</v>
      </c>
      <c r="C15" s="2750" t="str">
        <f>C3</f>
        <v>估价对象周边居住用地比例、居住小区规模和社区发展完善程度，综合评价居住社区成熟度一般</v>
      </c>
      <c r="D15" s="2727"/>
      <c r="E15" s="2751" t="s">
        <v>776</v>
      </c>
      <c r="F15" s="2749" t="s">
        <v>779</v>
      </c>
      <c r="G15" s="2752" t="str">
        <f>G3</f>
        <v>估价对象位于XX开发区，园区建设成熟度XX，产业集聚程度XX</v>
      </c>
    </row>
    <row r="16" ht="36.75" spans="1:7">
      <c r="A16" s="2753"/>
      <c r="B16" s="2754" t="s">
        <v>781</v>
      </c>
      <c r="C16" s="2755" t="str">
        <f>C4</f>
        <v>估价对象位于XX商圈，周边商业氛围成熟，人流量大，商业繁华度好</v>
      </c>
      <c r="D16" s="2727"/>
      <c r="E16" s="2756"/>
      <c r="F16" s="2757" t="s">
        <v>783</v>
      </c>
      <c r="G16" s="2758" t="str">
        <f>G4</f>
        <v>估价对象周边道路状况、公共交通通达情况、停车便捷程度，综合评价交通便捷度较好</v>
      </c>
    </row>
    <row r="17" ht="36.75" spans="1:7">
      <c r="A17" s="2753"/>
      <c r="B17" s="2754" t="s">
        <v>785</v>
      </c>
      <c r="C17" s="2755" t="str">
        <f>C5</f>
        <v>估价对象位于XX商圈，周边办公楼项目较多，入驻率高，办公集聚程度较好</v>
      </c>
      <c r="D17" s="2734"/>
      <c r="E17" s="2756"/>
      <c r="F17" s="2757" t="s">
        <v>796</v>
      </c>
      <c r="G17" s="2759"/>
    </row>
    <row r="18" ht="36" spans="1:7">
      <c r="A18" s="2753"/>
      <c r="B18" s="2757" t="s">
        <v>783</v>
      </c>
      <c r="C18" s="2758" t="str">
        <f>C6</f>
        <v>估价对象周边道路状况、公共交通通达情况、停车便捷程度，综合评价交通便捷度较好</v>
      </c>
      <c r="D18" s="2734"/>
      <c r="E18" s="2756"/>
      <c r="F18" s="2757" t="s">
        <v>790</v>
      </c>
      <c r="G18" s="2758" t="str">
        <f>G7</f>
        <v>该园区内是否有污染型企业，绿化情况，卫生条件，整体环境状况判断</v>
      </c>
    </row>
    <row r="19" ht="24" spans="1:7">
      <c r="A19" s="2753"/>
      <c r="B19" s="2757" t="s">
        <v>796</v>
      </c>
      <c r="C19" s="2759"/>
      <c r="D19" s="2727"/>
      <c r="E19" s="2756"/>
      <c r="F19" s="731" t="s">
        <v>601</v>
      </c>
      <c r="G19" s="2758" t="str">
        <f>G5</f>
        <v>估价对象所在区域公共配套设施齐备情况</v>
      </c>
    </row>
    <row r="20" ht="24" spans="1:7">
      <c r="A20" s="2753"/>
      <c r="B20" s="2757" t="s">
        <v>797</v>
      </c>
      <c r="C20" s="2755" t="str">
        <f>C9</f>
        <v>区域自然环境：；人文环境；综合评价环境状况一般</v>
      </c>
      <c r="D20" s="2734"/>
      <c r="E20" s="2756"/>
      <c r="F20" s="731" t="s">
        <v>788</v>
      </c>
      <c r="G20" s="2758" t="str">
        <f>G6</f>
        <v>估价对象所在区域基础设施水平</v>
      </c>
    </row>
    <row r="21" ht="24" spans="1:7">
      <c r="A21" s="2753"/>
      <c r="B21" s="731" t="s">
        <v>601</v>
      </c>
      <c r="C21" s="2758" t="str">
        <f>C7</f>
        <v>估价对象所在区域公共配套设施齐备情况</v>
      </c>
      <c r="D21" s="2727"/>
      <c r="E21" s="2756"/>
      <c r="F21" s="2757" t="s">
        <v>798</v>
      </c>
      <c r="G21" s="2760"/>
    </row>
    <row r="22" ht="13.5" customHeight="1" spans="1:7">
      <c r="A22" s="2753"/>
      <c r="B22" s="731" t="s">
        <v>788</v>
      </c>
      <c r="C22" s="2758" t="str">
        <f>C8</f>
        <v>估价对象所在区域基础设施水平</v>
      </c>
      <c r="D22" s="2727"/>
      <c r="E22" s="2756"/>
      <c r="F22" s="2757" t="s">
        <v>794</v>
      </c>
      <c r="G22" s="2759"/>
    </row>
    <row r="23" s="2558" customFormat="1" ht="15" spans="1:17">
      <c r="A23" s="2753"/>
      <c r="B23" s="2757" t="s">
        <v>798</v>
      </c>
      <c r="C23" s="2760"/>
      <c r="D23" s="1618"/>
      <c r="E23" s="2761"/>
      <c r="F23" s="2762" t="s">
        <v>549</v>
      </c>
      <c r="G23" s="2763"/>
      <c r="H23" s="2715"/>
      <c r="I23" s="2715"/>
      <c r="J23" s="2715"/>
      <c r="K23" s="2715"/>
      <c r="L23" s="2715"/>
      <c r="M23" s="2715"/>
      <c r="N23" s="2715"/>
      <c r="O23" s="2715"/>
      <c r="P23" s="2715"/>
      <c r="Q23" s="2715"/>
    </row>
    <row r="24" s="2558" customFormat="1" ht="15" spans="1:17">
      <c r="A24" s="2764"/>
      <c r="B24" s="2762" t="s">
        <v>794</v>
      </c>
      <c r="C24" s="2765">
        <f>C10</f>
        <v>0</v>
      </c>
      <c r="D24" s="1618"/>
      <c r="E24" s="2734"/>
      <c r="F24" s="2734"/>
      <c r="G24" s="2734"/>
      <c r="H24" s="2715"/>
      <c r="I24" s="2715"/>
      <c r="J24" s="2715"/>
      <c r="K24" s="2715"/>
      <c r="L24" s="2715"/>
      <c r="M24" s="2715"/>
      <c r="N24" s="2715"/>
      <c r="O24" s="2715"/>
      <c r="P24" s="2715"/>
      <c r="Q24" s="2715"/>
    </row>
    <row r="25" s="2558" customFormat="1" spans="2:17">
      <c r="B25" s="2715"/>
      <c r="C25" s="2715"/>
      <c r="D25" s="2715"/>
      <c r="H25" s="2715"/>
      <c r="I25" s="2715"/>
      <c r="J25" s="2715"/>
      <c r="K25" s="2715"/>
      <c r="L25" s="2715"/>
      <c r="M25" s="2715"/>
      <c r="N25" s="2715"/>
      <c r="O25" s="2715"/>
      <c r="P25" s="2715"/>
      <c r="Q25" s="2715"/>
    </row>
    <row r="26" s="2558" customFormat="1" spans="2:17">
      <c r="B26" s="2715"/>
      <c r="C26" s="2715"/>
      <c r="D26" s="2715"/>
      <c r="H26" s="2715"/>
      <c r="I26" s="2715"/>
      <c r="J26" s="2715"/>
      <c r="K26" s="2715"/>
      <c r="L26" s="2715"/>
      <c r="M26" s="2715"/>
      <c r="N26" s="2715"/>
      <c r="O26" s="2715"/>
      <c r="P26" s="2715"/>
      <c r="Q26" s="2715"/>
    </row>
    <row r="27" s="2558" customFormat="1" spans="2:17">
      <c r="B27" s="2715"/>
      <c r="C27" s="2715"/>
      <c r="D27" s="2715"/>
      <c r="H27" s="2715"/>
      <c r="I27" s="2715"/>
      <c r="J27" s="2715"/>
      <c r="K27" s="2715"/>
      <c r="L27" s="2715"/>
      <c r="M27" s="2715"/>
      <c r="N27" s="2715"/>
      <c r="O27" s="2715"/>
      <c r="P27" s="2715"/>
      <c r="Q27" s="2715"/>
    </row>
    <row r="28" s="2558" customFormat="1" spans="2:17">
      <c r="B28" s="2715"/>
      <c r="C28" s="2715"/>
      <c r="D28" s="2715"/>
      <c r="H28" s="2715"/>
      <c r="I28" s="2715"/>
      <c r="J28" s="2715"/>
      <c r="K28" s="2715"/>
      <c r="L28" s="2715"/>
      <c r="M28" s="2715"/>
      <c r="N28" s="2715"/>
      <c r="O28" s="2715"/>
      <c r="P28" s="2715"/>
      <c r="Q28" s="2715"/>
    </row>
    <row r="29" s="2558" customFormat="1" spans="2:17">
      <c r="B29" s="2715"/>
      <c r="C29" s="2715"/>
      <c r="D29" s="2715"/>
      <c r="H29" s="2715"/>
      <c r="I29" s="2715"/>
      <c r="J29" s="2715"/>
      <c r="K29" s="2715"/>
      <c r="L29" s="2715"/>
      <c r="M29" s="2715"/>
      <c r="N29" s="2715"/>
      <c r="O29" s="2715"/>
      <c r="P29" s="2715"/>
      <c r="Q29" s="2715"/>
    </row>
    <row r="30" s="2558" customFormat="1" spans="2:17">
      <c r="B30" s="2715"/>
      <c r="C30" s="2715"/>
      <c r="D30" s="2715"/>
      <c r="H30" s="2715"/>
      <c r="I30" s="2715"/>
      <c r="J30" s="2715"/>
      <c r="K30" s="2715"/>
      <c r="L30" s="2715"/>
      <c r="M30" s="2715"/>
      <c r="N30" s="2715"/>
      <c r="O30" s="2715"/>
      <c r="P30" s="2715"/>
      <c r="Q30" s="2715"/>
    </row>
    <row r="31" s="2558" customFormat="1" spans="2:17">
      <c r="B31" s="2715"/>
      <c r="C31" s="2715"/>
      <c r="D31" s="2715"/>
      <c r="H31" s="2715"/>
      <c r="I31" s="2715"/>
      <c r="J31" s="2715"/>
      <c r="K31" s="2715"/>
      <c r="L31" s="2715"/>
      <c r="M31" s="2715"/>
      <c r="N31" s="2715"/>
      <c r="O31" s="2715"/>
      <c r="P31" s="2715"/>
      <c r="Q31" s="2715"/>
    </row>
    <row r="32" s="2558" customFormat="1" spans="2:17">
      <c r="B32" s="2715"/>
      <c r="C32" s="2715"/>
      <c r="D32" s="2715"/>
      <c r="H32" s="2715"/>
      <c r="I32" s="2715"/>
      <c r="J32" s="2715"/>
      <c r="K32" s="2715"/>
      <c r="L32" s="2715"/>
      <c r="M32" s="2715"/>
      <c r="N32" s="2715"/>
      <c r="O32" s="2715"/>
      <c r="P32" s="2715"/>
      <c r="Q32" s="2715"/>
    </row>
    <row r="33" s="2558" customFormat="1" spans="2:17">
      <c r="B33" s="2715"/>
      <c r="C33" s="2715"/>
      <c r="D33" s="2715"/>
      <c r="H33" s="2715"/>
      <c r="I33" s="2715"/>
      <c r="J33" s="2715"/>
      <c r="K33" s="2715"/>
      <c r="L33" s="2715"/>
      <c r="M33" s="2715"/>
      <c r="N33" s="2715"/>
      <c r="O33" s="2715"/>
      <c r="P33" s="2715"/>
      <c r="Q33" s="2715"/>
    </row>
    <row r="34" s="2558" customFormat="1" spans="2:17">
      <c r="B34" s="2715"/>
      <c r="C34" s="2715"/>
      <c r="D34" s="2715"/>
      <c r="H34" s="2715"/>
      <c r="I34" s="2715"/>
      <c r="J34" s="2715"/>
      <c r="K34" s="2715"/>
      <c r="L34" s="2715"/>
      <c r="M34" s="2715"/>
      <c r="N34" s="2715"/>
      <c r="O34" s="2715"/>
      <c r="P34" s="2715"/>
      <c r="Q34" s="2715"/>
    </row>
    <row r="35" s="2558" customFormat="1" spans="2:17">
      <c r="B35" s="2715"/>
      <c r="C35" s="2715"/>
      <c r="D35" s="2715"/>
      <c r="H35" s="2715"/>
      <c r="I35" s="2715"/>
      <c r="J35" s="2715"/>
      <c r="K35" s="2715"/>
      <c r="L35" s="2715"/>
      <c r="M35" s="2715"/>
      <c r="N35" s="2715"/>
      <c r="O35" s="2715"/>
      <c r="P35" s="2715"/>
      <c r="Q35" s="2715"/>
    </row>
    <row r="36" s="2558" customFormat="1" spans="2:17">
      <c r="B36" s="2715"/>
      <c r="C36" s="2715"/>
      <c r="D36" s="2715"/>
      <c r="H36" s="2715"/>
      <c r="I36" s="2715"/>
      <c r="J36" s="2715"/>
      <c r="K36" s="2715"/>
      <c r="L36" s="2715"/>
      <c r="M36" s="2715"/>
      <c r="N36" s="2715"/>
      <c r="O36" s="2715"/>
      <c r="P36" s="2715"/>
      <c r="Q36" s="2715"/>
    </row>
    <row r="37" s="2558" customFormat="1" spans="2:17">
      <c r="B37" s="2715"/>
      <c r="C37" s="2715"/>
      <c r="D37" s="2715"/>
      <c r="H37" s="2715"/>
      <c r="I37" s="2715"/>
      <c r="J37" s="2715"/>
      <c r="K37" s="2715"/>
      <c r="L37" s="2715"/>
      <c r="M37" s="2715"/>
      <c r="N37" s="2715"/>
      <c r="O37" s="2715"/>
      <c r="P37" s="2715"/>
      <c r="Q37" s="2715"/>
    </row>
    <row r="38" s="2558" customFormat="1" spans="2:17">
      <c r="B38" s="2715"/>
      <c r="C38" s="2715"/>
      <c r="D38" s="2715"/>
      <c r="E38" s="2715"/>
      <c r="F38" s="2715"/>
      <c r="G38" s="2715"/>
      <c r="H38" s="2715"/>
      <c r="I38" s="2715"/>
      <c r="J38" s="2715"/>
      <c r="K38" s="2715"/>
      <c r="L38" s="2715"/>
      <c r="M38" s="2715"/>
      <c r="N38" s="2715"/>
      <c r="O38" s="2715"/>
      <c r="P38" s="2715"/>
      <c r="Q38" s="2715"/>
    </row>
    <row r="39" s="2558" customFormat="1" spans="2:17">
      <c r="B39" s="2715"/>
      <c r="C39" s="2715"/>
      <c r="D39" s="2715"/>
      <c r="E39" s="2715"/>
      <c r="F39" s="2715"/>
      <c r="G39" s="2715"/>
      <c r="H39" s="2715"/>
      <c r="I39" s="2715"/>
      <c r="J39" s="2715"/>
      <c r="K39" s="2715"/>
      <c r="L39" s="2715"/>
      <c r="M39" s="2715"/>
      <c r="N39" s="2715"/>
      <c r="O39" s="2715"/>
      <c r="P39" s="2715"/>
      <c r="Q39" s="2715"/>
    </row>
    <row r="40" s="2558" customFormat="1" spans="2:17">
      <c r="B40" s="2715"/>
      <c r="C40" s="2715"/>
      <c r="D40" s="2715"/>
      <c r="E40" s="2715"/>
      <c r="F40" s="2715"/>
      <c r="G40" s="2715"/>
      <c r="H40" s="2715"/>
      <c r="I40" s="2715"/>
      <c r="J40" s="2715"/>
      <c r="K40" s="2715"/>
      <c r="L40" s="2715"/>
      <c r="M40" s="2715"/>
      <c r="N40" s="2715"/>
      <c r="O40" s="2715"/>
      <c r="P40" s="2715"/>
      <c r="Q40" s="2715"/>
    </row>
    <row r="41" s="2558" customFormat="1" spans="2:17">
      <c r="B41" s="2715"/>
      <c r="C41" s="2715"/>
      <c r="D41" s="2715"/>
      <c r="E41" s="2715"/>
      <c r="F41" s="2715"/>
      <c r="G41" s="2715"/>
      <c r="H41" s="2715"/>
      <c r="I41" s="2715"/>
      <c r="J41" s="2715"/>
      <c r="K41" s="2715"/>
      <c r="L41" s="2715"/>
      <c r="M41" s="2715"/>
      <c r="N41" s="2715"/>
      <c r="O41" s="2715"/>
      <c r="P41" s="2715"/>
      <c r="Q41" s="2715"/>
    </row>
    <row r="42" s="2558" customFormat="1" spans="2:17">
      <c r="B42" s="2715"/>
      <c r="C42" s="2715"/>
      <c r="D42" s="2715"/>
      <c r="E42" s="2715"/>
      <c r="F42" s="2715"/>
      <c r="G42" s="2715"/>
      <c r="H42" s="2715"/>
      <c r="I42" s="2715"/>
      <c r="J42" s="2715"/>
      <c r="K42" s="2715"/>
      <c r="L42" s="2715"/>
      <c r="M42" s="2715"/>
      <c r="N42" s="2715"/>
      <c r="O42" s="2715"/>
      <c r="P42" s="2715"/>
      <c r="Q42" s="2715"/>
    </row>
    <row r="43" s="2558" customFormat="1" spans="2:17">
      <c r="B43" s="2715"/>
      <c r="C43" s="2715"/>
      <c r="D43" s="2715"/>
      <c r="E43" s="2715"/>
      <c r="F43" s="2715"/>
      <c r="G43" s="2715"/>
      <c r="H43" s="2715"/>
      <c r="I43" s="2715"/>
      <c r="J43" s="2715"/>
      <c r="K43" s="2715"/>
      <c r="L43" s="2715"/>
      <c r="M43" s="2715"/>
      <c r="N43" s="2715"/>
      <c r="O43" s="2715"/>
      <c r="P43" s="2715"/>
      <c r="Q43" s="2715"/>
    </row>
    <row r="44" s="2558" customFormat="1" spans="2:17">
      <c r="B44" s="2715"/>
      <c r="C44" s="2715"/>
      <c r="D44" s="2715"/>
      <c r="E44" s="2715"/>
      <c r="F44" s="2715"/>
      <c r="G44" s="2715"/>
      <c r="H44" s="2715"/>
      <c r="I44" s="2715"/>
      <c r="J44" s="2715"/>
      <c r="K44" s="2715"/>
      <c r="L44" s="2715"/>
      <c r="M44" s="2715"/>
      <c r="N44" s="2715"/>
      <c r="O44" s="2715"/>
      <c r="P44" s="2715"/>
      <c r="Q44" s="2715"/>
    </row>
    <row r="45" s="2558" customFormat="1" spans="2:17">
      <c r="B45" s="2715"/>
      <c r="C45" s="2715"/>
      <c r="D45" s="2715"/>
      <c r="E45" s="2715"/>
      <c r="F45" s="2715"/>
      <c r="G45" s="2715"/>
      <c r="H45" s="2715"/>
      <c r="I45" s="2715"/>
      <c r="J45" s="2715"/>
      <c r="K45" s="2715"/>
      <c r="L45" s="2715"/>
      <c r="M45" s="2715"/>
      <c r="N45" s="2715"/>
      <c r="O45" s="2715"/>
      <c r="P45" s="2715"/>
      <c r="Q45" s="2715"/>
    </row>
    <row r="46" s="2558" customFormat="1" spans="2:17">
      <c r="B46" s="2715"/>
      <c r="C46" s="2715"/>
      <c r="D46" s="2715"/>
      <c r="E46" s="2715"/>
      <c r="F46" s="2715"/>
      <c r="G46" s="2715"/>
      <c r="H46" s="2715"/>
      <c r="I46" s="2715"/>
      <c r="J46" s="2715"/>
      <c r="K46" s="2715"/>
      <c r="L46" s="2715"/>
      <c r="M46" s="2715"/>
      <c r="N46" s="2715"/>
      <c r="O46" s="2715"/>
      <c r="P46" s="2715"/>
      <c r="Q46" s="2715"/>
    </row>
    <row r="47" s="2558" customFormat="1" spans="2:17">
      <c r="B47" s="2715"/>
      <c r="C47" s="2715"/>
      <c r="D47" s="2715"/>
      <c r="E47" s="2715"/>
      <c r="F47" s="2715"/>
      <c r="G47" s="2715"/>
      <c r="H47" s="2715"/>
      <c r="I47" s="2715"/>
      <c r="J47" s="2715"/>
      <c r="K47" s="2715"/>
      <c r="L47" s="2715"/>
      <c r="M47" s="2715"/>
      <c r="N47" s="2715"/>
      <c r="O47" s="2715"/>
      <c r="P47" s="2715"/>
      <c r="Q47" s="2715"/>
    </row>
    <row r="48" s="2558" customFormat="1" spans="2:17">
      <c r="B48" s="2715"/>
      <c r="C48" s="2715"/>
      <c r="D48" s="2715"/>
      <c r="E48" s="2715"/>
      <c r="F48" s="2715"/>
      <c r="G48" s="2715"/>
      <c r="H48" s="2715"/>
      <c r="I48" s="2715"/>
      <c r="J48" s="2715"/>
      <c r="K48" s="2715"/>
      <c r="L48" s="2715"/>
      <c r="M48" s="2715"/>
      <c r="N48" s="2715"/>
      <c r="O48" s="2715"/>
      <c r="P48" s="2715"/>
      <c r="Q48" s="2715"/>
    </row>
    <row r="49" s="2558" customFormat="1" spans="2:17">
      <c r="B49" s="2715"/>
      <c r="C49" s="2715"/>
      <c r="D49" s="2715"/>
      <c r="E49" s="2715"/>
      <c r="F49" s="2715"/>
      <c r="G49" s="2715"/>
      <c r="H49" s="2715"/>
      <c r="I49" s="2715"/>
      <c r="J49" s="2715"/>
      <c r="K49" s="2715"/>
      <c r="L49" s="2715"/>
      <c r="M49" s="2715"/>
      <c r="N49" s="2715"/>
      <c r="O49" s="2715"/>
      <c r="P49" s="2715"/>
      <c r="Q49" s="2715"/>
    </row>
    <row r="50" s="2558" customFormat="1" spans="2:17">
      <c r="B50" s="2715"/>
      <c r="C50" s="2715"/>
      <c r="D50" s="2715"/>
      <c r="E50" s="2715"/>
      <c r="F50" s="2715"/>
      <c r="G50" s="2715"/>
      <c r="H50" s="2715"/>
      <c r="I50" s="2715"/>
      <c r="J50" s="2715"/>
      <c r="K50" s="2715"/>
      <c r="L50" s="2715"/>
      <c r="M50" s="2715"/>
      <c r="N50" s="2715"/>
      <c r="O50" s="2715"/>
      <c r="P50" s="2715"/>
      <c r="Q50" s="2715"/>
    </row>
    <row r="51" s="2558" customFormat="1" spans="2:17">
      <c r="B51" s="2715"/>
      <c r="C51" s="2715"/>
      <c r="D51" s="2715"/>
      <c r="E51" s="2715"/>
      <c r="F51" s="2715"/>
      <c r="G51" s="2715"/>
      <c r="H51" s="2715"/>
      <c r="I51" s="2715"/>
      <c r="J51" s="2715"/>
      <c r="K51" s="2715"/>
      <c r="L51" s="2715"/>
      <c r="M51" s="2715"/>
      <c r="N51" s="2715"/>
      <c r="O51" s="2715"/>
      <c r="P51" s="2715"/>
      <c r="Q51" s="2715"/>
    </row>
    <row r="52" s="2558" customFormat="1" spans="2:17">
      <c r="B52" s="2715"/>
      <c r="C52" s="2715"/>
      <c r="D52" s="2715"/>
      <c r="E52" s="2715"/>
      <c r="F52" s="2715"/>
      <c r="G52" s="2715"/>
      <c r="H52" s="2715"/>
      <c r="I52" s="2715"/>
      <c r="J52" s="2715"/>
      <c r="K52" s="2715"/>
      <c r="L52" s="2715"/>
      <c r="M52" s="2715"/>
      <c r="N52" s="2715"/>
      <c r="O52" s="2715"/>
      <c r="P52" s="2715"/>
      <c r="Q52" s="2715"/>
    </row>
    <row r="53" s="2558" customFormat="1" spans="2:17">
      <c r="B53" s="2715"/>
      <c r="C53" s="2715"/>
      <c r="D53" s="2715"/>
      <c r="E53" s="2715"/>
      <c r="F53" s="2715"/>
      <c r="G53" s="2715"/>
      <c r="H53" s="2715"/>
      <c r="I53" s="2715"/>
      <c r="J53" s="2715"/>
      <c r="K53" s="2715"/>
      <c r="L53" s="2715"/>
      <c r="M53" s="2715"/>
      <c r="N53" s="2715"/>
      <c r="O53" s="2715"/>
      <c r="P53" s="2715"/>
      <c r="Q53" s="2715"/>
    </row>
    <row r="54" s="2558" customFormat="1" spans="2:17">
      <c r="B54" s="2715"/>
      <c r="C54" s="2715"/>
      <c r="D54" s="2715"/>
      <c r="E54" s="2715"/>
      <c r="F54" s="2715"/>
      <c r="G54" s="2715"/>
      <c r="H54" s="2715"/>
      <c r="I54" s="2715"/>
      <c r="J54" s="2715"/>
      <c r="K54" s="2715"/>
      <c r="L54" s="2715"/>
      <c r="M54" s="2715"/>
      <c r="N54" s="2715"/>
      <c r="O54" s="2715"/>
      <c r="P54" s="2715"/>
      <c r="Q54" s="2715"/>
    </row>
    <row r="55" s="2558" customFormat="1" spans="2:17">
      <c r="B55" s="2715"/>
      <c r="C55" s="2715"/>
      <c r="D55" s="2715"/>
      <c r="E55" s="2715"/>
      <c r="F55" s="2715"/>
      <c r="G55" s="2715"/>
      <c r="H55" s="2715"/>
      <c r="I55" s="2715"/>
      <c r="J55" s="2715"/>
      <c r="K55" s="2715"/>
      <c r="L55" s="2715"/>
      <c r="M55" s="2715"/>
      <c r="N55" s="2715"/>
      <c r="O55" s="2715"/>
      <c r="P55" s="2715"/>
      <c r="Q55" s="2715"/>
    </row>
    <row r="56" s="2558" customFormat="1" spans="2:17">
      <c r="B56" s="2715"/>
      <c r="C56" s="2715"/>
      <c r="D56" s="2715"/>
      <c r="E56" s="2715"/>
      <c r="F56" s="2715"/>
      <c r="G56" s="2715"/>
      <c r="H56" s="2715"/>
      <c r="I56" s="2715"/>
      <c r="J56" s="2715"/>
      <c r="K56" s="2715"/>
      <c r="L56" s="2715"/>
      <c r="M56" s="2715"/>
      <c r="N56" s="2715"/>
      <c r="O56" s="2715"/>
      <c r="P56" s="2715"/>
      <c r="Q56" s="2715"/>
    </row>
    <row r="57" s="2558" customFormat="1" spans="2:17">
      <c r="B57" s="2715"/>
      <c r="C57" s="2715"/>
      <c r="D57" s="2715"/>
      <c r="E57" s="2715"/>
      <c r="F57" s="2715"/>
      <c r="G57" s="2715"/>
      <c r="H57" s="2715"/>
      <c r="I57" s="2715"/>
      <c r="J57" s="2715"/>
      <c r="K57" s="2715"/>
      <c r="L57" s="2715"/>
      <c r="M57" s="2715"/>
      <c r="N57" s="2715"/>
      <c r="O57" s="2715"/>
      <c r="P57" s="2715"/>
      <c r="Q57" s="2715"/>
    </row>
    <row r="58" s="2558" customFormat="1" spans="2:17">
      <c r="B58" s="2715"/>
      <c r="C58" s="2715"/>
      <c r="D58" s="2715"/>
      <c r="E58" s="2715"/>
      <c r="F58" s="2715"/>
      <c r="G58" s="2715"/>
      <c r="H58" s="2715"/>
      <c r="I58" s="2715"/>
      <c r="J58" s="2715"/>
      <c r="K58" s="2715"/>
      <c r="L58" s="2715"/>
      <c r="M58" s="2715"/>
      <c r="N58" s="2715"/>
      <c r="O58" s="2715"/>
      <c r="P58" s="2715"/>
      <c r="Q58" s="2715"/>
    </row>
    <row r="59" s="2558" customFormat="1" spans="2:17">
      <c r="B59" s="2715"/>
      <c r="C59" s="2715"/>
      <c r="D59" s="2715"/>
      <c r="E59" s="2715"/>
      <c r="F59" s="2715"/>
      <c r="G59" s="2715"/>
      <c r="H59" s="2715"/>
      <c r="I59" s="2715"/>
      <c r="J59" s="2715"/>
      <c r="K59" s="2715"/>
      <c r="L59" s="2715"/>
      <c r="M59" s="2715"/>
      <c r="N59" s="2715"/>
      <c r="O59" s="2715"/>
      <c r="P59" s="2715"/>
      <c r="Q59" s="2715"/>
    </row>
    <row r="60" s="2558" customFormat="1" spans="2:17">
      <c r="B60" s="2715"/>
      <c r="C60" s="2715"/>
      <c r="D60" s="2715"/>
      <c r="E60" s="2715"/>
      <c r="F60" s="2715"/>
      <c r="G60" s="2715"/>
      <c r="H60" s="2715"/>
      <c r="I60" s="2715"/>
      <c r="J60" s="2715"/>
      <c r="K60" s="2715"/>
      <c r="L60" s="2715"/>
      <c r="M60" s="2715"/>
      <c r="N60" s="2715"/>
      <c r="O60" s="2715"/>
      <c r="P60" s="2715"/>
      <c r="Q60" s="2715"/>
    </row>
    <row r="61" s="2558" customFormat="1" spans="2:17">
      <c r="B61" s="2715"/>
      <c r="C61" s="2715"/>
      <c r="D61" s="2715"/>
      <c r="E61" s="2715"/>
      <c r="F61" s="2715"/>
      <c r="G61" s="2715"/>
      <c r="H61" s="2715"/>
      <c r="I61" s="2715"/>
      <c r="J61" s="2715"/>
      <c r="K61" s="2715"/>
      <c r="L61" s="2715"/>
      <c r="M61" s="2715"/>
      <c r="N61" s="2715"/>
      <c r="O61" s="2715"/>
      <c r="P61" s="2715"/>
      <c r="Q61" s="2715"/>
    </row>
    <row r="62" s="2558" customFormat="1" spans="2:17">
      <c r="B62" s="2715"/>
      <c r="C62" s="2715"/>
      <c r="D62" s="2715"/>
      <c r="E62" s="2715"/>
      <c r="F62" s="2715"/>
      <c r="G62" s="2715"/>
      <c r="H62" s="2715"/>
      <c r="I62" s="2715"/>
      <c r="J62" s="2715"/>
      <c r="K62" s="2715"/>
      <c r="L62" s="2715"/>
      <c r="M62" s="2715"/>
      <c r="N62" s="2715"/>
      <c r="O62" s="2715"/>
      <c r="P62" s="2715"/>
      <c r="Q62" s="2715"/>
    </row>
    <row r="63" s="2558" customFormat="1" spans="2:17">
      <c r="B63" s="2715"/>
      <c r="C63" s="2715"/>
      <c r="D63" s="2715"/>
      <c r="E63" s="2715"/>
      <c r="F63" s="2715"/>
      <c r="G63" s="2715"/>
      <c r="H63" s="2715"/>
      <c r="I63" s="2715"/>
      <c r="J63" s="2715"/>
      <c r="K63" s="2715"/>
      <c r="L63" s="2715"/>
      <c r="M63" s="2715"/>
      <c r="N63" s="2715"/>
      <c r="O63" s="2715"/>
      <c r="P63" s="2715"/>
      <c r="Q63" s="2715"/>
    </row>
    <row r="64" s="2558" customFormat="1" spans="2:17">
      <c r="B64" s="2715"/>
      <c r="C64" s="2715"/>
      <c r="D64" s="2715"/>
      <c r="E64" s="2715"/>
      <c r="F64" s="2715"/>
      <c r="G64" s="2715"/>
      <c r="H64" s="2715"/>
      <c r="I64" s="2715"/>
      <c r="J64" s="2715"/>
      <c r="K64" s="2715"/>
      <c r="L64" s="2715"/>
      <c r="M64" s="2715"/>
      <c r="N64" s="2715"/>
      <c r="O64" s="2715"/>
      <c r="P64" s="2715"/>
      <c r="Q64" s="2715"/>
    </row>
    <row r="65" s="2558" customFormat="1" spans="2:17">
      <c r="B65" s="2715"/>
      <c r="C65" s="2715"/>
      <c r="D65" s="2715"/>
      <c r="E65" s="2715"/>
      <c r="F65" s="2715"/>
      <c r="G65" s="2715"/>
      <c r="H65" s="2715"/>
      <c r="I65" s="2715"/>
      <c r="J65" s="2715"/>
      <c r="K65" s="2715"/>
      <c r="L65" s="2715"/>
      <c r="M65" s="2715"/>
      <c r="N65" s="2715"/>
      <c r="O65" s="2715"/>
      <c r="P65" s="2715"/>
      <c r="Q65" s="2715"/>
    </row>
    <row r="66" s="2558" customFormat="1" spans="2:17">
      <c r="B66" s="2715"/>
      <c r="C66" s="2715"/>
      <c r="D66" s="2715"/>
      <c r="E66" s="2715"/>
      <c r="F66" s="2715"/>
      <c r="G66" s="2715"/>
      <c r="H66" s="2715"/>
      <c r="I66" s="2715"/>
      <c r="J66" s="2715"/>
      <c r="K66" s="2715"/>
      <c r="L66" s="2715"/>
      <c r="M66" s="2715"/>
      <c r="N66" s="2715"/>
      <c r="O66" s="2715"/>
      <c r="P66" s="2715"/>
      <c r="Q66" s="2715"/>
    </row>
    <row r="67" s="2558" customFormat="1" spans="2:17">
      <c r="B67" s="2715"/>
      <c r="C67" s="2715"/>
      <c r="D67" s="2715"/>
      <c r="E67" s="2715"/>
      <c r="F67" s="2715"/>
      <c r="G67" s="2715"/>
      <c r="H67" s="2715"/>
      <c r="I67" s="2715"/>
      <c r="J67" s="2715"/>
      <c r="K67" s="2715"/>
      <c r="L67" s="2715"/>
      <c r="M67" s="2715"/>
      <c r="N67" s="2715"/>
      <c r="O67" s="2715"/>
      <c r="P67" s="2715"/>
      <c r="Q67" s="2715"/>
    </row>
    <row r="68" s="2558" customFormat="1" spans="2:17">
      <c r="B68" s="2715"/>
      <c r="C68" s="2715"/>
      <c r="D68" s="2715"/>
      <c r="E68" s="2715"/>
      <c r="F68" s="2715"/>
      <c r="G68" s="2715"/>
      <c r="H68" s="2715"/>
      <c r="I68" s="2715"/>
      <c r="J68" s="2715"/>
      <c r="K68" s="2715"/>
      <c r="L68" s="2715"/>
      <c r="M68" s="2715"/>
      <c r="N68" s="2715"/>
      <c r="O68" s="2715"/>
      <c r="P68" s="2715"/>
      <c r="Q68" s="2715"/>
    </row>
    <row r="69" s="2558" customFormat="1" spans="2:17">
      <c r="B69" s="2715"/>
      <c r="C69" s="2715"/>
      <c r="D69" s="2715"/>
      <c r="E69" s="2715"/>
      <c r="F69" s="2715"/>
      <c r="G69" s="2715"/>
      <c r="H69" s="2715"/>
      <c r="I69" s="2715"/>
      <c r="J69" s="2715"/>
      <c r="K69" s="2715"/>
      <c r="L69" s="2715"/>
      <c r="M69" s="2715"/>
      <c r="N69" s="2715"/>
      <c r="O69" s="2715"/>
      <c r="P69" s="2715"/>
      <c r="Q69" s="2715"/>
    </row>
    <row r="70" s="2558" customFormat="1" spans="2:17">
      <c r="B70" s="2715"/>
      <c r="C70" s="2715"/>
      <c r="D70" s="2715"/>
      <c r="E70" s="2715"/>
      <c r="F70" s="2715"/>
      <c r="G70" s="2715"/>
      <c r="H70" s="2715"/>
      <c r="I70" s="2715"/>
      <c r="J70" s="2715"/>
      <c r="K70" s="2715"/>
      <c r="L70" s="2715"/>
      <c r="M70" s="2715"/>
      <c r="N70" s="2715"/>
      <c r="O70" s="2715"/>
      <c r="P70" s="2715"/>
      <c r="Q70" s="2715"/>
    </row>
    <row r="71" s="2558" customFormat="1" spans="2:17">
      <c r="B71" s="2715"/>
      <c r="C71" s="2715"/>
      <c r="D71" s="2715"/>
      <c r="E71" s="2715"/>
      <c r="F71" s="2715"/>
      <c r="G71" s="2715"/>
      <c r="H71" s="2715"/>
      <c r="I71" s="2715"/>
      <c r="J71" s="2715"/>
      <c r="K71" s="2715"/>
      <c r="L71" s="2715"/>
      <c r="M71" s="2715"/>
      <c r="N71" s="2715"/>
      <c r="O71" s="2715"/>
      <c r="P71" s="2715"/>
      <c r="Q71" s="2715"/>
    </row>
    <row r="72" s="2558" customFormat="1" spans="2:17">
      <c r="B72" s="2715"/>
      <c r="C72" s="2715"/>
      <c r="D72" s="2715"/>
      <c r="E72" s="2715"/>
      <c r="F72" s="2715"/>
      <c r="G72" s="2715"/>
      <c r="H72" s="2715"/>
      <c r="I72" s="2715"/>
      <c r="J72" s="2715"/>
      <c r="K72" s="2715"/>
      <c r="L72" s="2715"/>
      <c r="M72" s="2715"/>
      <c r="N72" s="2715"/>
      <c r="O72" s="2715"/>
      <c r="P72" s="2715"/>
      <c r="Q72" s="2715"/>
    </row>
    <row r="73" s="2558" customFormat="1" spans="2:17">
      <c r="B73" s="2715"/>
      <c r="C73" s="2715"/>
      <c r="D73" s="2715"/>
      <c r="E73" s="2715"/>
      <c r="F73" s="2715"/>
      <c r="G73" s="2715"/>
      <c r="H73" s="2715"/>
      <c r="I73" s="2715"/>
      <c r="J73" s="2715"/>
      <c r="K73" s="2715"/>
      <c r="L73" s="2715"/>
      <c r="M73" s="2715"/>
      <c r="N73" s="2715"/>
      <c r="O73" s="2715"/>
      <c r="P73" s="2715"/>
      <c r="Q73" s="2715"/>
    </row>
    <row r="74" s="2558" customFormat="1" spans="2:17">
      <c r="B74" s="2715"/>
      <c r="C74" s="2715"/>
      <c r="D74" s="2715"/>
      <c r="E74" s="2715"/>
      <c r="F74" s="2715"/>
      <c r="G74" s="2715"/>
      <c r="H74" s="2715"/>
      <c r="I74" s="2715"/>
      <c r="J74" s="2715"/>
      <c r="K74" s="2715"/>
      <c r="L74" s="2715"/>
      <c r="M74" s="2715"/>
      <c r="N74" s="2715"/>
      <c r="O74" s="2715"/>
      <c r="P74" s="2715"/>
      <c r="Q74" s="2715"/>
    </row>
    <row r="75" s="2558" customFormat="1" spans="2:17">
      <c r="B75" s="2715"/>
      <c r="C75" s="2715"/>
      <c r="D75" s="2715"/>
      <c r="E75" s="2715"/>
      <c r="F75" s="2715"/>
      <c r="G75" s="2715"/>
      <c r="H75" s="2715"/>
      <c r="I75" s="2715"/>
      <c r="J75" s="2715"/>
      <c r="K75" s="2715"/>
      <c r="L75" s="2715"/>
      <c r="M75" s="2715"/>
      <c r="N75" s="2715"/>
      <c r="O75" s="2715"/>
      <c r="P75" s="2715"/>
      <c r="Q75" s="2715"/>
    </row>
    <row r="76" s="2558" customFormat="1" spans="2:17">
      <c r="B76" s="2715"/>
      <c r="C76" s="2715"/>
      <c r="D76" s="2715"/>
      <c r="E76" s="2715"/>
      <c r="F76" s="2715"/>
      <c r="G76" s="2715"/>
      <c r="H76" s="2715"/>
      <c r="I76" s="2715"/>
      <c r="J76" s="2715"/>
      <c r="K76" s="2715"/>
      <c r="L76" s="2715"/>
      <c r="M76" s="2715"/>
      <c r="N76" s="2715"/>
      <c r="O76" s="2715"/>
      <c r="P76" s="2715"/>
      <c r="Q76" s="2715"/>
    </row>
    <row r="77" s="2558" customFormat="1" spans="2:17">
      <c r="B77" s="2715"/>
      <c r="C77" s="2715"/>
      <c r="D77" s="2715"/>
      <c r="E77" s="2715"/>
      <c r="F77" s="2715"/>
      <c r="G77" s="2715"/>
      <c r="H77" s="2715"/>
      <c r="I77" s="2715"/>
      <c r="J77" s="2715"/>
      <c r="K77" s="2715"/>
      <c r="L77" s="2715"/>
      <c r="M77" s="2715"/>
      <c r="N77" s="2715"/>
      <c r="O77" s="2715"/>
      <c r="P77" s="2715"/>
      <c r="Q77" s="2715"/>
    </row>
    <row r="78" s="2558" customFormat="1" spans="2:17">
      <c r="B78" s="2715"/>
      <c r="C78" s="2715"/>
      <c r="D78" s="2715"/>
      <c r="E78" s="2715"/>
      <c r="F78" s="2715"/>
      <c r="G78" s="2715"/>
      <c r="H78" s="2715"/>
      <c r="I78" s="2715"/>
      <c r="J78" s="2715"/>
      <c r="K78" s="2715"/>
      <c r="L78" s="2715"/>
      <c r="M78" s="2715"/>
      <c r="N78" s="2715"/>
      <c r="O78" s="2715"/>
      <c r="P78" s="2715"/>
      <c r="Q78" s="2715"/>
    </row>
    <row r="79" s="2558" customFormat="1" spans="2:17">
      <c r="B79" s="2715"/>
      <c r="C79" s="2715"/>
      <c r="D79" s="2715"/>
      <c r="E79" s="2715"/>
      <c r="F79" s="2715"/>
      <c r="G79" s="2715"/>
      <c r="H79" s="2715"/>
      <c r="I79" s="2715"/>
      <c r="J79" s="2715"/>
      <c r="K79" s="2715"/>
      <c r="L79" s="2715"/>
      <c r="M79" s="2715"/>
      <c r="N79" s="2715"/>
      <c r="O79" s="2715"/>
      <c r="P79" s="2715"/>
      <c r="Q79" s="2715"/>
    </row>
    <row r="80" s="2558" customFormat="1" spans="2:17">
      <c r="B80" s="2715"/>
      <c r="C80" s="2715"/>
      <c r="D80" s="2715"/>
      <c r="E80" s="2715"/>
      <c r="F80" s="2715"/>
      <c r="G80" s="2715"/>
      <c r="H80" s="2715"/>
      <c r="I80" s="2715"/>
      <c r="J80" s="2715"/>
      <c r="K80" s="2715"/>
      <c r="L80" s="2715"/>
      <c r="M80" s="2715"/>
      <c r="N80" s="2715"/>
      <c r="O80" s="2715"/>
      <c r="P80" s="2715"/>
      <c r="Q80" s="2715"/>
    </row>
    <row r="81" s="2558" customFormat="1" spans="2:17">
      <c r="B81" s="2715"/>
      <c r="C81" s="2715"/>
      <c r="D81" s="2715"/>
      <c r="E81" s="2715"/>
      <c r="F81" s="2715"/>
      <c r="G81" s="2715"/>
      <c r="H81" s="2715"/>
      <c r="I81" s="2715"/>
      <c r="J81" s="2715"/>
      <c r="K81" s="2715"/>
      <c r="L81" s="2715"/>
      <c r="M81" s="2715"/>
      <c r="N81" s="2715"/>
      <c r="O81" s="2715"/>
      <c r="P81" s="2715"/>
      <c r="Q81" s="2715"/>
    </row>
    <row r="82" s="2558" customFormat="1" spans="2:17">
      <c r="B82" s="2715"/>
      <c r="C82" s="2715"/>
      <c r="D82" s="2715"/>
      <c r="E82" s="2715"/>
      <c r="F82" s="2715"/>
      <c r="G82" s="2715"/>
      <c r="H82" s="2715"/>
      <c r="I82" s="2715"/>
      <c r="J82" s="2715"/>
      <c r="K82" s="2715"/>
      <c r="L82" s="2715"/>
      <c r="M82" s="2715"/>
      <c r="N82" s="2715"/>
      <c r="O82" s="2715"/>
      <c r="P82" s="2715"/>
      <c r="Q82" s="2715"/>
    </row>
    <row r="83" s="2558" customFormat="1" spans="2:17">
      <c r="B83" s="2715"/>
      <c r="C83" s="2715"/>
      <c r="D83" s="2715"/>
      <c r="E83" s="2715"/>
      <c r="F83" s="2715"/>
      <c r="G83" s="2715"/>
      <c r="H83" s="2715"/>
      <c r="I83" s="2715"/>
      <c r="J83" s="2715"/>
      <c r="K83" s="2715"/>
      <c r="L83" s="2715"/>
      <c r="M83" s="2715"/>
      <c r="N83" s="2715"/>
      <c r="O83" s="2715"/>
      <c r="P83" s="2715"/>
      <c r="Q83" s="2715"/>
    </row>
    <row r="84" s="2558" customFormat="1" spans="2:17">
      <c r="B84" s="2715"/>
      <c r="C84" s="2715"/>
      <c r="D84" s="2715"/>
      <c r="E84" s="2715"/>
      <c r="F84" s="2715"/>
      <c r="G84" s="2715"/>
      <c r="H84" s="2715"/>
      <c r="I84" s="2715"/>
      <c r="J84" s="2715"/>
      <c r="K84" s="2715"/>
      <c r="L84" s="2715"/>
      <c r="M84" s="2715"/>
      <c r="N84" s="2715"/>
      <c r="O84" s="2715"/>
      <c r="P84" s="2715"/>
      <c r="Q84" s="2715"/>
    </row>
    <row r="85" s="2558" customFormat="1" spans="2:17">
      <c r="B85" s="2715"/>
      <c r="C85" s="2715"/>
      <c r="D85" s="2715"/>
      <c r="E85" s="2715"/>
      <c r="F85" s="2715"/>
      <c r="G85" s="2715"/>
      <c r="H85" s="2715"/>
      <c r="I85" s="2715"/>
      <c r="J85" s="2715"/>
      <c r="K85" s="2715"/>
      <c r="L85" s="2715"/>
      <c r="M85" s="2715"/>
      <c r="N85" s="2715"/>
      <c r="O85" s="2715"/>
      <c r="P85" s="2715"/>
      <c r="Q85" s="2715"/>
    </row>
    <row r="86" s="2558" customFormat="1" spans="2:17">
      <c r="B86" s="2715"/>
      <c r="C86" s="2715"/>
      <c r="D86" s="2715"/>
      <c r="E86" s="2715"/>
      <c r="F86" s="2715"/>
      <c r="G86" s="2715"/>
      <c r="H86" s="2715"/>
      <c r="I86" s="2715"/>
      <c r="J86" s="2715"/>
      <c r="K86" s="2715"/>
      <c r="L86" s="2715"/>
      <c r="M86" s="2715"/>
      <c r="N86" s="2715"/>
      <c r="O86" s="2715"/>
      <c r="P86" s="2715"/>
      <c r="Q86" s="2715"/>
    </row>
    <row r="87" s="2558" customFormat="1" spans="2:17">
      <c r="B87" s="2715"/>
      <c r="C87" s="2715"/>
      <c r="D87" s="2715"/>
      <c r="E87" s="2715"/>
      <c r="F87" s="2715"/>
      <c r="G87" s="2715"/>
      <c r="H87" s="2715"/>
      <c r="I87" s="2715"/>
      <c r="J87" s="2715"/>
      <c r="K87" s="2715"/>
      <c r="L87" s="2715"/>
      <c r="M87" s="2715"/>
      <c r="N87" s="2715"/>
      <c r="O87" s="2715"/>
      <c r="P87" s="2715"/>
      <c r="Q87" s="2715"/>
    </row>
    <row r="88" s="2558" customFormat="1" spans="2:17">
      <c r="B88" s="2715"/>
      <c r="C88" s="2715"/>
      <c r="D88" s="2715"/>
      <c r="E88" s="2715"/>
      <c r="F88" s="2715"/>
      <c r="G88" s="2715"/>
      <c r="H88" s="2715"/>
      <c r="I88" s="2715"/>
      <c r="J88" s="2715"/>
      <c r="K88" s="2715"/>
      <c r="L88" s="2715"/>
      <c r="M88" s="2715"/>
      <c r="N88" s="2715"/>
      <c r="O88" s="2715"/>
      <c r="P88" s="2715"/>
      <c r="Q88" s="2715"/>
    </row>
    <row r="89" s="2558" customFormat="1" spans="2:17">
      <c r="B89" s="2715"/>
      <c r="C89" s="2715"/>
      <c r="D89" s="2715"/>
      <c r="E89" s="2715"/>
      <c r="F89" s="2715"/>
      <c r="G89" s="2715"/>
      <c r="H89" s="2715"/>
      <c r="I89" s="2715"/>
      <c r="J89" s="2715"/>
      <c r="K89" s="2715"/>
      <c r="L89" s="2715"/>
      <c r="M89" s="2715"/>
      <c r="N89" s="2715"/>
      <c r="O89" s="2715"/>
      <c r="P89" s="2715"/>
      <c r="Q89" s="2715"/>
    </row>
    <row r="90" s="2558" customFormat="1" spans="2:17">
      <c r="B90" s="2715"/>
      <c r="C90" s="2715"/>
      <c r="D90" s="2715"/>
      <c r="E90" s="2715"/>
      <c r="F90" s="2715"/>
      <c r="G90" s="2715"/>
      <c r="H90" s="2715"/>
      <c r="I90" s="2715"/>
      <c r="J90" s="2715"/>
      <c r="K90" s="2715"/>
      <c r="L90" s="2715"/>
      <c r="M90" s="2715"/>
      <c r="N90" s="2715"/>
      <c r="O90" s="2715"/>
      <c r="P90" s="2715"/>
      <c r="Q90" s="2715"/>
    </row>
    <row r="91" s="2558" customFormat="1" spans="2:17">
      <c r="B91" s="2715"/>
      <c r="C91" s="2715"/>
      <c r="D91" s="2715"/>
      <c r="E91" s="2715"/>
      <c r="F91" s="2715"/>
      <c r="G91" s="2715"/>
      <c r="H91" s="2715"/>
      <c r="I91" s="2715"/>
      <c r="J91" s="2715"/>
      <c r="K91" s="2715"/>
      <c r="L91" s="2715"/>
      <c r="M91" s="2715"/>
      <c r="N91" s="2715"/>
      <c r="O91" s="2715"/>
      <c r="P91" s="2715"/>
      <c r="Q91" s="2715"/>
    </row>
    <row r="92" s="2558" customFormat="1" spans="2:17">
      <c r="B92" s="2715"/>
      <c r="C92" s="2715"/>
      <c r="D92" s="2715"/>
      <c r="E92" s="2715"/>
      <c r="F92" s="2715"/>
      <c r="G92" s="2715"/>
      <c r="H92" s="2715"/>
      <c r="I92" s="2715"/>
      <c r="J92" s="2715"/>
      <c r="K92" s="2715"/>
      <c r="L92" s="2715"/>
      <c r="M92" s="2715"/>
      <c r="N92" s="2715"/>
      <c r="O92" s="2715"/>
      <c r="P92" s="2715"/>
      <c r="Q92" s="2715"/>
    </row>
    <row r="93" s="2558" customFormat="1" spans="2:17">
      <c r="B93" s="2715"/>
      <c r="C93" s="2715"/>
      <c r="D93" s="2715"/>
      <c r="E93" s="2715"/>
      <c r="F93" s="2715"/>
      <c r="G93" s="2715"/>
      <c r="H93" s="2715"/>
      <c r="I93" s="2715"/>
      <c r="J93" s="2715"/>
      <c r="K93" s="2715"/>
      <c r="L93" s="2715"/>
      <c r="M93" s="2715"/>
      <c r="N93" s="2715"/>
      <c r="O93" s="2715"/>
      <c r="P93" s="2715"/>
      <c r="Q93" s="2715"/>
    </row>
    <row r="94" s="2558" customFormat="1" spans="2:17">
      <c r="B94" s="2715"/>
      <c r="C94" s="2715"/>
      <c r="D94" s="2715"/>
      <c r="E94" s="2715"/>
      <c r="F94" s="2715"/>
      <c r="G94" s="2715"/>
      <c r="H94" s="2715"/>
      <c r="I94" s="2715"/>
      <c r="J94" s="2715"/>
      <c r="K94" s="2715"/>
      <c r="L94" s="2715"/>
      <c r="M94" s="2715"/>
      <c r="N94" s="2715"/>
      <c r="O94" s="2715"/>
      <c r="P94" s="2715"/>
      <c r="Q94" s="2715"/>
    </row>
    <row r="95" s="2558" customFormat="1" spans="2:17">
      <c r="B95" s="2715"/>
      <c r="C95" s="2715"/>
      <c r="D95" s="2715"/>
      <c r="E95" s="2715"/>
      <c r="F95" s="2715"/>
      <c r="G95" s="2715"/>
      <c r="H95" s="2715"/>
      <c r="I95" s="2715"/>
      <c r="J95" s="2715"/>
      <c r="K95" s="2715"/>
      <c r="L95" s="2715"/>
      <c r="M95" s="2715"/>
      <c r="N95" s="2715"/>
      <c r="O95" s="2715"/>
      <c r="P95" s="2715"/>
      <c r="Q95" s="2715"/>
    </row>
    <row r="96" s="2558" customFormat="1" spans="2:17">
      <c r="B96" s="2715"/>
      <c r="C96" s="2715"/>
      <c r="D96" s="2715"/>
      <c r="E96" s="2715"/>
      <c r="F96" s="2715"/>
      <c r="G96" s="2715"/>
      <c r="H96" s="2715"/>
      <c r="I96" s="2715"/>
      <c r="J96" s="2715"/>
      <c r="K96" s="2715"/>
      <c r="L96" s="2715"/>
      <c r="M96" s="2715"/>
      <c r="N96" s="2715"/>
      <c r="O96" s="2715"/>
      <c r="P96" s="2715"/>
      <c r="Q96" s="2715"/>
    </row>
    <row r="97" s="2558" customFormat="1" spans="2:17">
      <c r="B97" s="2715"/>
      <c r="C97" s="2715"/>
      <c r="D97" s="2715"/>
      <c r="E97" s="2715"/>
      <c r="F97" s="2715"/>
      <c r="G97" s="2715"/>
      <c r="H97" s="2715"/>
      <c r="I97" s="2715"/>
      <c r="J97" s="2715"/>
      <c r="K97" s="2715"/>
      <c r="L97" s="2715"/>
      <c r="M97" s="2715"/>
      <c r="N97" s="2715"/>
      <c r="O97" s="2715"/>
      <c r="P97" s="2715"/>
      <c r="Q97" s="2715"/>
    </row>
    <row r="98" s="2558" customFormat="1" spans="2:17">
      <c r="B98" s="2715"/>
      <c r="C98" s="2715"/>
      <c r="D98" s="2715"/>
      <c r="E98" s="2715"/>
      <c r="F98" s="2715"/>
      <c r="G98" s="2715"/>
      <c r="H98" s="2715"/>
      <c r="I98" s="2715"/>
      <c r="J98" s="2715"/>
      <c r="K98" s="2715"/>
      <c r="L98" s="2715"/>
      <c r="M98" s="2715"/>
      <c r="N98" s="2715"/>
      <c r="O98" s="2715"/>
      <c r="P98" s="2715"/>
      <c r="Q98" s="2715"/>
    </row>
    <row r="99" s="2558" customFormat="1" spans="2:17">
      <c r="B99" s="2715"/>
      <c r="C99" s="2715"/>
      <c r="D99" s="2715"/>
      <c r="E99" s="2715"/>
      <c r="F99" s="2715"/>
      <c r="G99" s="2715"/>
      <c r="H99" s="2715"/>
      <c r="I99" s="2715"/>
      <c r="J99" s="2715"/>
      <c r="K99" s="2715"/>
      <c r="L99" s="2715"/>
      <c r="M99" s="2715"/>
      <c r="N99" s="2715"/>
      <c r="O99" s="2715"/>
      <c r="P99" s="2715"/>
      <c r="Q99" s="2715"/>
    </row>
    <row r="100" s="2558" customFormat="1" spans="2:17">
      <c r="B100" s="2715"/>
      <c r="C100" s="2715"/>
      <c r="D100" s="2715"/>
      <c r="E100" s="2715"/>
      <c r="F100" s="2715"/>
      <c r="G100" s="2715"/>
      <c r="H100" s="2715"/>
      <c r="I100" s="2715"/>
      <c r="J100" s="2715"/>
      <c r="K100" s="2715"/>
      <c r="L100" s="2715"/>
      <c r="M100" s="2715"/>
      <c r="N100" s="2715"/>
      <c r="O100" s="2715"/>
      <c r="P100" s="2715"/>
      <c r="Q100" s="2715"/>
    </row>
    <row r="101" s="2558" customFormat="1" spans="2:17">
      <c r="B101" s="2715"/>
      <c r="C101" s="2715"/>
      <c r="D101" s="2715"/>
      <c r="E101" s="2715"/>
      <c r="F101" s="2715"/>
      <c r="G101" s="2715"/>
      <c r="H101" s="2715"/>
      <c r="I101" s="2715"/>
      <c r="J101" s="2715"/>
      <c r="K101" s="2715"/>
      <c r="L101" s="2715"/>
      <c r="M101" s="2715"/>
      <c r="N101" s="2715"/>
      <c r="O101" s="2715"/>
      <c r="P101" s="2715"/>
      <c r="Q101" s="2715"/>
    </row>
    <row r="102" s="2558" customFormat="1" spans="2:17">
      <c r="B102" s="2715"/>
      <c r="C102" s="2715"/>
      <c r="D102" s="2715"/>
      <c r="E102" s="2715"/>
      <c r="F102" s="2715"/>
      <c r="G102" s="2715"/>
      <c r="H102" s="2715"/>
      <c r="I102" s="2715"/>
      <c r="J102" s="2715"/>
      <c r="K102" s="2715"/>
      <c r="L102" s="2715"/>
      <c r="M102" s="2715"/>
      <c r="N102" s="2715"/>
      <c r="O102" s="2715"/>
      <c r="P102" s="2715"/>
      <c r="Q102" s="2715"/>
    </row>
    <row r="103" s="2558" customFormat="1" spans="2:17">
      <c r="B103" s="2715"/>
      <c r="C103" s="2715"/>
      <c r="D103" s="2715"/>
      <c r="E103" s="2715"/>
      <c r="F103" s="2715"/>
      <c r="G103" s="2715"/>
      <c r="H103" s="2715"/>
      <c r="I103" s="2715"/>
      <c r="J103" s="2715"/>
      <c r="K103" s="2715"/>
      <c r="L103" s="2715"/>
      <c r="M103" s="2715"/>
      <c r="N103" s="2715"/>
      <c r="O103" s="2715"/>
      <c r="P103" s="2715"/>
      <c r="Q103" s="2715"/>
    </row>
    <row r="104" s="2558" customFormat="1" spans="2:17">
      <c r="B104" s="2715"/>
      <c r="C104" s="2715"/>
      <c r="D104" s="2715"/>
      <c r="E104" s="2715"/>
      <c r="F104" s="2715"/>
      <c r="G104" s="2715"/>
      <c r="H104" s="2715"/>
      <c r="I104" s="2715"/>
      <c r="J104" s="2715"/>
      <c r="K104" s="2715"/>
      <c r="L104" s="2715"/>
      <c r="M104" s="2715"/>
      <c r="N104" s="2715"/>
      <c r="O104" s="2715"/>
      <c r="P104" s="2715"/>
      <c r="Q104" s="2715"/>
    </row>
    <row r="105" s="2558" customFormat="1" spans="2:17">
      <c r="B105" s="2715"/>
      <c r="C105" s="2715"/>
      <c r="D105" s="2715"/>
      <c r="E105" s="2715"/>
      <c r="F105" s="2715"/>
      <c r="G105" s="2715"/>
      <c r="H105" s="2715"/>
      <c r="I105" s="2715"/>
      <c r="J105" s="2715"/>
      <c r="K105" s="2715"/>
      <c r="L105" s="2715"/>
      <c r="M105" s="2715"/>
      <c r="N105" s="2715"/>
      <c r="O105" s="2715"/>
      <c r="P105" s="2715"/>
      <c r="Q105" s="2715"/>
    </row>
    <row r="106" s="2558" customFormat="1" spans="2:17">
      <c r="B106" s="2715"/>
      <c r="C106" s="2715"/>
      <c r="D106" s="2715"/>
      <c r="E106" s="2715"/>
      <c r="F106" s="2715"/>
      <c r="G106" s="2715"/>
      <c r="H106" s="2715"/>
      <c r="I106" s="2715"/>
      <c r="J106" s="2715"/>
      <c r="K106" s="2715"/>
      <c r="L106" s="2715"/>
      <c r="M106" s="2715"/>
      <c r="N106" s="2715"/>
      <c r="O106" s="2715"/>
      <c r="P106" s="2715"/>
      <c r="Q106" s="2715"/>
    </row>
    <row r="107" s="2558" customFormat="1" spans="2:17">
      <c r="B107" s="2715"/>
      <c r="C107" s="2715"/>
      <c r="D107" s="2715"/>
      <c r="E107" s="2715"/>
      <c r="F107" s="2715"/>
      <c r="G107" s="2715"/>
      <c r="H107" s="2715"/>
      <c r="I107" s="2715"/>
      <c r="J107" s="2715"/>
      <c r="K107" s="2715"/>
      <c r="L107" s="2715"/>
      <c r="M107" s="2715"/>
      <c r="N107" s="2715"/>
      <c r="O107" s="2715"/>
      <c r="P107" s="2715"/>
      <c r="Q107" s="2715"/>
    </row>
    <row r="108" s="2558" customFormat="1" spans="2:17">
      <c r="B108" s="2715"/>
      <c r="C108" s="2715"/>
      <c r="D108" s="2715"/>
      <c r="E108" s="2715"/>
      <c r="F108" s="2715"/>
      <c r="G108" s="2715"/>
      <c r="H108" s="2715"/>
      <c r="I108" s="2715"/>
      <c r="J108" s="2715"/>
      <c r="K108" s="2715"/>
      <c r="L108" s="2715"/>
      <c r="M108" s="2715"/>
      <c r="N108" s="2715"/>
      <c r="O108" s="2715"/>
      <c r="P108" s="2715"/>
      <c r="Q108" s="2715"/>
    </row>
    <row r="109" s="2558" customFormat="1" spans="2:17">
      <c r="B109" s="2715"/>
      <c r="C109" s="2715"/>
      <c r="D109" s="2715"/>
      <c r="E109" s="2715"/>
      <c r="F109" s="2715"/>
      <c r="G109" s="2715"/>
      <c r="H109" s="2715"/>
      <c r="I109" s="2715"/>
      <c r="J109" s="2715"/>
      <c r="K109" s="2715"/>
      <c r="L109" s="2715"/>
      <c r="M109" s="2715"/>
      <c r="N109" s="2715"/>
      <c r="O109" s="2715"/>
      <c r="P109" s="2715"/>
      <c r="Q109" s="2715"/>
    </row>
    <row r="110" s="2558" customFormat="1" spans="2:17">
      <c r="B110" s="2715"/>
      <c r="C110" s="2715"/>
      <c r="D110" s="2715"/>
      <c r="E110" s="2715"/>
      <c r="F110" s="2715"/>
      <c r="G110" s="2715"/>
      <c r="H110" s="2715"/>
      <c r="I110" s="2715"/>
      <c r="J110" s="2715"/>
      <c r="K110" s="2715"/>
      <c r="L110" s="2715"/>
      <c r="M110" s="2715"/>
      <c r="N110" s="2715"/>
      <c r="O110" s="2715"/>
      <c r="P110" s="2715"/>
      <c r="Q110" s="2715"/>
    </row>
    <row r="111" s="2558" customFormat="1" spans="2:17">
      <c r="B111" s="2715"/>
      <c r="C111" s="2715"/>
      <c r="D111" s="2715"/>
      <c r="E111" s="2715"/>
      <c r="F111" s="2715"/>
      <c r="G111" s="2715"/>
      <c r="H111" s="2715"/>
      <c r="I111" s="2715"/>
      <c r="J111" s="2715"/>
      <c r="K111" s="2715"/>
      <c r="L111" s="2715"/>
      <c r="M111" s="2715"/>
      <c r="N111" s="2715"/>
      <c r="O111" s="2715"/>
      <c r="P111" s="2715"/>
      <c r="Q111" s="2715"/>
    </row>
    <row r="112" s="2558" customFormat="1" spans="2:17">
      <c r="B112" s="2715"/>
      <c r="C112" s="2715"/>
      <c r="D112" s="2715"/>
      <c r="E112" s="2715"/>
      <c r="F112" s="2715"/>
      <c r="G112" s="2715"/>
      <c r="H112" s="2715"/>
      <c r="I112" s="2715"/>
      <c r="J112" s="2715"/>
      <c r="K112" s="2715"/>
      <c r="L112" s="2715"/>
      <c r="M112" s="2715"/>
      <c r="N112" s="2715"/>
      <c r="O112" s="2715"/>
      <c r="P112" s="2715"/>
      <c r="Q112" s="2715"/>
    </row>
    <row r="113" s="2558" customFormat="1" spans="2:17">
      <c r="B113" s="2715"/>
      <c r="C113" s="2715"/>
      <c r="D113" s="2715"/>
      <c r="E113" s="2715"/>
      <c r="F113" s="2715"/>
      <c r="G113" s="2715"/>
      <c r="H113" s="2715"/>
      <c r="I113" s="2715"/>
      <c r="J113" s="2715"/>
      <c r="K113" s="2715"/>
      <c r="L113" s="2715"/>
      <c r="M113" s="2715"/>
      <c r="N113" s="2715"/>
      <c r="O113" s="2715"/>
      <c r="P113" s="2715"/>
      <c r="Q113" s="2715"/>
    </row>
    <row r="114" s="2558" customFormat="1" spans="2:17">
      <c r="B114" s="2715"/>
      <c r="C114" s="2715"/>
      <c r="D114" s="2715"/>
      <c r="E114" s="2715"/>
      <c r="F114" s="2715"/>
      <c r="G114" s="2715"/>
      <c r="H114" s="2715"/>
      <c r="I114" s="2715"/>
      <c r="J114" s="2715"/>
      <c r="K114" s="2715"/>
      <c r="L114" s="2715"/>
      <c r="M114" s="2715"/>
      <c r="N114" s="2715"/>
      <c r="O114" s="2715"/>
      <c r="P114" s="2715"/>
      <c r="Q114" s="2715"/>
    </row>
    <row r="115" s="2558" customFormat="1" spans="2:17">
      <c r="B115" s="2715"/>
      <c r="C115" s="2715"/>
      <c r="D115" s="2715"/>
      <c r="E115" s="2715"/>
      <c r="F115" s="2715"/>
      <c r="G115" s="2715"/>
      <c r="H115" s="2715"/>
      <c r="I115" s="2715"/>
      <c r="J115" s="2715"/>
      <c r="K115" s="2715"/>
      <c r="L115" s="2715"/>
      <c r="M115" s="2715"/>
      <c r="N115" s="2715"/>
      <c r="O115" s="2715"/>
      <c r="P115" s="2715"/>
      <c r="Q115" s="2715"/>
    </row>
    <row r="116" s="2558" customFormat="1" spans="2:17">
      <c r="B116" s="2715"/>
      <c r="C116" s="2715"/>
      <c r="D116" s="2715"/>
      <c r="E116" s="2715"/>
      <c r="F116" s="2715"/>
      <c r="G116" s="2715"/>
      <c r="H116" s="2715"/>
      <c r="I116" s="2715"/>
      <c r="J116" s="2715"/>
      <c r="K116" s="2715"/>
      <c r="L116" s="2715"/>
      <c r="M116" s="2715"/>
      <c r="N116" s="2715"/>
      <c r="O116" s="2715"/>
      <c r="P116" s="2715"/>
      <c r="Q116" s="2715"/>
    </row>
    <row r="117" s="2558" customFormat="1" spans="2:17">
      <c r="B117" s="2715"/>
      <c r="C117" s="2715"/>
      <c r="D117" s="2715"/>
      <c r="E117" s="2715"/>
      <c r="F117" s="2715"/>
      <c r="G117" s="2715"/>
      <c r="H117" s="2715"/>
      <c r="I117" s="2715"/>
      <c r="J117" s="2715"/>
      <c r="K117" s="2715"/>
      <c r="L117" s="2715"/>
      <c r="M117" s="2715"/>
      <c r="N117" s="2715"/>
      <c r="O117" s="2715"/>
      <c r="P117" s="2715"/>
      <c r="Q117" s="2715"/>
    </row>
    <row r="118" s="2558" customFormat="1" spans="2:17">
      <c r="B118" s="2715"/>
      <c r="C118" s="2715"/>
      <c r="D118" s="2715"/>
      <c r="E118" s="2715"/>
      <c r="F118" s="2715"/>
      <c r="G118" s="2715"/>
      <c r="H118" s="2715"/>
      <c r="I118" s="2715"/>
      <c r="J118" s="2715"/>
      <c r="K118" s="2715"/>
      <c r="L118" s="2715"/>
      <c r="M118" s="2715"/>
      <c r="N118" s="2715"/>
      <c r="O118" s="2715"/>
      <c r="P118" s="2715"/>
      <c r="Q118" s="2715"/>
    </row>
    <row r="119" s="2558" customFormat="1" spans="2:17">
      <c r="B119" s="2715"/>
      <c r="C119" s="2715"/>
      <c r="D119" s="2715"/>
      <c r="E119" s="2715"/>
      <c r="F119" s="2715"/>
      <c r="G119" s="2715"/>
      <c r="H119" s="2715"/>
      <c r="I119" s="2715"/>
      <c r="J119" s="2715"/>
      <c r="K119" s="2715"/>
      <c r="L119" s="2715"/>
      <c r="M119" s="2715"/>
      <c r="N119" s="2715"/>
      <c r="O119" s="2715"/>
      <c r="P119" s="2715"/>
      <c r="Q119" s="2715"/>
    </row>
    <row r="120" s="2558" customFormat="1" spans="2:17">
      <c r="B120" s="2715"/>
      <c r="C120" s="2715"/>
      <c r="D120" s="2715"/>
      <c r="E120" s="2715"/>
      <c r="F120" s="2715"/>
      <c r="G120" s="2715"/>
      <c r="H120" s="2715"/>
      <c r="I120" s="2715"/>
      <c r="J120" s="2715"/>
      <c r="K120" s="2715"/>
      <c r="L120" s="2715"/>
      <c r="M120" s="2715"/>
      <c r="N120" s="2715"/>
      <c r="O120" s="2715"/>
      <c r="P120" s="2715"/>
      <c r="Q120" s="2715"/>
    </row>
    <row r="121" s="2558" customFormat="1" spans="2:17">
      <c r="B121" s="2715"/>
      <c r="C121" s="2715"/>
      <c r="D121" s="2715"/>
      <c r="E121" s="2715"/>
      <c r="F121" s="2715"/>
      <c r="G121" s="2715"/>
      <c r="H121" s="2715"/>
      <c r="I121" s="2715"/>
      <c r="J121" s="2715"/>
      <c r="K121" s="2715"/>
      <c r="L121" s="2715"/>
      <c r="M121" s="2715"/>
      <c r="N121" s="2715"/>
      <c r="O121" s="2715"/>
      <c r="P121" s="2715"/>
      <c r="Q121" s="2715"/>
    </row>
    <row r="122" s="2558" customFormat="1" spans="2:17">
      <c r="B122" s="2715"/>
      <c r="C122" s="2715"/>
      <c r="D122" s="2715"/>
      <c r="E122" s="2715"/>
      <c r="F122" s="2715"/>
      <c r="G122" s="2715"/>
      <c r="H122" s="2715"/>
      <c r="I122" s="2715"/>
      <c r="J122" s="2715"/>
      <c r="K122" s="2715"/>
      <c r="L122" s="2715"/>
      <c r="M122" s="2715"/>
      <c r="N122" s="2715"/>
      <c r="O122" s="2715"/>
      <c r="P122" s="2715"/>
      <c r="Q122" s="2715"/>
    </row>
    <row r="123" s="2558" customFormat="1" spans="2:17">
      <c r="B123" s="2715"/>
      <c r="C123" s="2715"/>
      <c r="D123" s="2715"/>
      <c r="E123" s="2715"/>
      <c r="F123" s="2715"/>
      <c r="G123" s="2715"/>
      <c r="H123" s="2715"/>
      <c r="I123" s="2715"/>
      <c r="J123" s="2715"/>
      <c r="K123" s="2715"/>
      <c r="L123" s="2715"/>
      <c r="M123" s="2715"/>
      <c r="N123" s="2715"/>
      <c r="O123" s="2715"/>
      <c r="P123" s="2715"/>
      <c r="Q123" s="2715"/>
    </row>
    <row r="124" s="2558" customFormat="1" spans="2:17">
      <c r="B124" s="2715"/>
      <c r="C124" s="2715"/>
      <c r="D124" s="2715"/>
      <c r="E124" s="2715"/>
      <c r="F124" s="2715"/>
      <c r="G124" s="2715"/>
      <c r="H124" s="2715"/>
      <c r="I124" s="2715"/>
      <c r="J124" s="2715"/>
      <c r="K124" s="2715"/>
      <c r="L124" s="2715"/>
      <c r="M124" s="2715"/>
      <c r="N124" s="2715"/>
      <c r="O124" s="2715"/>
      <c r="P124" s="2715"/>
      <c r="Q124" s="2715"/>
    </row>
    <row r="125" s="2558" customFormat="1" spans="2:17">
      <c r="B125" s="2715"/>
      <c r="C125" s="2715"/>
      <c r="D125" s="2715"/>
      <c r="E125" s="2715"/>
      <c r="F125" s="2715"/>
      <c r="G125" s="2715"/>
      <c r="H125" s="2715"/>
      <c r="I125" s="2715"/>
      <c r="J125" s="2715"/>
      <c r="K125" s="2715"/>
      <c r="L125" s="2715"/>
      <c r="M125" s="2715"/>
      <c r="N125" s="2715"/>
      <c r="O125" s="2715"/>
      <c r="P125" s="2715"/>
      <c r="Q125" s="2715"/>
    </row>
    <row r="126" s="2558" customFormat="1" spans="2:17">
      <c r="B126" s="2715"/>
      <c r="C126" s="2715"/>
      <c r="D126" s="2715"/>
      <c r="E126" s="2715"/>
      <c r="F126" s="2715"/>
      <c r="G126" s="2715"/>
      <c r="H126" s="2715"/>
      <c r="I126" s="2715"/>
      <c r="J126" s="2715"/>
      <c r="K126" s="2715"/>
      <c r="L126" s="2715"/>
      <c r="M126" s="2715"/>
      <c r="N126" s="2715"/>
      <c r="O126" s="2715"/>
      <c r="P126" s="2715"/>
      <c r="Q126" s="2715"/>
    </row>
    <row r="127" s="2558" customFormat="1" spans="2:17">
      <c r="B127" s="2715"/>
      <c r="C127" s="2715"/>
      <c r="D127" s="2715"/>
      <c r="E127" s="2715"/>
      <c r="F127" s="2715"/>
      <c r="G127" s="2715"/>
      <c r="H127" s="2715"/>
      <c r="I127" s="2715"/>
      <c r="J127" s="2715"/>
      <c r="K127" s="2715"/>
      <c r="L127" s="2715"/>
      <c r="M127" s="2715"/>
      <c r="N127" s="2715"/>
      <c r="O127" s="2715"/>
      <c r="P127" s="2715"/>
      <c r="Q127" s="2715"/>
    </row>
    <row r="128" s="2558" customFormat="1" spans="2:17">
      <c r="B128" s="2715"/>
      <c r="C128" s="2715"/>
      <c r="D128" s="2715"/>
      <c r="E128" s="2715"/>
      <c r="F128" s="2715"/>
      <c r="G128" s="2715"/>
      <c r="H128" s="2715"/>
      <c r="I128" s="2715"/>
      <c r="J128" s="2715"/>
      <c r="K128" s="2715"/>
      <c r="L128" s="2715"/>
      <c r="M128" s="2715"/>
      <c r="N128" s="2715"/>
      <c r="O128" s="2715"/>
      <c r="P128" s="2715"/>
      <c r="Q128" s="2715"/>
    </row>
    <row r="129" s="2558" customFormat="1" spans="2:17">
      <c r="B129" s="2715"/>
      <c r="C129" s="2715"/>
      <c r="D129" s="2715"/>
      <c r="E129" s="2715"/>
      <c r="F129" s="2715"/>
      <c r="G129" s="2715"/>
      <c r="H129" s="2715"/>
      <c r="I129" s="2715"/>
      <c r="J129" s="2715"/>
      <c r="K129" s="2715"/>
      <c r="L129" s="2715"/>
      <c r="M129" s="2715"/>
      <c r="N129" s="2715"/>
      <c r="O129" s="2715"/>
      <c r="P129" s="2715"/>
      <c r="Q129" s="2715"/>
    </row>
    <row r="130" s="2558" customFormat="1" spans="2:17">
      <c r="B130" s="2715"/>
      <c r="C130" s="2715"/>
      <c r="D130" s="2715"/>
      <c r="E130" s="2715"/>
      <c r="F130" s="2715"/>
      <c r="G130" s="2715"/>
      <c r="H130" s="2715"/>
      <c r="I130" s="2715"/>
      <c r="J130" s="2715"/>
      <c r="K130" s="2715"/>
      <c r="L130" s="2715"/>
      <c r="M130" s="2715"/>
      <c r="N130" s="2715"/>
      <c r="O130" s="2715"/>
      <c r="P130" s="2715"/>
      <c r="Q130" s="2715"/>
    </row>
    <row r="131" s="2558" customFormat="1" spans="2:17">
      <c r="B131" s="2715"/>
      <c r="C131" s="2715"/>
      <c r="D131" s="2715"/>
      <c r="E131" s="2715"/>
      <c r="F131" s="2715"/>
      <c r="G131" s="2715"/>
      <c r="H131" s="2715"/>
      <c r="I131" s="2715"/>
      <c r="J131" s="2715"/>
      <c r="K131" s="2715"/>
      <c r="L131" s="2715"/>
      <c r="M131" s="2715"/>
      <c r="N131" s="2715"/>
      <c r="O131" s="2715"/>
      <c r="P131" s="2715"/>
      <c r="Q131" s="2715"/>
    </row>
    <row r="132" s="2558" customFormat="1" spans="2:17">
      <c r="B132" s="2715"/>
      <c r="C132" s="2715"/>
      <c r="D132" s="2715"/>
      <c r="E132" s="2715"/>
      <c r="F132" s="2715"/>
      <c r="G132" s="2715"/>
      <c r="H132" s="2715"/>
      <c r="I132" s="2715"/>
      <c r="J132" s="2715"/>
      <c r="K132" s="2715"/>
      <c r="L132" s="2715"/>
      <c r="M132" s="2715"/>
      <c r="N132" s="2715"/>
      <c r="O132" s="2715"/>
      <c r="P132" s="2715"/>
      <c r="Q132" s="2715"/>
    </row>
    <row r="133" s="2558" customFormat="1" spans="2:17">
      <c r="B133" s="2715"/>
      <c r="C133" s="2715"/>
      <c r="D133" s="2715"/>
      <c r="E133" s="2715"/>
      <c r="F133" s="2715"/>
      <c r="G133" s="2715"/>
      <c r="H133" s="2715"/>
      <c r="I133" s="2715"/>
      <c r="J133" s="2715"/>
      <c r="K133" s="2715"/>
      <c r="L133" s="2715"/>
      <c r="M133" s="2715"/>
      <c r="N133" s="2715"/>
      <c r="O133" s="2715"/>
      <c r="P133" s="2715"/>
      <c r="Q133" s="2715"/>
    </row>
    <row r="134" s="2558" customFormat="1" spans="2:17">
      <c r="B134" s="2715"/>
      <c r="C134" s="2715"/>
      <c r="D134" s="2715"/>
      <c r="E134" s="2715"/>
      <c r="F134" s="2715"/>
      <c r="G134" s="2715"/>
      <c r="H134" s="2715"/>
      <c r="I134" s="2715"/>
      <c r="J134" s="2715"/>
      <c r="K134" s="2715"/>
      <c r="L134" s="2715"/>
      <c r="M134" s="2715"/>
      <c r="N134" s="2715"/>
      <c r="O134" s="2715"/>
      <c r="P134" s="2715"/>
      <c r="Q134" s="2715"/>
    </row>
    <row r="135" s="2558" customFormat="1" spans="2:17">
      <c r="B135" s="2715"/>
      <c r="C135" s="2715"/>
      <c r="D135" s="2715"/>
      <c r="E135" s="2715"/>
      <c r="F135" s="2715"/>
      <c r="G135" s="2715"/>
      <c r="H135" s="2715"/>
      <c r="I135" s="2715"/>
      <c r="J135" s="2715"/>
      <c r="K135" s="2715"/>
      <c r="L135" s="2715"/>
      <c r="M135" s="2715"/>
      <c r="N135" s="2715"/>
      <c r="O135" s="2715"/>
      <c r="P135" s="2715"/>
      <c r="Q135" s="2715"/>
    </row>
    <row r="136" s="2558" customFormat="1" spans="2:17">
      <c r="B136" s="2715"/>
      <c r="C136" s="2715"/>
      <c r="D136" s="2715"/>
      <c r="E136" s="2715"/>
      <c r="F136" s="2715"/>
      <c r="G136" s="2715"/>
      <c r="H136" s="2715"/>
      <c r="I136" s="2715"/>
      <c r="J136" s="2715"/>
      <c r="K136" s="2715"/>
      <c r="L136" s="2715"/>
      <c r="M136" s="2715"/>
      <c r="N136" s="2715"/>
      <c r="O136" s="2715"/>
      <c r="P136" s="2715"/>
      <c r="Q136" s="2715"/>
    </row>
    <row r="137" s="2558" customFormat="1" spans="2:17">
      <c r="B137" s="2715"/>
      <c r="C137" s="2715"/>
      <c r="D137" s="2715"/>
      <c r="E137" s="2715"/>
      <c r="F137" s="2715"/>
      <c r="G137" s="2715"/>
      <c r="H137" s="2715"/>
      <c r="I137" s="2715"/>
      <c r="J137" s="2715"/>
      <c r="K137" s="2715"/>
      <c r="L137" s="2715"/>
      <c r="M137" s="2715"/>
      <c r="N137" s="2715"/>
      <c r="O137" s="2715"/>
      <c r="P137" s="2715"/>
      <c r="Q137" s="2715"/>
    </row>
    <row r="138" s="2558" customFormat="1" spans="2:17">
      <c r="B138" s="2715"/>
      <c r="C138" s="2715"/>
      <c r="D138" s="2715"/>
      <c r="E138" s="2715"/>
      <c r="F138" s="2715"/>
      <c r="G138" s="2715"/>
      <c r="H138" s="2715"/>
      <c r="I138" s="2715"/>
      <c r="J138" s="2715"/>
      <c r="K138" s="2715"/>
      <c r="L138" s="2715"/>
      <c r="M138" s="2715"/>
      <c r="N138" s="2715"/>
      <c r="O138" s="2715"/>
      <c r="P138" s="2715"/>
      <c r="Q138" s="2715"/>
    </row>
    <row r="139" s="2558" customFormat="1" spans="2:17">
      <c r="B139" s="2715"/>
      <c r="C139" s="2715"/>
      <c r="D139" s="2715"/>
      <c r="E139" s="2715"/>
      <c r="F139" s="2715"/>
      <c r="G139" s="2715"/>
      <c r="H139" s="2715"/>
      <c r="I139" s="2715"/>
      <c r="J139" s="2715"/>
      <c r="K139" s="2715"/>
      <c r="L139" s="2715"/>
      <c r="M139" s="2715"/>
      <c r="N139" s="2715"/>
      <c r="O139" s="2715"/>
      <c r="P139" s="2715"/>
      <c r="Q139" s="2715"/>
    </row>
    <row r="140" s="2558" customFormat="1" spans="2:17">
      <c r="B140" s="2715"/>
      <c r="C140" s="2715"/>
      <c r="D140" s="2715"/>
      <c r="E140" s="2715"/>
      <c r="F140" s="2715"/>
      <c r="G140" s="2715"/>
      <c r="H140" s="2715"/>
      <c r="I140" s="2715"/>
      <c r="J140" s="2715"/>
      <c r="K140" s="2715"/>
      <c r="L140" s="2715"/>
      <c r="M140" s="2715"/>
      <c r="N140" s="2715"/>
      <c r="O140" s="2715"/>
      <c r="P140" s="2715"/>
      <c r="Q140" s="2715"/>
    </row>
    <row r="141" s="2558" customFormat="1" spans="2:17">
      <c r="B141" s="2715"/>
      <c r="C141" s="2715"/>
      <c r="D141" s="2715"/>
      <c r="E141" s="2715"/>
      <c r="F141" s="2715"/>
      <c r="G141" s="2715"/>
      <c r="H141" s="2715"/>
      <c r="I141" s="2715"/>
      <c r="J141" s="2715"/>
      <c r="K141" s="2715"/>
      <c r="L141" s="2715"/>
      <c r="M141" s="2715"/>
      <c r="N141" s="2715"/>
      <c r="O141" s="2715"/>
      <c r="P141" s="2715"/>
      <c r="Q141" s="2715"/>
    </row>
    <row r="142" s="2558" customFormat="1" spans="2:17">
      <c r="B142" s="2715"/>
      <c r="C142" s="2715"/>
      <c r="D142" s="2715"/>
      <c r="E142" s="2715"/>
      <c r="F142" s="2715"/>
      <c r="G142" s="2715"/>
      <c r="H142" s="2715"/>
      <c r="I142" s="2715"/>
      <c r="J142" s="2715"/>
      <c r="K142" s="2715"/>
      <c r="L142" s="2715"/>
      <c r="M142" s="2715"/>
      <c r="N142" s="2715"/>
      <c r="O142" s="2715"/>
      <c r="P142" s="2715"/>
      <c r="Q142" s="2715"/>
    </row>
    <row r="143" s="2558" customFormat="1" spans="2:17">
      <c r="B143" s="2715"/>
      <c r="C143" s="2715"/>
      <c r="D143" s="2715"/>
      <c r="E143" s="2715"/>
      <c r="F143" s="2715"/>
      <c r="G143" s="2715"/>
      <c r="H143" s="2715"/>
      <c r="I143" s="2715"/>
      <c r="J143" s="2715"/>
      <c r="K143" s="2715"/>
      <c r="L143" s="2715"/>
      <c r="M143" s="2715"/>
      <c r="N143" s="2715"/>
      <c r="O143" s="2715"/>
      <c r="P143" s="2715"/>
      <c r="Q143" s="2715"/>
    </row>
    <row r="144" s="2558" customFormat="1" spans="2:17">
      <c r="B144" s="2715"/>
      <c r="C144" s="2715"/>
      <c r="D144" s="2715"/>
      <c r="E144" s="2715"/>
      <c r="F144" s="2715"/>
      <c r="G144" s="2715"/>
      <c r="H144" s="2715"/>
      <c r="I144" s="2715"/>
      <c r="J144" s="2715"/>
      <c r="K144" s="2715"/>
      <c r="L144" s="2715"/>
      <c r="M144" s="2715"/>
      <c r="N144" s="2715"/>
      <c r="O144" s="2715"/>
      <c r="P144" s="2715"/>
      <c r="Q144" s="2715"/>
    </row>
    <row r="145" s="2558" customFormat="1" spans="2:17">
      <c r="B145" s="2715"/>
      <c r="C145" s="2715"/>
      <c r="D145" s="2715"/>
      <c r="E145" s="2715"/>
      <c r="F145" s="2715"/>
      <c r="G145" s="2715"/>
      <c r="H145" s="2715"/>
      <c r="I145" s="2715"/>
      <c r="J145" s="2715"/>
      <c r="K145" s="2715"/>
      <c r="L145" s="2715"/>
      <c r="M145" s="2715"/>
      <c r="N145" s="2715"/>
      <c r="O145" s="2715"/>
      <c r="P145" s="2715"/>
      <c r="Q145" s="2715"/>
    </row>
    <row r="146" s="2558" customFormat="1" spans="2:17">
      <c r="B146" s="2715"/>
      <c r="C146" s="2715"/>
      <c r="D146" s="2715"/>
      <c r="E146" s="2715"/>
      <c r="F146" s="2715"/>
      <c r="G146" s="2715"/>
      <c r="H146" s="2715"/>
      <c r="I146" s="2715"/>
      <c r="J146" s="2715"/>
      <c r="K146" s="2715"/>
      <c r="L146" s="2715"/>
      <c r="M146" s="2715"/>
      <c r="N146" s="2715"/>
      <c r="O146" s="2715"/>
      <c r="P146" s="2715"/>
      <c r="Q146" s="2715"/>
    </row>
    <row r="147" s="2558" customFormat="1" spans="2:17">
      <c r="B147" s="2715"/>
      <c r="C147" s="2715"/>
      <c r="D147" s="2715"/>
      <c r="E147" s="2715"/>
      <c r="F147" s="2715"/>
      <c r="G147" s="2715"/>
      <c r="H147" s="2715"/>
      <c r="I147" s="2715"/>
      <c r="J147" s="2715"/>
      <c r="K147" s="2715"/>
      <c r="L147" s="2715"/>
      <c r="M147" s="2715"/>
      <c r="N147" s="2715"/>
      <c r="O147" s="2715"/>
      <c r="P147" s="2715"/>
      <c r="Q147" s="2715"/>
    </row>
    <row r="148" s="2558" customFormat="1" spans="2:17">
      <c r="B148" s="2715"/>
      <c r="C148" s="2715"/>
      <c r="D148" s="2715"/>
      <c r="E148" s="2715"/>
      <c r="F148" s="2715"/>
      <c r="G148" s="2715"/>
      <c r="H148" s="2715"/>
      <c r="I148" s="2715"/>
      <c r="J148" s="2715"/>
      <c r="K148" s="2715"/>
      <c r="L148" s="2715"/>
      <c r="M148" s="2715"/>
      <c r="N148" s="2715"/>
      <c r="O148" s="2715"/>
      <c r="P148" s="2715"/>
      <c r="Q148" s="2715"/>
    </row>
    <row r="149" s="2558" customFormat="1" spans="2:17">
      <c r="B149" s="2715"/>
      <c r="C149" s="2715"/>
      <c r="D149" s="2715"/>
      <c r="E149" s="2715"/>
      <c r="F149" s="2715"/>
      <c r="G149" s="2715"/>
      <c r="H149" s="2715"/>
      <c r="I149" s="2715"/>
      <c r="J149" s="2715"/>
      <c r="K149" s="2715"/>
      <c r="L149" s="2715"/>
      <c r="M149" s="2715"/>
      <c r="N149" s="2715"/>
      <c r="O149" s="2715"/>
      <c r="P149" s="2715"/>
      <c r="Q149" s="2715"/>
    </row>
    <row r="150" s="2558" customFormat="1" spans="2:17">
      <c r="B150" s="2715"/>
      <c r="C150" s="2715"/>
      <c r="D150" s="2715"/>
      <c r="E150" s="2715"/>
      <c r="F150" s="2715"/>
      <c r="G150" s="2715"/>
      <c r="H150" s="2715"/>
      <c r="I150" s="2715"/>
      <c r="J150" s="2715"/>
      <c r="K150" s="2715"/>
      <c r="L150" s="2715"/>
      <c r="M150" s="2715"/>
      <c r="N150" s="2715"/>
      <c r="O150" s="2715"/>
      <c r="P150" s="2715"/>
      <c r="Q150" s="2715"/>
    </row>
    <row r="151" s="2558" customFormat="1" spans="2:17">
      <c r="B151" s="2715"/>
      <c r="C151" s="2715"/>
      <c r="D151" s="2715"/>
      <c r="E151" s="2715"/>
      <c r="F151" s="2715"/>
      <c r="G151" s="2715"/>
      <c r="H151" s="2715"/>
      <c r="I151" s="2715"/>
      <c r="J151" s="2715"/>
      <c r="K151" s="2715"/>
      <c r="L151" s="2715"/>
      <c r="M151" s="2715"/>
      <c r="N151" s="2715"/>
      <c r="O151" s="2715"/>
      <c r="P151" s="2715"/>
      <c r="Q151" s="2715"/>
    </row>
    <row r="152" s="2558" customFormat="1" spans="2:17">
      <c r="B152" s="2715"/>
      <c r="C152" s="2715"/>
      <c r="D152" s="2715"/>
      <c r="E152" s="2715"/>
      <c r="F152" s="2715"/>
      <c r="G152" s="2715"/>
      <c r="H152" s="2715"/>
      <c r="I152" s="2715"/>
      <c r="J152" s="2715"/>
      <c r="K152" s="2715"/>
      <c r="L152" s="2715"/>
      <c r="M152" s="2715"/>
      <c r="N152" s="2715"/>
      <c r="O152" s="2715"/>
      <c r="P152" s="2715"/>
      <c r="Q152" s="2715"/>
    </row>
    <row r="153" s="2558" customFormat="1" spans="2:17">
      <c r="B153" s="2715"/>
      <c r="C153" s="2715"/>
      <c r="D153" s="2715"/>
      <c r="E153" s="2715"/>
      <c r="F153" s="2715"/>
      <c r="G153" s="2715"/>
      <c r="H153" s="2715"/>
      <c r="I153" s="2715"/>
      <c r="J153" s="2715"/>
      <c r="K153" s="2715"/>
      <c r="L153" s="2715"/>
      <c r="M153" s="2715"/>
      <c r="N153" s="2715"/>
      <c r="O153" s="2715"/>
      <c r="P153" s="2715"/>
      <c r="Q153" s="2715"/>
    </row>
    <row r="154" s="2558" customFormat="1" spans="2:17">
      <c r="B154" s="2715"/>
      <c r="C154" s="2715"/>
      <c r="D154" s="2715"/>
      <c r="E154" s="2715"/>
      <c r="F154" s="2715"/>
      <c r="G154" s="2715"/>
      <c r="H154" s="2715"/>
      <c r="I154" s="2715"/>
      <c r="J154" s="2715"/>
      <c r="K154" s="2715"/>
      <c r="L154" s="2715"/>
      <c r="M154" s="2715"/>
      <c r="N154" s="2715"/>
      <c r="O154" s="2715"/>
      <c r="P154" s="2715"/>
      <c r="Q154" s="2715"/>
    </row>
    <row r="155" s="2558" customFormat="1" spans="2:17">
      <c r="B155" s="2715"/>
      <c r="C155" s="2715"/>
      <c r="D155" s="2715"/>
      <c r="E155" s="2715"/>
      <c r="F155" s="2715"/>
      <c r="G155" s="2715"/>
      <c r="H155" s="2715"/>
      <c r="I155" s="2715"/>
      <c r="J155" s="2715"/>
      <c r="K155" s="2715"/>
      <c r="L155" s="2715"/>
      <c r="M155" s="2715"/>
      <c r="N155" s="2715"/>
      <c r="O155" s="2715"/>
      <c r="P155" s="2715"/>
      <c r="Q155" s="2715"/>
    </row>
    <row r="156" s="2558" customFormat="1" spans="2:17">
      <c r="B156" s="2715"/>
      <c r="C156" s="2715"/>
      <c r="D156" s="2715"/>
      <c r="E156" s="2715"/>
      <c r="F156" s="2715"/>
      <c r="G156" s="2715"/>
      <c r="H156" s="2715"/>
      <c r="I156" s="2715"/>
      <c r="J156" s="2715"/>
      <c r="K156" s="2715"/>
      <c r="L156" s="2715"/>
      <c r="M156" s="2715"/>
      <c r="N156" s="2715"/>
      <c r="O156" s="2715"/>
      <c r="P156" s="2715"/>
      <c r="Q156" s="2715"/>
    </row>
    <row r="157" s="2558" customFormat="1" spans="2:17">
      <c r="B157" s="2715"/>
      <c r="C157" s="2715"/>
      <c r="D157" s="2715"/>
      <c r="E157" s="2715"/>
      <c r="F157" s="2715"/>
      <c r="G157" s="2715"/>
      <c r="H157" s="2715"/>
      <c r="I157" s="2715"/>
      <c r="J157" s="2715"/>
      <c r="K157" s="2715"/>
      <c r="L157" s="2715"/>
      <c r="M157" s="2715"/>
      <c r="N157" s="2715"/>
      <c r="O157" s="2715"/>
      <c r="P157" s="2715"/>
      <c r="Q157" s="2715"/>
    </row>
    <row r="158" s="2558" customFormat="1" spans="2:17">
      <c r="B158" s="2715"/>
      <c r="C158" s="2715"/>
      <c r="D158" s="2715"/>
      <c r="E158" s="2715"/>
      <c r="F158" s="2715"/>
      <c r="G158" s="2715"/>
      <c r="H158" s="2715"/>
      <c r="I158" s="2715"/>
      <c r="J158" s="2715"/>
      <c r="K158" s="2715"/>
      <c r="L158" s="2715"/>
      <c r="M158" s="2715"/>
      <c r="N158" s="2715"/>
      <c r="O158" s="2715"/>
      <c r="P158" s="2715"/>
      <c r="Q158" s="2715"/>
    </row>
    <row r="159" s="2558" customFormat="1" spans="2:17">
      <c r="B159" s="2715"/>
      <c r="C159" s="2715"/>
      <c r="D159" s="2715"/>
      <c r="E159" s="2715"/>
      <c r="F159" s="2715"/>
      <c r="G159" s="2715"/>
      <c r="H159" s="2715"/>
      <c r="I159" s="2715"/>
      <c r="J159" s="2715"/>
      <c r="K159" s="2715"/>
      <c r="L159" s="2715"/>
      <c r="M159" s="2715"/>
      <c r="N159" s="2715"/>
      <c r="O159" s="2715"/>
      <c r="P159" s="2715"/>
      <c r="Q159" s="2715"/>
    </row>
    <row r="160" s="2558" customFormat="1" spans="2:17">
      <c r="B160" s="2715"/>
      <c r="C160" s="2715"/>
      <c r="D160" s="2715"/>
      <c r="E160" s="2715"/>
      <c r="F160" s="2715"/>
      <c r="G160" s="2715"/>
      <c r="H160" s="2715"/>
      <c r="I160" s="2715"/>
      <c r="J160" s="2715"/>
      <c r="K160" s="2715"/>
      <c r="L160" s="2715"/>
      <c r="M160" s="2715"/>
      <c r="N160" s="2715"/>
      <c r="O160" s="2715"/>
      <c r="P160" s="2715"/>
      <c r="Q160" s="2715"/>
    </row>
    <row r="161" s="2558" customFormat="1" spans="2:17">
      <c r="B161" s="2715"/>
      <c r="C161" s="2715"/>
      <c r="D161" s="2715"/>
      <c r="E161" s="2715"/>
      <c r="F161" s="2715"/>
      <c r="G161" s="2715"/>
      <c r="H161" s="2715"/>
      <c r="I161" s="2715"/>
      <c r="J161" s="2715"/>
      <c r="K161" s="2715"/>
      <c r="L161" s="2715"/>
      <c r="M161" s="2715"/>
      <c r="N161" s="2715"/>
      <c r="O161" s="2715"/>
      <c r="P161" s="2715"/>
      <c r="Q161" s="2715"/>
    </row>
    <row r="162" s="2558" customFormat="1" spans="2:17">
      <c r="B162" s="2715"/>
      <c r="C162" s="2715"/>
      <c r="D162" s="2715"/>
      <c r="E162" s="2715"/>
      <c r="F162" s="2715"/>
      <c r="G162" s="2715"/>
      <c r="H162" s="2715"/>
      <c r="I162" s="2715"/>
      <c r="J162" s="2715"/>
      <c r="K162" s="2715"/>
      <c r="L162" s="2715"/>
      <c r="M162" s="2715"/>
      <c r="N162" s="2715"/>
      <c r="O162" s="2715"/>
      <c r="P162" s="2715"/>
      <c r="Q162" s="2715"/>
    </row>
    <row r="163" s="2558" customFormat="1" spans="2:17">
      <c r="B163" s="2715"/>
      <c r="C163" s="2715"/>
      <c r="D163" s="2715"/>
      <c r="E163" s="2715"/>
      <c r="F163" s="2715"/>
      <c r="G163" s="2715"/>
      <c r="H163" s="2715"/>
      <c r="I163" s="2715"/>
      <c r="J163" s="2715"/>
      <c r="K163" s="2715"/>
      <c r="L163" s="2715"/>
      <c r="M163" s="2715"/>
      <c r="N163" s="2715"/>
      <c r="O163" s="2715"/>
      <c r="P163" s="2715"/>
      <c r="Q163" s="2715"/>
    </row>
    <row r="164" s="2558" customFormat="1" spans="2:17">
      <c r="B164" s="2715"/>
      <c r="C164" s="2715"/>
      <c r="D164" s="2715"/>
      <c r="E164" s="2715"/>
      <c r="F164" s="2715"/>
      <c r="G164" s="2715"/>
      <c r="H164" s="2715"/>
      <c r="I164" s="2715"/>
      <c r="J164" s="2715"/>
      <c r="K164" s="2715"/>
      <c r="L164" s="2715"/>
      <c r="M164" s="2715"/>
      <c r="N164" s="2715"/>
      <c r="O164" s="2715"/>
      <c r="P164" s="2715"/>
      <c r="Q164" s="2715"/>
    </row>
    <row r="165" s="2558" customFormat="1" spans="2:17">
      <c r="B165" s="2715"/>
      <c r="C165" s="2715"/>
      <c r="D165" s="2715"/>
      <c r="E165" s="2715"/>
      <c r="F165" s="2715"/>
      <c r="G165" s="2715"/>
      <c r="H165" s="2715"/>
      <c r="I165" s="2715"/>
      <c r="J165" s="2715"/>
      <c r="K165" s="2715"/>
      <c r="L165" s="2715"/>
      <c r="M165" s="2715"/>
      <c r="N165" s="2715"/>
      <c r="O165" s="2715"/>
      <c r="P165" s="2715"/>
      <c r="Q165" s="2715"/>
    </row>
    <row r="166" s="2558" customFormat="1" spans="2:17">
      <c r="B166" s="2715"/>
      <c r="C166" s="2715"/>
      <c r="D166" s="2715"/>
      <c r="E166" s="2715"/>
      <c r="F166" s="2715"/>
      <c r="G166" s="2715"/>
      <c r="H166" s="2715"/>
      <c r="I166" s="2715"/>
      <c r="J166" s="2715"/>
      <c r="K166" s="2715"/>
      <c r="L166" s="2715"/>
      <c r="M166" s="2715"/>
      <c r="N166" s="2715"/>
      <c r="O166" s="2715"/>
      <c r="P166" s="2715"/>
      <c r="Q166" s="2715"/>
    </row>
    <row r="167" s="2558" customFormat="1" spans="2:17">
      <c r="B167" s="2715"/>
      <c r="C167" s="2715"/>
      <c r="D167" s="2715"/>
      <c r="E167" s="2715"/>
      <c r="F167" s="2715"/>
      <c r="G167" s="2715"/>
      <c r="H167" s="2715"/>
      <c r="I167" s="2715"/>
      <c r="J167" s="2715"/>
      <c r="K167" s="2715"/>
      <c r="L167" s="2715"/>
      <c r="M167" s="2715"/>
      <c r="N167" s="2715"/>
      <c r="O167" s="2715"/>
      <c r="P167" s="2715"/>
      <c r="Q167" s="2715"/>
    </row>
    <row r="168" s="2558" customFormat="1" spans="2:17">
      <c r="B168" s="2715"/>
      <c r="C168" s="2715"/>
      <c r="D168" s="2715"/>
      <c r="E168" s="2715"/>
      <c r="F168" s="2715"/>
      <c r="G168" s="2715"/>
      <c r="H168" s="2715"/>
      <c r="I168" s="2715"/>
      <c r="J168" s="2715"/>
      <c r="K168" s="2715"/>
      <c r="L168" s="2715"/>
      <c r="M168" s="2715"/>
      <c r="N168" s="2715"/>
      <c r="O168" s="2715"/>
      <c r="P168" s="2715"/>
      <c r="Q168" s="2715"/>
    </row>
    <row r="169" s="2558" customFormat="1" spans="2:17">
      <c r="B169" s="2715"/>
      <c r="C169" s="2715"/>
      <c r="D169" s="2715"/>
      <c r="E169" s="2715"/>
      <c r="F169" s="2715"/>
      <c r="G169" s="2715"/>
      <c r="H169" s="2715"/>
      <c r="I169" s="2715"/>
      <c r="J169" s="2715"/>
      <c r="K169" s="2715"/>
      <c r="L169" s="2715"/>
      <c r="M169" s="2715"/>
      <c r="N169" s="2715"/>
      <c r="O169" s="2715"/>
      <c r="P169" s="2715"/>
      <c r="Q169" s="2715"/>
    </row>
    <row r="170" s="2558" customFormat="1" spans="2:17">
      <c r="B170" s="2715"/>
      <c r="C170" s="2715"/>
      <c r="D170" s="2715"/>
      <c r="E170" s="2715"/>
      <c r="F170" s="2715"/>
      <c r="G170" s="2715"/>
      <c r="H170" s="2715"/>
      <c r="I170" s="2715"/>
      <c r="J170" s="2715"/>
      <c r="K170" s="2715"/>
      <c r="L170" s="2715"/>
      <c r="M170" s="2715"/>
      <c r="N170" s="2715"/>
      <c r="O170" s="2715"/>
      <c r="P170" s="2715"/>
      <c r="Q170" s="2715"/>
    </row>
    <row r="171" s="2558" customFormat="1" spans="2:17">
      <c r="B171" s="2715"/>
      <c r="C171" s="2715"/>
      <c r="D171" s="2715"/>
      <c r="E171" s="2715"/>
      <c r="F171" s="2715"/>
      <c r="G171" s="2715"/>
      <c r="H171" s="2715"/>
      <c r="I171" s="2715"/>
      <c r="J171" s="2715"/>
      <c r="K171" s="2715"/>
      <c r="L171" s="2715"/>
      <c r="M171" s="2715"/>
      <c r="N171" s="2715"/>
      <c r="O171" s="2715"/>
      <c r="P171" s="2715"/>
      <c r="Q171" s="2715"/>
    </row>
    <row r="172" s="2558" customFormat="1" spans="2:17">
      <c r="B172" s="2715"/>
      <c r="C172" s="2715"/>
      <c r="D172" s="2715"/>
      <c r="E172" s="2715"/>
      <c r="F172" s="2715"/>
      <c r="G172" s="2715"/>
      <c r="H172" s="2715"/>
      <c r="I172" s="2715"/>
      <c r="J172" s="2715"/>
      <c r="K172" s="2715"/>
      <c r="L172" s="2715"/>
      <c r="M172" s="2715"/>
      <c r="N172" s="2715"/>
      <c r="O172" s="2715"/>
      <c r="P172" s="2715"/>
      <c r="Q172" s="2715"/>
    </row>
    <row r="173" s="2558" customFormat="1" spans="2:17">
      <c r="B173" s="2715"/>
      <c r="C173" s="2715"/>
      <c r="D173" s="2715"/>
      <c r="E173" s="2715"/>
      <c r="F173" s="2715"/>
      <c r="G173" s="2715"/>
      <c r="H173" s="2715"/>
      <c r="I173" s="2715"/>
      <c r="J173" s="2715"/>
      <c r="K173" s="2715"/>
      <c r="L173" s="2715"/>
      <c r="M173" s="2715"/>
      <c r="N173" s="2715"/>
      <c r="O173" s="2715"/>
      <c r="P173" s="2715"/>
      <c r="Q173" s="2715"/>
    </row>
    <row r="174" s="2558" customFormat="1" spans="2:17">
      <c r="B174" s="2715"/>
      <c r="C174" s="2715"/>
      <c r="D174" s="2715"/>
      <c r="E174" s="2715"/>
      <c r="F174" s="2715"/>
      <c r="G174" s="2715"/>
      <c r="H174" s="2715"/>
      <c r="I174" s="2715"/>
      <c r="J174" s="2715"/>
      <c r="K174" s="2715"/>
      <c r="L174" s="2715"/>
      <c r="M174" s="2715"/>
      <c r="N174" s="2715"/>
      <c r="O174" s="2715"/>
      <c r="P174" s="2715"/>
      <c r="Q174" s="2715"/>
    </row>
    <row r="175" s="2558" customFormat="1" spans="2:17">
      <c r="B175" s="2715"/>
      <c r="C175" s="2715"/>
      <c r="D175" s="2715"/>
      <c r="E175" s="2715"/>
      <c r="F175" s="2715"/>
      <c r="G175" s="2715"/>
      <c r="H175" s="2715"/>
      <c r="I175" s="2715"/>
      <c r="J175" s="2715"/>
      <c r="K175" s="2715"/>
      <c r="L175" s="2715"/>
      <c r="M175" s="2715"/>
      <c r="N175" s="2715"/>
      <c r="O175" s="2715"/>
      <c r="P175" s="2715"/>
      <c r="Q175" s="2715"/>
    </row>
    <row r="176" s="2558" customFormat="1" spans="2:17">
      <c r="B176" s="2715"/>
      <c r="C176" s="2715"/>
      <c r="D176" s="2715"/>
      <c r="E176" s="2715"/>
      <c r="F176" s="2715"/>
      <c r="G176" s="2715"/>
      <c r="H176" s="2715"/>
      <c r="I176" s="2715"/>
      <c r="J176" s="2715"/>
      <c r="K176" s="2715"/>
      <c r="L176" s="2715"/>
      <c r="M176" s="2715"/>
      <c r="N176" s="2715"/>
      <c r="O176" s="2715"/>
      <c r="P176" s="2715"/>
      <c r="Q176" s="2715"/>
    </row>
    <row r="177" s="2558" customFormat="1" spans="2:17">
      <c r="B177" s="2715"/>
      <c r="C177" s="2715"/>
      <c r="D177" s="2715"/>
      <c r="E177" s="2715"/>
      <c r="F177" s="2715"/>
      <c r="G177" s="2715"/>
      <c r="H177" s="2715"/>
      <c r="I177" s="2715"/>
      <c r="J177" s="2715"/>
      <c r="K177" s="2715"/>
      <c r="L177" s="2715"/>
      <c r="M177" s="2715"/>
      <c r="N177" s="2715"/>
      <c r="O177" s="2715"/>
      <c r="P177" s="2715"/>
      <c r="Q177" s="2715"/>
    </row>
    <row r="178" s="2558" customFormat="1" spans="2:17">
      <c r="B178" s="2715"/>
      <c r="C178" s="2715"/>
      <c r="D178" s="2715"/>
      <c r="E178" s="2715"/>
      <c r="F178" s="2715"/>
      <c r="G178" s="2715"/>
      <c r="H178" s="2715"/>
      <c r="I178" s="2715"/>
      <c r="J178" s="2715"/>
      <c r="K178" s="2715"/>
      <c r="L178" s="2715"/>
      <c r="M178" s="2715"/>
      <c r="N178" s="2715"/>
      <c r="O178" s="2715"/>
      <c r="P178" s="2715"/>
      <c r="Q178" s="2715"/>
    </row>
    <row r="179" s="2558" customFormat="1" spans="2:17">
      <c r="B179" s="2715"/>
      <c r="C179" s="2715"/>
      <c r="D179" s="2715"/>
      <c r="E179" s="2715"/>
      <c r="F179" s="2715"/>
      <c r="G179" s="2715"/>
      <c r="H179" s="2715"/>
      <c r="I179" s="2715"/>
      <c r="J179" s="2715"/>
      <c r="K179" s="2715"/>
      <c r="L179" s="2715"/>
      <c r="M179" s="2715"/>
      <c r="N179" s="2715"/>
      <c r="O179" s="2715"/>
      <c r="P179" s="2715"/>
      <c r="Q179" s="2715"/>
    </row>
    <row r="180" s="2558" customFormat="1" spans="2:17">
      <c r="B180" s="2715"/>
      <c r="C180" s="2715"/>
      <c r="D180" s="2715"/>
      <c r="E180" s="2715"/>
      <c r="F180" s="2715"/>
      <c r="G180" s="2715"/>
      <c r="H180" s="2715"/>
      <c r="I180" s="2715"/>
      <c r="J180" s="2715"/>
      <c r="K180" s="2715"/>
      <c r="L180" s="2715"/>
      <c r="M180" s="2715"/>
      <c r="N180" s="2715"/>
      <c r="O180" s="2715"/>
      <c r="P180" s="2715"/>
      <c r="Q180" s="2715"/>
    </row>
    <row r="181" s="2558" customFormat="1" spans="2:17">
      <c r="B181" s="2715"/>
      <c r="C181" s="2715"/>
      <c r="D181" s="2715"/>
      <c r="E181" s="2715"/>
      <c r="F181" s="2715"/>
      <c r="G181" s="2715"/>
      <c r="H181" s="2715"/>
      <c r="I181" s="2715"/>
      <c r="J181" s="2715"/>
      <c r="K181" s="2715"/>
      <c r="L181" s="2715"/>
      <c r="M181" s="2715"/>
      <c r="N181" s="2715"/>
      <c r="O181" s="2715"/>
      <c r="P181" s="2715"/>
      <c r="Q181" s="2715"/>
    </row>
    <row r="182" s="2558" customFormat="1" spans="2:17">
      <c r="B182" s="2715"/>
      <c r="C182" s="2715"/>
      <c r="D182" s="2715"/>
      <c r="E182" s="2715"/>
      <c r="F182" s="2715"/>
      <c r="G182" s="2715"/>
      <c r="H182" s="2715"/>
      <c r="I182" s="2715"/>
      <c r="J182" s="2715"/>
      <c r="K182" s="2715"/>
      <c r="L182" s="2715"/>
      <c r="M182" s="2715"/>
      <c r="N182" s="2715"/>
      <c r="O182" s="2715"/>
      <c r="P182" s="2715"/>
      <c r="Q182" s="2715"/>
    </row>
    <row r="183" s="2558" customFormat="1" spans="2:17">
      <c r="B183" s="2715"/>
      <c r="C183" s="2715"/>
      <c r="D183" s="2715"/>
      <c r="E183" s="2715"/>
      <c r="F183" s="2715"/>
      <c r="G183" s="2715"/>
      <c r="H183" s="2715"/>
      <c r="I183" s="2715"/>
      <c r="J183" s="2715"/>
      <c r="K183" s="2715"/>
      <c r="L183" s="2715"/>
      <c r="M183" s="2715"/>
      <c r="N183" s="2715"/>
      <c r="O183" s="2715"/>
      <c r="P183" s="2715"/>
      <c r="Q183" s="2715"/>
    </row>
    <row r="184" s="2558" customFormat="1" spans="2:17">
      <c r="B184" s="2715"/>
      <c r="C184" s="2715"/>
      <c r="D184" s="2715"/>
      <c r="E184" s="2715"/>
      <c r="F184" s="2715"/>
      <c r="G184" s="2715"/>
      <c r="H184" s="2715"/>
      <c r="I184" s="2715"/>
      <c r="J184" s="2715"/>
      <c r="K184" s="2715"/>
      <c r="L184" s="2715"/>
      <c r="M184" s="2715"/>
      <c r="N184" s="2715"/>
      <c r="O184" s="2715"/>
      <c r="P184" s="2715"/>
      <c r="Q184" s="2715"/>
    </row>
    <row r="185" s="2558" customFormat="1" spans="2:17">
      <c r="B185" s="2715"/>
      <c r="C185" s="2715"/>
      <c r="D185" s="2715"/>
      <c r="E185" s="2715"/>
      <c r="F185" s="2715"/>
      <c r="G185" s="2715"/>
      <c r="H185" s="2715"/>
      <c r="I185" s="2715"/>
      <c r="J185" s="2715"/>
      <c r="K185" s="2715"/>
      <c r="L185" s="2715"/>
      <c r="M185" s="2715"/>
      <c r="N185" s="2715"/>
      <c r="O185" s="2715"/>
      <c r="P185" s="2715"/>
      <c r="Q185" s="2715"/>
    </row>
    <row r="186" spans="1:7">
      <c r="A186" s="2558"/>
      <c r="B186" s="2715"/>
      <c r="C186" s="2715"/>
      <c r="E186" s="2715"/>
      <c r="F186" s="2715"/>
      <c r="G186" s="2715"/>
    </row>
    <row r="187" spans="1:7">
      <c r="A187" s="2558"/>
      <c r="B187" s="2715"/>
      <c r="C187" s="2715"/>
      <c r="E187" s="2715"/>
      <c r="F187" s="2715"/>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zoomScale="80" zoomScaleNormal="80" workbookViewId="0">
      <selection activeCell="C13" sqref="C13"/>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customWidth="1"/>
    <col min="8" max="8" width="9" style="2692"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2">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5">
        <f ca="1">典型户型修正仓储!S24</f>
        <v>40.6122</v>
      </c>
      <c r="M9" s="2704">
        <f ca="1" t="shared" si="1"/>
        <v>3.6783</v>
      </c>
      <c r="N9" s="2705">
        <f ca="1" t="shared" si="2"/>
        <v>0.2023</v>
      </c>
      <c r="O9" s="2705">
        <f ca="1">ROUND(L9*$M$19,4)</f>
        <v>0.0203</v>
      </c>
      <c r="P9" s="2705">
        <v>0</v>
      </c>
      <c r="Q9" s="2705">
        <f ca="1" t="shared" si="3"/>
        <v>0.7357</v>
      </c>
      <c r="R9" s="2705">
        <f ca="1" t="shared" si="4"/>
        <v>0.9583</v>
      </c>
      <c r="S9" s="2705">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5">
        <f ca="1">典型户型修正仓储!S25</f>
        <v>35.3682</v>
      </c>
      <c r="M10" s="2704">
        <f ca="1" t="shared" ref="M10:M15" si="7">ROUND(L10/1.05-I10,4)</f>
        <v>-6.8322</v>
      </c>
      <c r="N10" s="2705">
        <f ca="1" t="shared" ref="N10:N15" si="8">IF(M10&lt;=0,0,ROUND(M10*$M$17,4))</f>
        <v>0</v>
      </c>
      <c r="O10" s="2705">
        <f ca="1" t="shared" ref="O10:O15" si="9">ROUND(L10*$M$19,4)</f>
        <v>0.0177</v>
      </c>
      <c r="P10" s="2705">
        <v>0</v>
      </c>
      <c r="Q10" s="2705">
        <f ca="1" t="shared" ref="Q10:Q15" si="10">IF(M10&lt;=0,0,ROUND(M10*$M$18,4))</f>
        <v>0</v>
      </c>
      <c r="R10" s="2705">
        <f ca="1" t="shared" si="4"/>
        <v>0.0177</v>
      </c>
      <c r="S10" s="2705">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5">
        <f ca="1">典型户型修正仓储!S26</f>
        <v>20.5088</v>
      </c>
      <c r="M11" s="2704">
        <f ca="1" t="shared" si="7"/>
        <v>0.4095</v>
      </c>
      <c r="N11" s="2705">
        <f ca="1" t="shared" si="8"/>
        <v>0.0225</v>
      </c>
      <c r="O11" s="2705">
        <f ca="1" t="shared" si="9"/>
        <v>0.0103</v>
      </c>
      <c r="P11" s="2705">
        <v>0</v>
      </c>
      <c r="Q11" s="2705">
        <f ca="1" t="shared" si="10"/>
        <v>0.0819</v>
      </c>
      <c r="R11" s="2705">
        <f ca="1" t="shared" si="4"/>
        <v>0.1147</v>
      </c>
      <c r="S11" s="2705">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5">
        <f ca="1">典型户型修正仓储!S27</f>
        <v>40.9082</v>
      </c>
      <c r="M12" s="2704">
        <f ca="1" t="shared" si="7"/>
        <v>3.9602</v>
      </c>
      <c r="N12" s="2705">
        <f ca="1" t="shared" si="8"/>
        <v>0.2178</v>
      </c>
      <c r="O12" s="2705">
        <f ca="1" t="shared" si="9"/>
        <v>0.0205</v>
      </c>
      <c r="P12" s="2705">
        <v>0</v>
      </c>
      <c r="Q12" s="2705">
        <f ca="1" t="shared" si="10"/>
        <v>0.792</v>
      </c>
      <c r="R12" s="2705">
        <f ca="1" t="shared" si="4"/>
        <v>1.0303</v>
      </c>
      <c r="S12" s="2705">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10.9566</v>
      </c>
      <c r="M13" s="2704">
        <f ca="1" t="shared" si="7"/>
        <v>6.9349</v>
      </c>
      <c r="N13" s="2705">
        <f ca="1" t="shared" si="8"/>
        <v>0.3814</v>
      </c>
      <c r="O13" s="2705">
        <f ca="1" t="shared" si="9"/>
        <v>0.0055</v>
      </c>
      <c r="P13" s="2709">
        <v>1.7399</v>
      </c>
      <c r="Q13" s="2705">
        <f ca="1" t="shared" si="10"/>
        <v>1.387</v>
      </c>
      <c r="R13" s="2705">
        <f ca="1" t="shared" si="4"/>
        <v>3.5138</v>
      </c>
      <c r="S13" s="2705">
        <f ca="1" t="shared" si="6"/>
        <v>7.4428</v>
      </c>
      <c r="T13" s="2692">
        <f ca="1" t="shared" si="0"/>
        <v>2706</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10.9566</v>
      </c>
      <c r="M14" s="2704">
        <f ca="1" t="shared" si="7"/>
        <v>6.9349</v>
      </c>
      <c r="N14" s="2705">
        <f ca="1" t="shared" si="8"/>
        <v>0.3814</v>
      </c>
      <c r="O14" s="2705">
        <f ca="1" t="shared" si="9"/>
        <v>0.0055</v>
      </c>
      <c r="P14" s="2709">
        <f>P13</f>
        <v>1.7399</v>
      </c>
      <c r="Q14" s="2705">
        <f ca="1" t="shared" si="10"/>
        <v>1.387</v>
      </c>
      <c r="R14" s="2705">
        <f ca="1" t="shared" si="4"/>
        <v>3.5138</v>
      </c>
      <c r="S14" s="2705">
        <f ca="1" t="shared" si="6"/>
        <v>7.4428</v>
      </c>
      <c r="T14" s="2692">
        <f ca="1" t="shared" si="0"/>
        <v>2706</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10.9566</v>
      </c>
      <c r="M15" s="2704">
        <f ca="1" t="shared" si="7"/>
        <v>6.9349</v>
      </c>
      <c r="N15" s="2705">
        <f ca="1" t="shared" si="8"/>
        <v>0.3814</v>
      </c>
      <c r="O15" s="2705">
        <f ca="1" t="shared" si="9"/>
        <v>0.0055</v>
      </c>
      <c r="P15" s="2709">
        <f>P13</f>
        <v>1.7399</v>
      </c>
      <c r="Q15" s="2705">
        <f ca="1" t="shared" si="10"/>
        <v>1.387</v>
      </c>
      <c r="R15" s="2705">
        <f ca="1" t="shared" si="4"/>
        <v>3.5138</v>
      </c>
      <c r="S15" s="2705">
        <f ca="1" t="shared" si="6"/>
        <v>7.4428</v>
      </c>
      <c r="T15" s="2692">
        <f ca="1" t="shared" si="0"/>
        <v>2706</v>
      </c>
      <c r="U15" s="2692">
        <f ca="1" t="shared" si="5"/>
        <v>1838</v>
      </c>
    </row>
    <row r="16" spans="1:19">
      <c r="A16" s="2692" t="s">
        <v>392</v>
      </c>
      <c r="E16" s="2692">
        <f>SUM(E4:E15)</f>
        <v>621.81</v>
      </c>
      <c r="L16" s="2709">
        <f ca="1">SUM(L4:L15)</f>
        <v>661.3095</v>
      </c>
      <c r="M16" s="2704"/>
      <c r="N16" s="2705"/>
      <c r="O16" s="2705"/>
      <c r="P16" s="2705"/>
      <c r="Q16" s="2705"/>
      <c r="R16" s="2705">
        <f ca="1">SUM(R4:R15)</f>
        <v>33.6903</v>
      </c>
      <c r="S16" s="2705">
        <f ca="1">SUM(S4:S15)</f>
        <v>627.6192</v>
      </c>
    </row>
    <row r="17" spans="12:13">
      <c r="L17" s="2692" t="s">
        <v>812</v>
      </c>
      <c r="M17" s="2710">
        <v>0.055</v>
      </c>
    </row>
    <row r="18" spans="12:13">
      <c r="L18" s="2692" t="s">
        <v>815</v>
      </c>
      <c r="M18" s="2711">
        <v>0.2</v>
      </c>
    </row>
    <row r="19" spans="12:13">
      <c r="L19" s="2692" t="s">
        <v>813</v>
      </c>
      <c r="M19" s="2710">
        <v>0.0005</v>
      </c>
    </row>
    <row r="20" spans="18:19">
      <c r="R20" s="2692" t="s">
        <v>844</v>
      </c>
      <c r="S20" s="2692">
        <f ca="1">S5+S6+S7+S8</f>
        <v>322.6324</v>
      </c>
    </row>
    <row r="21" spans="18:19">
      <c r="R21" s="2692" t="s">
        <v>845</v>
      </c>
      <c r="S21" s="2692">
        <f ca="1">ROUND(S20*10000/223.13,0)</f>
        <v>14459</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121.47</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32.8698</v>
      </c>
      <c r="C5" s="2680">
        <f ca="1">E14</f>
        <v>2706</v>
      </c>
      <c r="D5" s="2680" t="e">
        <f ca="1">ROUND(B5*10000/$B$2,0)</f>
        <v>#DIV/0!</v>
      </c>
      <c r="E5" s="2681"/>
      <c r="F5" s="2682"/>
      <c r="G5" s="2682"/>
      <c r="H5" s="2682"/>
      <c r="I5" s="2682"/>
      <c r="J5" s="2682"/>
      <c r="K5" s="2682"/>
    </row>
    <row r="6" ht="16.5" spans="1:11">
      <c r="A6" s="2680" t="s">
        <v>854</v>
      </c>
      <c r="B6" s="2680">
        <f ca="1">SUM(G14:G23)</f>
        <v>32.8698</v>
      </c>
      <c r="C6" s="2680">
        <f ca="1">C5</f>
        <v>2706</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22.3284</v>
      </c>
      <c r="C8" s="2680">
        <f ca="1">ROUND(B8*10000/B1,0)</f>
        <v>1838</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 (3)'!B22</f>
        <v>121.47</v>
      </c>
      <c r="C14" s="2691"/>
      <c r="D14" s="2691">
        <f ca="1">'典型户型修正 (3)'!S22</f>
        <v>32.8698</v>
      </c>
      <c r="E14" s="2691">
        <f ca="1">ROUND(D14*10000/B14,0)</f>
        <v>2706</v>
      </c>
      <c r="F14" s="2691" t="e">
        <f ca="1">ROUND(D14*10000/C14,0)</f>
        <v>#DIV/0!</v>
      </c>
      <c r="G14" s="2691">
        <f ca="1">D14</f>
        <v>32.8698</v>
      </c>
      <c r="H14" s="2691"/>
      <c r="I14" s="2691">
        <f ca="1">清单、结果表!S13+清单、结果表!S14+清单、结果表!S15</f>
        <v>22.3284</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2">
      <c r="A36" s="3430" t="s">
        <v>75</v>
      </c>
      <c r="B36" s="3430" t="s">
        <v>76</v>
      </c>
    </row>
    <row r="37" ht="27.75" customHeight="1" spans="1:9">
      <c r="A37" s="3430"/>
      <c r="B37" s="3432" t="str">
        <f>项目基本情况!B1</f>
        <v>北京市房地产抵押价值预评估</v>
      </c>
      <c r="C37" s="3432"/>
      <c r="D37" s="3432"/>
      <c r="E37" s="3432"/>
      <c r="F37" s="3432"/>
      <c r="G37" s="3432"/>
      <c r="H37" s="3432"/>
      <c r="I37" s="3432"/>
    </row>
    <row r="38" spans="1:2">
      <c r="A38" s="3433"/>
      <c r="B38" s="3433"/>
    </row>
    <row r="39" spans="1:2">
      <c r="A39" s="3430" t="s">
        <v>75</v>
      </c>
      <c r="B39" s="3430" t="s">
        <v>77</v>
      </c>
    </row>
    <row r="40" spans="1:2">
      <c r="A40" s="3430"/>
      <c r="B40" s="3434">
        <f>项目基本情况!B5</f>
        <v>0</v>
      </c>
    </row>
    <row r="41" spans="1:2">
      <c r="A41" s="3430"/>
      <c r="B41" s="3430"/>
    </row>
    <row r="42" spans="1:2">
      <c r="A42" s="3430" t="s">
        <v>75</v>
      </c>
      <c r="B42" s="3430" t="s">
        <v>78</v>
      </c>
    </row>
    <row r="43" spans="1:2">
      <c r="A43" s="3430"/>
      <c r="B43" s="3434" t="s">
        <v>79</v>
      </c>
    </row>
    <row r="44" spans="1:2">
      <c r="A44" s="3430"/>
      <c r="B44" s="3430"/>
    </row>
    <row r="45" spans="1:2">
      <c r="A45" s="3430" t="s">
        <v>75</v>
      </c>
      <c r="B45" s="3430" t="s">
        <v>80</v>
      </c>
    </row>
    <row r="46" s="3430" customFormat="1" ht="12.75" spans="2:2">
      <c r="B46" s="3434" t="str">
        <f ca="1">项目基本情况!K4</f>
        <v>（注册号：0)、（注册号：0)</v>
      </c>
    </row>
    <row r="47" spans="1:2">
      <c r="A47" s="3430"/>
      <c r="B47" s="3430" t="str">
        <f ca="1">项目基本情况!K5</f>
        <v>（注册号：0)、（注册号：0)</v>
      </c>
    </row>
    <row r="48" spans="1:2">
      <c r="A48" s="3430" t="s">
        <v>75</v>
      </c>
      <c r="B48" s="3430" t="s">
        <v>81</v>
      </c>
    </row>
    <row r="49" spans="2:2">
      <c r="B49" s="34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2" t="s">
        <v>82</v>
      </c>
    </row>
    <row r="3" ht="18" spans="1:1">
      <c r="A3" s="3423" t="str">
        <f>项目基本情况!B5&amp;"："</f>
        <v>：</v>
      </c>
    </row>
    <row r="4" ht="18.75" spans="1:1">
      <c r="A4" s="3424" t="str">
        <f>"受贵公司委托，我公司对"&amp;项目基本情况!S1&amp;"进行了预评估。"</f>
        <v>受贵公司委托，我公司对北京市房地产抵押价值进行了预评估。</v>
      </c>
    </row>
    <row r="5" ht="18.75" spans="1:1">
      <c r="A5" s="3425" t="s">
        <v>83</v>
      </c>
    </row>
    <row r="6" ht="18.75" spans="1:1">
      <c r="A6" s="3426" t="s">
        <v>84</v>
      </c>
    </row>
    <row r="7" ht="37.5" spans="1:1">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7" t="s">
        <v>85</v>
      </c>
    </row>
    <row r="9" ht="18.75" spans="1:1">
      <c r="A9" s="3426" t="s">
        <v>86</v>
      </c>
    </row>
    <row r="10" ht="56.25" spans="1:1">
      <c r="A10" s="342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7" t="s">
        <v>87</v>
      </c>
    </row>
    <row r="12" ht="18.75" spans="1:1">
      <c r="A12" s="3425"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3" t="s">
        <v>89</v>
      </c>
    </row>
    <row r="15" ht="18" spans="1:1">
      <c r="A15" s="3428" t="str">
        <f>TEXT(项目基本情况!D3,"yyyy年m月d日;;")&amp;IF(项目基本情况!D3=项目基本情况!B3,"（评估专业人员实地查勘之日）","")</f>
        <v>2025年7月14日</v>
      </c>
    </row>
    <row r="16" ht="18.75" spans="1:1">
      <c r="A16" s="3423" t="s">
        <v>90</v>
      </c>
    </row>
    <row r="17" ht="75" spans="1:1">
      <c r="A17" s="3424" t="s">
        <v>91</v>
      </c>
    </row>
    <row r="18" ht="56.25" spans="1:1">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3" t="s">
        <v>92</v>
      </c>
    </row>
    <row r="24" ht="18" spans="1:1">
      <c r="A24" s="3380" t="str">
        <f>"本次评估采用的主估价方法为"&amp;结果表办公!K4&amp;"和"&amp;结果表办公!L4&amp;"。"</f>
        <v>本次评估采用的主估价方法为比较法和收益法。</v>
      </c>
    </row>
    <row r="25" ht="18" spans="1:1">
      <c r="A25" s="3380"/>
    </row>
    <row r="26" ht="18.75" spans="1:1">
      <c r="A26" s="3429"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66" sqref="D66"/>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ht="18.75" spans="1:1">
      <c r="A1" s="3394" t="s">
        <v>94</v>
      </c>
    </row>
    <row r="2" ht="78" customHeight="1" spans="1:5">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5"/>
      <c r="C2" s="3395"/>
      <c r="D2" s="3395"/>
      <c r="E2" s="3395"/>
    </row>
    <row r="3" ht="18" spans="1:5">
      <c r="A3" s="3396" t="str">
        <f>IF(项目基本情况!B9="房地产市场价值","估价结果一览表（市场价值不需“结果表-1”）","估价结果一览表")</f>
        <v>估价结果一览表</v>
      </c>
      <c r="B3" s="3396"/>
      <c r="C3" s="3396"/>
      <c r="D3" s="3396"/>
      <c r="E3" s="3396"/>
    </row>
    <row r="4" ht="19.5" spans="1:5">
      <c r="A4" s="3396"/>
      <c r="B4" s="3397" t="s">
        <v>95</v>
      </c>
      <c r="C4" s="3397"/>
      <c r="D4" s="3397"/>
      <c r="E4" s="3396"/>
    </row>
    <row r="5" ht="16.5" spans="2:4">
      <c r="B5" s="3398" t="s">
        <v>96</v>
      </c>
      <c r="C5" s="3399" t="s">
        <v>97</v>
      </c>
      <c r="D5" s="3400">
        <f ca="1">结果表办公!H101</f>
        <v>100</v>
      </c>
    </row>
    <row r="6" spans="2:4">
      <c r="B6" s="3398"/>
      <c r="C6" s="3399" t="s">
        <v>98</v>
      </c>
      <c r="D6" s="3400" t="str">
        <f ca="1">NUMBERSTRING(INT(D5*10000),2)&amp;"元整"</f>
        <v>壹佰万元整</v>
      </c>
    </row>
    <row r="7" ht="15.75" spans="2:4">
      <c r="B7" s="3401"/>
      <c r="C7" s="3402" t="s">
        <v>99</v>
      </c>
      <c r="D7" s="3403">
        <f ca="1">结果表办公!H102</f>
        <v>15829</v>
      </c>
    </row>
    <row r="8" ht="15.75" spans="2:4">
      <c r="B8" s="3404" t="str">
        <f>结果表办公!E103</f>
        <v>2.估价师知悉的法定优先受偿款</v>
      </c>
      <c r="C8" s="3405" t="s">
        <v>100</v>
      </c>
      <c r="D8" s="3403">
        <f>结果表办公!H103</f>
        <v>0</v>
      </c>
    </row>
    <row r="9" spans="2:4">
      <c r="B9" s="3406"/>
      <c r="C9" s="3399" t="s">
        <v>98</v>
      </c>
      <c r="D9" s="3400" t="str">
        <f>NUMBERSTRING(INT(D8*10000),2)&amp;"元整"</f>
        <v>零元整</v>
      </c>
    </row>
    <row r="10" ht="15" spans="2:4">
      <c r="B10" s="3407" t="s">
        <v>101</v>
      </c>
      <c r="C10" s="3408" t="s">
        <v>102</v>
      </c>
      <c r="D10" s="3409">
        <f>结果表办公!H104</f>
        <v>0</v>
      </c>
    </row>
    <row r="11" ht="15" spans="2:4">
      <c r="B11" s="3407" t="s">
        <v>103</v>
      </c>
      <c r="C11" s="3408" t="s">
        <v>102</v>
      </c>
      <c r="D11" s="3409">
        <f>结果表办公!H105</f>
        <v>0</v>
      </c>
    </row>
    <row r="12" ht="15" spans="2:4">
      <c r="B12" s="3407" t="s">
        <v>104</v>
      </c>
      <c r="C12" s="3408" t="s">
        <v>102</v>
      </c>
      <c r="D12" s="3409">
        <f>结果表办公!H106</f>
        <v>0</v>
      </c>
    </row>
    <row r="13" ht="15.75" spans="2:4">
      <c r="B13" s="3410" t="str">
        <f>结果表办公!E107</f>
        <v>3.房地产抵押价值</v>
      </c>
      <c r="C13" s="3411" t="s">
        <v>97</v>
      </c>
      <c r="D13" s="3412">
        <f ca="1">结果表办公!H107</f>
        <v>100</v>
      </c>
    </row>
    <row r="14" spans="2:4">
      <c r="B14" s="3398"/>
      <c r="C14" s="3399" t="s">
        <v>98</v>
      </c>
      <c r="D14" s="3400" t="str">
        <f ca="1">NUMBERSTRING(INT(D13*10000),2)&amp;"元整"</f>
        <v>壹佰万元整</v>
      </c>
    </row>
    <row r="15" ht="15" spans="2:4">
      <c r="B15" s="3401"/>
      <c r="C15" s="3402" t="s">
        <v>99</v>
      </c>
      <c r="D15" s="3413">
        <f ca="1">结果表办公!H108</f>
        <v>15829</v>
      </c>
    </row>
    <row r="16" ht="15" spans="2:4">
      <c r="B16" s="3404" t="str">
        <f>结果表办公!E109</f>
        <v>——</v>
      </c>
      <c r="C16" s="3411" t="s">
        <v>97</v>
      </c>
      <c r="D16" s="3414" t="str">
        <f ca="1">结果表办公!H109</f>
        <v>——</v>
      </c>
    </row>
    <row r="17" ht="15.75" spans="2:4">
      <c r="B17" s="3415"/>
      <c r="C17" s="3399" t="s">
        <v>98</v>
      </c>
      <c r="D17" s="3400" t="e">
        <f ca="1">NUMBERSTRING(INT(D16*10000),2)&amp;"元整"</f>
        <v>#VALUE!</v>
      </c>
    </row>
    <row r="18" ht="15" spans="2:4">
      <c r="B18" s="3406"/>
      <c r="C18" s="3402" t="s">
        <v>99</v>
      </c>
      <c r="D18" s="3413" t="str">
        <f ca="1">结果表办公!H110</f>
        <v>——</v>
      </c>
    </row>
    <row r="19" ht="15.75" spans="2:4">
      <c r="B19" s="3410" t="str">
        <f>结果表办公!E111</f>
        <v>4.抵押净值</v>
      </c>
      <c r="C19" s="3411" t="s">
        <v>97</v>
      </c>
      <c r="D19" s="3403">
        <f ca="1">结果表办公!H111</f>
        <v>94</v>
      </c>
    </row>
    <row r="20" spans="2:4">
      <c r="B20" s="3398"/>
      <c r="C20" s="3399" t="s">
        <v>98</v>
      </c>
      <c r="D20" s="3400" t="str">
        <f ca="1">NUMBERSTRING(INT(D19*10000),2)&amp;"元整"</f>
        <v>玖拾肆万元整</v>
      </c>
    </row>
    <row r="21" ht="15.75" spans="2:4">
      <c r="B21" s="3416"/>
      <c r="C21" s="3417" t="s">
        <v>99</v>
      </c>
      <c r="D21" s="3418">
        <f ca="1">结果表办公!H112</f>
        <v>5677</v>
      </c>
    </row>
    <row r="22" spans="2:2">
      <c r="B22" s="3419" t="s">
        <v>105</v>
      </c>
    </row>
    <row r="24" ht="18.75" spans="1: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8" sqref="U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F38" sqref="F3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14.24</v>
      </c>
      <c r="D19" s="1297">
        <f ca="1">SUMIF(INDIRECT("'"&amp;D4&amp;"'"&amp;"!A:A"),结果表车位!B19,INDIRECT("'"&amp;D4&amp;"'"&amp;"!B:B"))</f>
        <v>3.29</v>
      </c>
      <c r="E19" s="1294" t="s">
        <v>907</v>
      </c>
      <c r="F19" s="1295" t="s">
        <v>906</v>
      </c>
      <c r="G19" s="1298">
        <f ca="1">ROUND(C19*$C$18+D19*$D$18,2)</f>
        <v>10.96</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3517</v>
      </c>
      <c r="D20" s="1303">
        <f ca="1">SUMIF(INDIRECT("'"&amp;D4&amp;"'"&amp;"!A:A"),结果表车位!B20,INDIRECT("'"&amp;D4&amp;"'"&amp;"!B:B"))</f>
        <v>813</v>
      </c>
      <c r="E20" s="1300"/>
      <c r="F20" s="1301" t="s">
        <v>909</v>
      </c>
      <c r="G20" s="1304">
        <f ca="1">ROUND(C20*$C$18+D20*$D$18,0)</f>
        <v>2706</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2706</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1905</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1905</v>
      </c>
      <c r="F118" s="1280">
        <f ca="1">ROUND(IF(D32="总价",C35,G118*B118/10000),0)</f>
        <v>3</v>
      </c>
      <c r="G118" s="1280">
        <f ca="1">ROUND(IF(D32="楼面单价",C35,F118*10000/B118),0)</f>
        <v>801</v>
      </c>
      <c r="H118" s="1280">
        <f ca="1">ROUND(IF(D32="总价",C32,I118*B118/10000),0)</f>
        <v>11</v>
      </c>
      <c r="I118" s="1280">
        <f ca="1">ROUND(IF(D32="楼面单价",C32,H118*10000/B118),0)</f>
        <v>2706</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33" sqref="M33"/>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3517</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topLeftCell="E1" workbookViewId="0">
      <pane ySplit="24" topLeftCell="A25" activePane="bottomLeft" state="frozen"/>
      <selection/>
      <selection pane="bottomLeft" activeCell="J39" sqref="J39"/>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32.8698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2706</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2706</v>
      </c>
      <c r="S22" s="590">
        <f ca="1">SUM(S24:S10000)</f>
        <v>32.8698</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ROUND(R24*B24/10000,4)</f>
        <v>10.9566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649">
        <f ca="1">ROUND(R25*B25/10000,4)</f>
        <v>10.9566</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649">
        <f ca="1">ROUND(R26*B26/10000,4)</f>
        <v>10.9566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2" t="str">
        <f>IF(项目基本情况!B9="房地产市场价值","估价结果一览表","结果表-2")</f>
        <v>结果表-2</v>
      </c>
      <c r="B1" s="3382"/>
      <c r="C1" s="3382"/>
      <c r="D1" s="3382"/>
      <c r="E1" s="3382"/>
      <c r="F1" s="3382"/>
      <c r="G1" s="3382"/>
      <c r="H1" s="3382"/>
      <c r="I1" s="3382"/>
    </row>
    <row r="2" ht="30" customHeight="1" spans="1:9">
      <c r="A2" s="3383" t="s">
        <v>107</v>
      </c>
      <c r="B2" s="3383" t="s">
        <v>108</v>
      </c>
      <c r="C2" s="3383" t="s">
        <v>109</v>
      </c>
      <c r="D2" s="3383" t="str">
        <f>结果表办公!D116</f>
        <v>出让国有建设用地使用权价值</v>
      </c>
      <c r="E2" s="3383"/>
      <c r="F2" s="3383" t="str">
        <f>结果表办公!F116</f>
        <v>在建建筑物价值</v>
      </c>
      <c r="G2" s="3383"/>
      <c r="H2" s="3383" t="str">
        <f>IF(项目基本情况!B9="房地产市场价值","房地产市场价值","房地产价值")</f>
        <v>房地产价值</v>
      </c>
      <c r="I2" s="3383"/>
    </row>
    <row r="3" ht="15" spans="1:9">
      <c r="A3" s="3384"/>
      <c r="B3" s="3384"/>
      <c r="C3" s="3384"/>
      <c r="D3" s="3384" t="s">
        <v>110</v>
      </c>
      <c r="E3" s="3384" t="s">
        <v>111</v>
      </c>
      <c r="F3" s="3384" t="s">
        <v>110</v>
      </c>
      <c r="G3" s="3384" t="s">
        <v>111</v>
      </c>
      <c r="H3" s="3384" t="s">
        <v>110</v>
      </c>
      <c r="I3" s="3384" t="s">
        <v>111</v>
      </c>
    </row>
    <row r="4" ht="15" spans="1:9">
      <c r="A4" s="3385" t="str">
        <f>项目基本情况!S2</f>
        <v>北京市房地产</v>
      </c>
      <c r="B4" s="3384">
        <f>项目基本情况!C17</f>
        <v>165.59</v>
      </c>
      <c r="C4" s="3384">
        <f>项目基本情况!C18</f>
        <v>0</v>
      </c>
      <c r="D4" s="3384">
        <f ca="1">结果表办公!D118</f>
        <v>71</v>
      </c>
      <c r="E4" s="3384">
        <f ca="1">结果表办公!E118</f>
        <v>11144</v>
      </c>
      <c r="F4" s="3384">
        <f ca="1">结果表办公!F118</f>
        <v>30</v>
      </c>
      <c r="G4" s="3384">
        <f ca="1">结果表办公!G118</f>
        <v>4685</v>
      </c>
      <c r="H4" s="3384">
        <f ca="1">结果表办公!H118</f>
        <v>100</v>
      </c>
      <c r="I4" s="3384">
        <f ca="1">结果表办公!I118</f>
        <v>15829</v>
      </c>
    </row>
    <row r="5" ht="30" customHeight="1" spans="1:9">
      <c r="A5" s="3384" t="s">
        <v>112</v>
      </c>
      <c r="B5" s="3384"/>
      <c r="C5" s="3384"/>
      <c r="D5" s="3384" t="str">
        <f ca="1">结果表办公!D119</f>
        <v>柒拾壹万元整</v>
      </c>
      <c r="E5" s="3384"/>
      <c r="F5" s="3384" t="str">
        <f ca="1">结果表办公!F119</f>
        <v>叁拾万元整</v>
      </c>
      <c r="G5" s="3384"/>
      <c r="H5" s="3384" t="str">
        <f ca="1">结果表办公!H119</f>
        <v>壹佰万元整</v>
      </c>
      <c r="I5" s="3384"/>
    </row>
    <row r="6" ht="15.75" spans="1:9">
      <c r="A6" s="3386" t="str">
        <f>结果表办公!A120</f>
        <v>估价师知悉的法定优先受偿款</v>
      </c>
      <c r="B6" s="3386"/>
      <c r="C6" s="3386"/>
      <c r="D6" s="3386">
        <f>结果表办公!D120</f>
        <v>0</v>
      </c>
      <c r="E6" s="3386"/>
      <c r="F6" s="3386"/>
      <c r="G6" s="3386"/>
      <c r="H6" s="3386"/>
      <c r="I6" s="3386"/>
    </row>
    <row r="7" ht="15" spans="1:9">
      <c r="A7" s="3384" t="s">
        <v>112</v>
      </c>
      <c r="B7" s="3384"/>
      <c r="C7" s="3384"/>
      <c r="D7" s="3387" t="str">
        <f>结果表办公!D121</f>
        <v>零元整</v>
      </c>
      <c r="E7" s="3388"/>
      <c r="F7" s="3388"/>
      <c r="G7" s="3388"/>
      <c r="H7" s="3388"/>
      <c r="I7" s="3392"/>
    </row>
    <row r="8" ht="15.75" spans="1:9">
      <c r="A8" s="3386" t="str">
        <f>结果表办公!A122</f>
        <v>房地产抵押价值</v>
      </c>
      <c r="B8" s="3386"/>
      <c r="C8" s="3386"/>
      <c r="D8" s="3386">
        <f ca="1">结果表办公!D122</f>
        <v>100</v>
      </c>
      <c r="E8" s="3386"/>
      <c r="F8" s="3386"/>
      <c r="G8" s="3386"/>
      <c r="H8" s="3386"/>
      <c r="I8" s="3386"/>
    </row>
    <row r="9" ht="15" spans="1:9">
      <c r="A9" s="3384" t="s">
        <v>112</v>
      </c>
      <c r="B9" s="3384"/>
      <c r="C9" s="3384"/>
      <c r="D9" s="3384" t="str">
        <f ca="1">结果表办公!D123</f>
        <v>壹佰万元整</v>
      </c>
      <c r="E9" s="3384"/>
      <c r="F9" s="3384"/>
      <c r="G9" s="3384"/>
      <c r="H9" s="3384"/>
      <c r="I9" s="3384"/>
    </row>
    <row r="10" ht="15.75" spans="1:9">
      <c r="A10" s="3386" t="str">
        <f>结果表办公!A124</f>
        <v/>
      </c>
      <c r="B10" s="3386"/>
      <c r="C10" s="3386"/>
      <c r="D10" s="3386" t="str">
        <f ca="1">结果表办公!D124</f>
        <v>——</v>
      </c>
      <c r="E10" s="3386"/>
      <c r="F10" s="3386"/>
      <c r="G10" s="3386"/>
      <c r="H10" s="3386"/>
      <c r="I10" s="3386"/>
    </row>
    <row r="11" ht="15" spans="1:9">
      <c r="A11" s="3384" t="s">
        <v>112</v>
      </c>
      <c r="B11" s="3384"/>
      <c r="C11" s="3384"/>
      <c r="D11" s="3384" t="e">
        <f ca="1">结果表办公!D125</f>
        <v>#VALUE!</v>
      </c>
      <c r="E11" s="3384"/>
      <c r="F11" s="3384"/>
      <c r="G11" s="3384"/>
      <c r="H11" s="3384"/>
      <c r="I11" s="3384"/>
    </row>
    <row r="12" ht="15.75" spans="1:9">
      <c r="A12" s="3386" t="str">
        <f>结果表办公!A126</f>
        <v>抵押净值</v>
      </c>
      <c r="B12" s="3386"/>
      <c r="C12" s="3386"/>
      <c r="D12" s="3386">
        <f ca="1">结果表办公!D126</f>
        <v>94</v>
      </c>
      <c r="E12" s="3386"/>
      <c r="F12" s="3386"/>
      <c r="G12" s="3386"/>
      <c r="H12" s="3386"/>
      <c r="I12" s="3386"/>
    </row>
    <row r="13" ht="15.75" spans="1:9">
      <c r="A13" s="3389" t="s">
        <v>112</v>
      </c>
      <c r="B13" s="3389"/>
      <c r="C13" s="3389"/>
      <c r="D13" s="3389" t="str">
        <f ca="1">结果表办公!D127</f>
        <v>玖拾肆万元整</v>
      </c>
      <c r="E13" s="3389"/>
      <c r="F13" s="3389"/>
      <c r="G13" s="3389"/>
      <c r="H13" s="3389"/>
      <c r="I13" s="3389"/>
    </row>
    <row r="14" spans="1:9">
      <c r="A14" s="3390" t="s">
        <v>113</v>
      </c>
      <c r="B14" s="3390"/>
      <c r="C14" s="3390"/>
      <c r="D14" s="3390"/>
      <c r="E14" s="3390"/>
      <c r="F14" s="3390"/>
      <c r="G14" s="3390"/>
      <c r="H14" s="3390"/>
      <c r="I14" s="3390"/>
    </row>
    <row r="16" ht="18.75" spans="1:9">
      <c r="A16" s="3391"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2695</v>
      </c>
      <c r="B1" s="303"/>
      <c r="C1" s="303"/>
      <c r="D1" s="303"/>
      <c r="E1" s="303"/>
      <c r="F1" s="304"/>
    </row>
    <row r="2" spans="1:1">
      <c r="A2" s="305" t="s">
        <v>2696</v>
      </c>
    </row>
    <row r="3"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10" ht="18.75" spans="1:1">
      <c r="A10" s="3363" t="s">
        <v>125</v>
      </c>
    </row>
    <row r="11" ht="30" customHeight="1" spans="1:4">
      <c r="A11" s="3372" t="s">
        <v>126</v>
      </c>
      <c r="B11" s="3373"/>
      <c r="C11" s="3373"/>
      <c r="D11" s="3373"/>
    </row>
    <row r="12" ht="15" spans="1:4">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ht="30" customHeight="1" spans="1:4">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ht="15.75" customHeight="1" spans="1:4">
      <c r="A14" s="3373" t="str">
        <f>IF(项目基本情况!B8="抵押","4.本次评估估价师所知悉的法定优先受偿款情况说明如下：","——")</f>
        <v>4.本次评估估价师所知悉的法定优先受偿款情况说明如下：</v>
      </c>
      <c r="B14" s="3374"/>
      <c r="C14" s="3374"/>
      <c r="D14" s="3374"/>
    </row>
    <row r="15" ht="42" customHeight="1" spans="1:4">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ht="30" customHeight="1" spans="1:4">
      <c r="A16" s="3375" t="s">
        <v>127</v>
      </c>
      <c r="B16" s="3375"/>
      <c r="C16" s="3375"/>
      <c r="D16" s="3375"/>
    </row>
    <row r="17" ht="144" customHeight="1" spans="1:4">
      <c r="A17" s="3375" t="s">
        <v>128</v>
      </c>
      <c r="B17" s="3375"/>
      <c r="C17" s="3375"/>
      <c r="D17" s="3375"/>
    </row>
    <row r="18" ht="15.75" customHeight="1" spans="1:4">
      <c r="A18" s="3373" t="str">
        <f>IF(项目基本情况!B8="抵押",结果表办公!K120,"——")</f>
        <v>故，本次评估不存在估价师知悉的法定优先受偿款</v>
      </c>
      <c r="B18" s="3373"/>
      <c r="C18" s="3373"/>
      <c r="D18" s="3373"/>
    </row>
    <row r="19" ht="46.5" customHeight="1" spans="1:4">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ht="57.75" customHeight="1" spans="1:4">
      <c r="A20" s="337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ht="57.75" customHeight="1" spans="1:4">
      <c r="A21" s="337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ht="18.75" customHeight="1" spans="1:4">
      <c r="A22" s="3377" t="s">
        <v>129</v>
      </c>
      <c r="B22" s="3377"/>
      <c r="C22" s="3377"/>
      <c r="D22" s="3377"/>
    </row>
    <row r="23" spans="1:4">
      <c r="A23" s="3378"/>
      <c r="B23" s="1592"/>
      <c r="C23" s="1592"/>
      <c r="D23" s="1592"/>
    </row>
    <row r="24" spans="1:4">
      <c r="A24" s="3378"/>
      <c r="B24" s="1592"/>
      <c r="C24" s="1592"/>
      <c r="D24" s="1592"/>
    </row>
    <row r="25" ht="18.75" spans="1:1">
      <c r="A25" s="3379" t="s">
        <v>130</v>
      </c>
    </row>
    <row r="26" ht="18" spans="1:1">
      <c r="A26" s="3380"/>
    </row>
    <row r="27" ht="18.75" spans="1:1">
      <c r="A27" s="3380" t="s">
        <v>131</v>
      </c>
    </row>
    <row r="30" ht="18.75" spans="4:4">
      <c r="D30" s="3379" t="s">
        <v>132</v>
      </c>
    </row>
    <row r="31" ht="13.5" customHeight="1" spans="3:4">
      <c r="C31" s="3381">
        <v>42551</v>
      </c>
      <c r="D31" s="33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0" customWidth="1"/>
    <col min="3" max="10" width="12.5" style="3360" customWidth="1"/>
    <col min="11" max="16384" width="9" style="3360"/>
  </cols>
  <sheetData>
    <row r="1" ht="18.75" spans="1:1">
      <c r="A1" s="3361" t="s">
        <v>133</v>
      </c>
    </row>
    <row r="2" ht="18.75" spans="1:1">
      <c r="A2" s="33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s>
  <sheetData>
    <row r="1" s="3336" customFormat="1" ht="18.75" spans="1:1">
      <c r="A1" s="3338" t="s">
        <v>134</v>
      </c>
    </row>
    <row r="3" spans="1:7">
      <c r="A3" s="3339" t="s">
        <v>135</v>
      </c>
      <c r="B3" t="s">
        <v>136</v>
      </c>
      <c r="G3" s="302"/>
    </row>
    <row r="4" spans="7:7">
      <c r="G4" s="302"/>
    </row>
    <row r="5" spans="1:7">
      <c r="A5" s="3340" t="s">
        <v>137</v>
      </c>
      <c r="B5" t="s">
        <v>138</v>
      </c>
      <c r="G5" s="302"/>
    </row>
    <row r="6" spans="7:7">
      <c r="G6" s="302"/>
    </row>
    <row r="7" spans="1:7">
      <c r="A7" s="3341" t="s">
        <v>139</v>
      </c>
      <c r="B7" t="s">
        <v>140</v>
      </c>
      <c r="G7" s="302"/>
    </row>
    <row r="8" spans="7:7">
      <c r="G8" s="302"/>
    </row>
    <row r="9" spans="1:2">
      <c r="A9" s="3342" t="s">
        <v>141</v>
      </c>
      <c r="B9" t="s">
        <v>142</v>
      </c>
    </row>
    <row r="11" spans="1:2">
      <c r="A11" s="3343" t="s">
        <v>143</v>
      </c>
      <c r="B11" s="3344" t="s">
        <v>144</v>
      </c>
    </row>
    <row r="13" spans="1:1">
      <c r="A13" s="3345" t="s">
        <v>145</v>
      </c>
    </row>
    <row r="15" ht="13.5" spans="1:3">
      <c r="A15" s="3346" t="s">
        <v>146</v>
      </c>
      <c r="B15" s="3347" t="s">
        <v>147</v>
      </c>
      <c r="C15" s="3348"/>
    </row>
    <row r="16" ht="13.5" spans="1:3">
      <c r="A16" s="3349"/>
      <c r="B16" s="3347" t="s">
        <v>148</v>
      </c>
      <c r="C16" s="3348"/>
    </row>
    <row r="17" ht="13.5" spans="1:3">
      <c r="A17" s="3349"/>
      <c r="B17" s="3350" t="s">
        <v>149</v>
      </c>
      <c r="C17" s="3350" t="s">
        <v>146</v>
      </c>
    </row>
    <row r="18" ht="13.5" spans="1:3">
      <c r="A18" s="3349"/>
      <c r="B18" s="3350"/>
      <c r="C18" s="3350" t="s">
        <v>150</v>
      </c>
    </row>
    <row r="19" ht="13.5" spans="1:3">
      <c r="A19" s="3349"/>
      <c r="B19" s="3350"/>
      <c r="C19" s="3350" t="s">
        <v>151</v>
      </c>
    </row>
    <row r="20" ht="13.5" spans="1:3">
      <c r="A20" s="3351"/>
      <c r="B20" s="3352" t="s">
        <v>152</v>
      </c>
      <c r="C20" s="3348"/>
    </row>
    <row r="21" ht="13.5" spans="1:3">
      <c r="A21" s="3353" t="s">
        <v>153</v>
      </c>
      <c r="B21" s="3354"/>
      <c r="C21" s="3355"/>
    </row>
    <row r="22" ht="13.5" spans="1:3">
      <c r="A22" s="3356" t="s">
        <v>154</v>
      </c>
      <c r="B22" s="3352" t="s">
        <v>155</v>
      </c>
      <c r="C22" s="3348"/>
    </row>
    <row r="23" ht="13.5" spans="1:3">
      <c r="A23" s="3356"/>
      <c r="B23" s="3352" t="s">
        <v>156</v>
      </c>
      <c r="C23" s="3348"/>
    </row>
    <row r="24" ht="13.5" spans="1:3">
      <c r="A24" s="3356"/>
      <c r="B24" s="3352" t="s">
        <v>157</v>
      </c>
      <c r="C24" s="3348"/>
    </row>
    <row r="25" ht="13.5" spans="1:3">
      <c r="A25" s="3356"/>
      <c r="B25" s="3350" t="s">
        <v>158</v>
      </c>
      <c r="C25" s="3350" t="s">
        <v>159</v>
      </c>
    </row>
    <row r="26" ht="13.5" spans="1:3">
      <c r="A26" s="3356"/>
      <c r="B26" s="3350"/>
      <c r="C26" s="3350" t="s">
        <v>160</v>
      </c>
    </row>
    <row r="27" ht="13.5" spans="1:3">
      <c r="A27" s="3356"/>
      <c r="B27" s="3350"/>
      <c r="C27" s="3350" t="s">
        <v>161</v>
      </c>
    </row>
    <row r="28" ht="13.5" spans="1:3">
      <c r="A28" s="3356"/>
      <c r="B28" s="3350"/>
      <c r="C28" s="3350" t="s">
        <v>162</v>
      </c>
    </row>
    <row r="29" ht="13.5" spans="1:3">
      <c r="A29" s="3356"/>
      <c r="B29" s="3350"/>
      <c r="C29" s="3350" t="s">
        <v>163</v>
      </c>
    </row>
    <row r="30" ht="13.5" spans="1:3">
      <c r="A30" s="3356"/>
      <c r="B30" s="3350"/>
      <c r="C30" s="3350" t="s">
        <v>164</v>
      </c>
    </row>
    <row r="31" ht="13.5" spans="1:3">
      <c r="A31" s="3356"/>
      <c r="B31" s="3350"/>
      <c r="C31" s="3350" t="s">
        <v>165</v>
      </c>
    </row>
    <row r="32" ht="13.5" spans="1:3">
      <c r="A32" s="3356"/>
      <c r="B32" s="3350"/>
      <c r="C32" s="3350" t="s">
        <v>166</v>
      </c>
    </row>
    <row r="33" ht="13.5" spans="1:3">
      <c r="A33" s="3356"/>
      <c r="B33" s="3350"/>
      <c r="C33" s="3350" t="s">
        <v>167</v>
      </c>
    </row>
    <row r="34" spans="1:1">
      <c r="A34" s="3357" t="s">
        <v>168</v>
      </c>
    </row>
    <row r="37" spans="1:1">
      <c r="A37" s="3357" t="s">
        <v>169</v>
      </c>
    </row>
    <row r="38" ht="13.5" spans="1:1">
      <c r="A38" s="3358" t="s">
        <v>170</v>
      </c>
    </row>
    <row r="39" ht="13.5" spans="1:1">
      <c r="A39" s="3358" t="s">
        <v>171</v>
      </c>
    </row>
    <row r="40" ht="13.5" spans="1:1">
      <c r="A40" s="3358" t="s">
        <v>172</v>
      </c>
    </row>
    <row r="41" ht="13.5" spans="1:1">
      <c r="A41" s="3359" t="s">
        <v>173</v>
      </c>
    </row>
    <row r="42" ht="13.5" spans="1:1">
      <c r="A42" s="33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45862</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2025-07-24T15:10:31Z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