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房山土地案例" sheetId="82" r:id="rId23"/>
    <sheet name="基准地价修正" sheetId="43" state="hidden" r:id="rId24"/>
    <sheet name="假设开发法" sheetId="12" r:id="rId25"/>
    <sheet name="比较法-住宅" sheetId="21" state="hidden" r:id="rId26"/>
    <sheet name="收益法"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 name="大兴土地案例" sheetId="83" state="hidden" r:id="rId51"/>
  </sheet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6">'收益法-车库'!$A$1:$AK$69</definedName>
    <definedName name="_xlnm.Print_Area" localSheetId="34">'收益法-联排'!$A$1:$AK$69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8" i="9" l="1"/>
  <c r="M75" i="9"/>
  <c r="M74" i="9"/>
  <c r="L75" i="9"/>
  <c r="L74" i="9"/>
  <c r="E57" i="39" l="1"/>
  <c r="I46" i="39" l="1"/>
  <c r="G46" i="39"/>
  <c r="E46" i="39"/>
  <c r="I38" i="39"/>
  <c r="G38" i="39"/>
  <c r="I11" i="39"/>
  <c r="G11" i="39"/>
  <c r="I7" i="39"/>
  <c r="G7" i="39"/>
  <c r="I5" i="39"/>
  <c r="G5" i="39"/>
  <c r="E5" i="39"/>
  <c r="E38" i="39"/>
  <c r="E11" i="39"/>
  <c r="E7" i="39"/>
  <c r="L23" i="1" l="1"/>
  <c r="L24" i="1"/>
  <c r="L22" i="1"/>
  <c r="O19" i="3" l="1"/>
  <c r="AN19" i="3"/>
  <c r="AN18" i="3"/>
  <c r="AN17" i="3"/>
  <c r="AN16" i="3"/>
  <c r="AT19" i="3"/>
  <c r="M18" i="3"/>
  <c r="M17" i="3"/>
  <c r="M16" i="3"/>
  <c r="K15" i="3"/>
  <c r="I15" i="3"/>
  <c r="I14" i="3"/>
  <c r="K14" i="3"/>
  <c r="K13" i="3"/>
  <c r="I13" i="3"/>
  <c r="C19" i="3"/>
  <c r="C18" i="3"/>
  <c r="C17" i="3"/>
  <c r="C16" i="3"/>
  <c r="C15" i="3"/>
  <c r="C14" i="3"/>
  <c r="C13" i="3"/>
  <c r="E10" i="80"/>
  <c r="D10" i="80"/>
  <c r="C10" i="80"/>
  <c r="J140" i="79" l="1"/>
  <c r="K144" i="79" s="1"/>
  <c r="C145" i="79"/>
  <c r="K139" i="79"/>
  <c r="J142" i="79"/>
  <c r="B130" i="79"/>
  <c r="B128" i="79"/>
  <c r="B126" i="79"/>
  <c r="D125" i="79"/>
  <c r="E125" i="79"/>
  <c r="F125" i="79" s="1"/>
  <c r="G125" i="79"/>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c r="H115" i="79" s="1"/>
  <c r="I115" i="79" s="1"/>
  <c r="J115" i="79" s="1"/>
  <c r="K115" i="79" s="1"/>
  <c r="L115" i="79" s="1"/>
  <c r="M115" i="79" s="1"/>
  <c r="D113" i="79"/>
  <c r="E113" i="79"/>
  <c r="F113" i="79" s="1"/>
  <c r="G113" i="79"/>
  <c r="H113" i="79" s="1"/>
  <c r="H111" i="79"/>
  <c r="G111" i="79"/>
  <c r="F111" i="79"/>
  <c r="E111" i="79"/>
  <c r="D111" i="79"/>
  <c r="C111" i="79"/>
  <c r="D110" i="79"/>
  <c r="E110" i="79" s="1"/>
  <c r="F110" i="79" s="1"/>
  <c r="G110" i="79" s="1"/>
  <c r="H110" i="79" s="1"/>
  <c r="I110" i="79" s="1"/>
  <c r="J110" i="79" s="1"/>
  <c r="K110" i="79" s="1"/>
  <c r="L110" i="79" s="1"/>
  <c r="M110" i="79" s="1"/>
  <c r="D108" i="79"/>
  <c r="E108" i="79" s="1"/>
  <c r="F108" i="79"/>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s="1"/>
  <c r="C58" i="79" s="1"/>
  <c r="I54" i="79"/>
  <c r="J54" i="79" s="1"/>
  <c r="G54" i="79"/>
  <c r="H54" i="79" s="1"/>
  <c r="E54" i="79"/>
  <c r="F54" i="79" s="1"/>
  <c r="V47" i="79"/>
  <c r="R47" i="79"/>
  <c r="T47" i="79"/>
  <c r="P49" i="79"/>
  <c r="P48" i="79"/>
  <c r="P47" i="79"/>
  <c r="J46" i="79"/>
  <c r="AC46" i="79" s="1"/>
  <c r="H46" i="79"/>
  <c r="F46" i="79"/>
  <c r="AA46" i="79" s="1"/>
  <c r="Q46" i="79"/>
  <c r="Z46" i="79" s="1"/>
  <c r="W46" i="79"/>
  <c r="J45" i="79"/>
  <c r="AC45" i="79"/>
  <c r="H45" i="79"/>
  <c r="AB45" i="79"/>
  <c r="F45" i="79"/>
  <c r="AA45" i="79"/>
  <c r="Q45" i="79"/>
  <c r="Z45" i="79"/>
  <c r="W45" i="79"/>
  <c r="U45" i="79"/>
  <c r="S45" i="79"/>
  <c r="J44" i="79"/>
  <c r="AC44" i="79" s="1"/>
  <c r="H44" i="79"/>
  <c r="F44" i="79"/>
  <c r="AA44" i="79" s="1"/>
  <c r="Q44" i="79"/>
  <c r="Z44" i="79" s="1"/>
  <c r="W44" i="79"/>
  <c r="S44" i="79"/>
  <c r="J43" i="79"/>
  <c r="AC43" i="79"/>
  <c r="H43" i="79"/>
  <c r="AB43" i="79"/>
  <c r="F43" i="79"/>
  <c r="AA43" i="79"/>
  <c r="Q43" i="79"/>
  <c r="Z43" i="79"/>
  <c r="W43" i="79"/>
  <c r="U43" i="79"/>
  <c r="S43" i="79"/>
  <c r="J42" i="79"/>
  <c r="AC42" i="79" s="1"/>
  <c r="H42" i="79"/>
  <c r="F42" i="79"/>
  <c r="AA42" i="79" s="1"/>
  <c r="Q42" i="79"/>
  <c r="Z42" i="79" s="1"/>
  <c r="W42" i="79"/>
  <c r="J41" i="79"/>
  <c r="AC41" i="79"/>
  <c r="H41" i="79"/>
  <c r="AB41" i="79"/>
  <c r="F41" i="79"/>
  <c r="AA41" i="79"/>
  <c r="Q41" i="79"/>
  <c r="Z41" i="79"/>
  <c r="W41" i="79"/>
  <c r="U41" i="79"/>
  <c r="S41" i="79"/>
  <c r="J40" i="79"/>
  <c r="AC40" i="79" s="1"/>
  <c r="H40" i="79"/>
  <c r="F40" i="79"/>
  <c r="AA40" i="79" s="1"/>
  <c r="Q40" i="79"/>
  <c r="Z40" i="79" s="1"/>
  <c r="W40" i="79"/>
  <c r="S40" i="79"/>
  <c r="J39" i="79"/>
  <c r="AC39" i="79"/>
  <c r="H39" i="79"/>
  <c r="AB39" i="79"/>
  <c r="F39" i="79"/>
  <c r="AA39" i="79"/>
  <c r="Q39" i="79"/>
  <c r="Z39" i="79"/>
  <c r="W39" i="79"/>
  <c r="U39" i="79"/>
  <c r="S39" i="79"/>
  <c r="J38" i="79"/>
  <c r="AC38" i="79" s="1"/>
  <c r="H38" i="79"/>
  <c r="AB38" i="79" s="1"/>
  <c r="F38" i="79"/>
  <c r="AA38" i="79" s="1"/>
  <c r="Q38" i="79"/>
  <c r="Z38" i="79" s="1"/>
  <c r="W38" i="79"/>
  <c r="U38" i="79"/>
  <c r="S38" i="79"/>
  <c r="J37" i="79"/>
  <c r="AC37" i="79"/>
  <c r="H37" i="79"/>
  <c r="AB37" i="79"/>
  <c r="F37" i="79"/>
  <c r="AA37" i="79"/>
  <c r="Q37" i="79"/>
  <c r="Z37" i="79"/>
  <c r="W37" i="79"/>
  <c r="U37" i="79"/>
  <c r="S37" i="79"/>
  <c r="J36" i="79"/>
  <c r="AC36" i="79" s="1"/>
  <c r="H36" i="79"/>
  <c r="AB36" i="79" s="1"/>
  <c r="F36" i="79"/>
  <c r="AA36" i="79" s="1"/>
  <c r="Q36" i="79"/>
  <c r="Z36" i="79" s="1"/>
  <c r="W36" i="79"/>
  <c r="S36" i="79"/>
  <c r="J35" i="79"/>
  <c r="AC35" i="79"/>
  <c r="H35" i="79"/>
  <c r="AB35" i="79"/>
  <c r="F35" i="79"/>
  <c r="AA35" i="79"/>
  <c r="Q35" i="79"/>
  <c r="Z35" i="79"/>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F32" i="79"/>
  <c r="AA32" i="79" s="1"/>
  <c r="Q32" i="79"/>
  <c r="Z32" i="79" s="1"/>
  <c r="W32" i="79"/>
  <c r="J31" i="79"/>
  <c r="AC31" i="79"/>
  <c r="H31" i="79"/>
  <c r="AB31" i="79"/>
  <c r="F31" i="79"/>
  <c r="AA31" i="79"/>
  <c r="Q31" i="79"/>
  <c r="Z31" i="79"/>
  <c r="W31" i="79"/>
  <c r="U31" i="79"/>
  <c r="S31" i="79"/>
  <c r="J30" i="79"/>
  <c r="AC30" i="79" s="1"/>
  <c r="H30" i="79"/>
  <c r="F30" i="79"/>
  <c r="AA30" i="79" s="1"/>
  <c r="Q30" i="79"/>
  <c r="Z30" i="79" s="1"/>
  <c r="W30" i="79"/>
  <c r="S30" i="79"/>
  <c r="J29" i="79"/>
  <c r="AC29" i="79"/>
  <c r="H29" i="79"/>
  <c r="AB29" i="79"/>
  <c r="F29" i="79"/>
  <c r="AA29" i="79"/>
  <c r="Q29" i="79"/>
  <c r="Z29" i="79"/>
  <c r="W29" i="79"/>
  <c r="U29" i="79"/>
  <c r="S29" i="79"/>
  <c r="J28" i="79"/>
  <c r="AC28" i="79" s="1"/>
  <c r="H28" i="79"/>
  <c r="F28" i="79"/>
  <c r="AA28" i="79" s="1"/>
  <c r="Q28" i="79"/>
  <c r="Z28" i="79" s="1"/>
  <c r="W28" i="79"/>
  <c r="J27" i="79"/>
  <c r="AC27" i="79"/>
  <c r="H27" i="79"/>
  <c r="AB27" i="79"/>
  <c r="F27" i="79"/>
  <c r="AA27" i="79"/>
  <c r="Q27" i="79"/>
  <c r="Z27" i="79"/>
  <c r="W27" i="79"/>
  <c r="U27" i="79"/>
  <c r="S27" i="79"/>
  <c r="J26" i="79"/>
  <c r="AC26" i="79" s="1"/>
  <c r="H26" i="79"/>
  <c r="F26" i="79"/>
  <c r="AA26" i="79" s="1"/>
  <c r="Q26" i="79"/>
  <c r="Z26" i="79" s="1"/>
  <c r="W26" i="79"/>
  <c r="J25" i="79"/>
  <c r="AC25" i="79"/>
  <c r="H25" i="79"/>
  <c r="AB25" i="79"/>
  <c r="F25" i="79"/>
  <c r="AA25" i="79"/>
  <c r="Q25" i="79"/>
  <c r="Z25" i="79"/>
  <c r="W25" i="79"/>
  <c r="U25" i="79"/>
  <c r="S25" i="79"/>
  <c r="J23" i="79"/>
  <c r="AC23" i="79" s="1"/>
  <c r="H23" i="79"/>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AB14" i="79" s="1"/>
  <c r="F14" i="79"/>
  <c r="AA14" i="79"/>
  <c r="Q14" i="79"/>
  <c r="Z14" i="79"/>
  <c r="W14" i="79"/>
  <c r="U14" i="79"/>
  <c r="S14" i="79"/>
  <c r="J13" i="79"/>
  <c r="AC13" i="79" s="1"/>
  <c r="H13" i="79"/>
  <c r="AB13" i="79" s="1"/>
  <c r="F13" i="79"/>
  <c r="AA13" i="79" s="1"/>
  <c r="Q13" i="79"/>
  <c r="Z13" i="79" s="1"/>
  <c r="W13" i="79"/>
  <c r="S13" i="79"/>
  <c r="J12" i="79"/>
  <c r="AC12" i="79"/>
  <c r="H12" i="79"/>
  <c r="AB12" i="79"/>
  <c r="F12" i="79"/>
  <c r="AA12" i="79"/>
  <c r="Q12" i="79"/>
  <c r="Z12" i="79"/>
  <c r="W12" i="79"/>
  <c r="U12" i="79"/>
  <c r="S12" i="79"/>
  <c r="J11" i="79"/>
  <c r="AC11" i="79" s="1"/>
  <c r="H11" i="79"/>
  <c r="AB11" i="79" s="1"/>
  <c r="F11" i="79"/>
  <c r="AA11" i="79" s="1"/>
  <c r="Q11" i="79"/>
  <c r="Z11" i="79" s="1"/>
  <c r="W11" i="79"/>
  <c r="S11" i="79"/>
  <c r="J10" i="79"/>
  <c r="AC10" i="79"/>
  <c r="H10" i="79"/>
  <c r="AB10" i="79" s="1"/>
  <c r="F10" i="79"/>
  <c r="AA10" i="79" s="1"/>
  <c r="Q10" i="79"/>
  <c r="Z10" i="79" s="1"/>
  <c r="W10" i="79"/>
  <c r="S10" i="79"/>
  <c r="J9" i="79"/>
  <c r="AC9" i="79"/>
  <c r="H9" i="79"/>
  <c r="AB9" i="79"/>
  <c r="F9" i="79"/>
  <c r="AA9" i="79"/>
  <c r="Q9" i="79"/>
  <c r="Z9" i="79"/>
  <c r="W9" i="79"/>
  <c r="U9" i="79"/>
  <c r="S9" i="79"/>
  <c r="J8" i="79"/>
  <c r="AC8" i="79" s="1"/>
  <c r="H8" i="79"/>
  <c r="AB8" i="79" s="1"/>
  <c r="F8" i="79"/>
  <c r="AA8" i="79" s="1"/>
  <c r="W8" i="79"/>
  <c r="S8" i="79"/>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A18" i="3" s="1"/>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6" i="1"/>
  <c r="A7" i="1"/>
  <c r="G1" i="78" s="1"/>
  <c r="A8" i="1"/>
  <c r="A9" i="1"/>
  <c r="S9" i="1" s="1"/>
  <c r="T9" i="1" s="1"/>
  <c r="K9" i="1"/>
  <c r="M9" i="1" s="1"/>
  <c r="F15" i="78"/>
  <c r="F17" i="78"/>
  <c r="F18" i="78"/>
  <c r="F20" i="78"/>
  <c r="C1" i="73"/>
  <c r="J1" i="73" s="1"/>
  <c r="B22" i="1"/>
  <c r="E1" i="73" s="1"/>
  <c r="F23" i="78"/>
  <c r="D23" i="78" s="1"/>
  <c r="F21" i="78"/>
  <c r="B43" i="1"/>
  <c r="B41" i="1" s="1"/>
  <c r="C42" i="1"/>
  <c r="L1" i="73"/>
  <c r="F33" i="78"/>
  <c r="B52" i="1"/>
  <c r="F34" i="78" s="1"/>
  <c r="F62" i="78" s="1"/>
  <c r="AE9" i="1"/>
  <c r="M47" i="78"/>
  <c r="F9" i="1"/>
  <c r="J50" i="78"/>
  <c r="J51" i="78"/>
  <c r="D9" i="1"/>
  <c r="D6" i="1"/>
  <c r="K59" i="78"/>
  <c r="P74" i="78"/>
  <c r="Q72" i="78"/>
  <c r="F61" i="78"/>
  <c r="P61" i="78"/>
  <c r="J53" i="78"/>
  <c r="Q52" i="78" s="1"/>
  <c r="Q59" i="78"/>
  <c r="B24" i="1"/>
  <c r="F59" i="78"/>
  <c r="Q58" i="78"/>
  <c r="Q51" i="78"/>
  <c r="D46" i="78"/>
  <c r="F31" i="78"/>
  <c r="AG9" i="1"/>
  <c r="M19" i="78"/>
  <c r="D24" i="78"/>
  <c r="D22" i="78"/>
  <c r="M17" i="78"/>
  <c r="G1" i="77"/>
  <c r="F15" i="77"/>
  <c r="F17" i="77"/>
  <c r="F18" i="77"/>
  <c r="F20" i="77"/>
  <c r="F23" i="77"/>
  <c r="F21" i="77"/>
  <c r="F33" i="77"/>
  <c r="F34" i="77"/>
  <c r="M47" i="77"/>
  <c r="J50" i="77"/>
  <c r="J51" i="77" s="1"/>
  <c r="K59" i="77"/>
  <c r="P74" i="77" s="1"/>
  <c r="Q72" i="77"/>
  <c r="F61" i="77"/>
  <c r="F62" i="77"/>
  <c r="J53" i="77"/>
  <c r="F1" i="77" s="1"/>
  <c r="Q59" i="77"/>
  <c r="F59" i="77"/>
  <c r="Q58" i="77"/>
  <c r="Q52" i="77"/>
  <c r="Q51" i="77"/>
  <c r="D46" i="77"/>
  <c r="F31" i="77"/>
  <c r="M19" i="77"/>
  <c r="D24" i="77"/>
  <c r="D23" i="77"/>
  <c r="D22" i="77"/>
  <c r="M17" i="77"/>
  <c r="H13" i="3"/>
  <c r="AC13" i="3"/>
  <c r="G13" i="3" s="1"/>
  <c r="H14" i="3"/>
  <c r="AC14" i="3"/>
  <c r="G14" i="3"/>
  <c r="H15" i="3"/>
  <c r="AC15" i="3"/>
  <c r="G15" i="3" s="1"/>
  <c r="H16" i="3"/>
  <c r="AC16" i="3"/>
  <c r="H17" i="3"/>
  <c r="AC17" i="3"/>
  <c r="H18" i="3"/>
  <c r="AC18" i="3"/>
  <c r="H19" i="3"/>
  <c r="AC19" i="3"/>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K5" i="71"/>
  <c r="K4" i="71"/>
  <c r="P4" i="71" s="1"/>
  <c r="L5" i="71"/>
  <c r="L4" i="71"/>
  <c r="Q4" i="71" s="1"/>
  <c r="I5" i="71"/>
  <c r="I4" i="71"/>
  <c r="N4" i="71" s="1"/>
  <c r="N8" i="71"/>
  <c r="B8" i="71" s="1"/>
  <c r="B7" i="71" s="1"/>
  <c r="B6" i="71" s="1"/>
  <c r="B5" i="71" s="1"/>
  <c r="B4" i="71" s="1"/>
  <c r="N7" i="71"/>
  <c r="N6" i="71"/>
  <c r="N5" i="71"/>
  <c r="Q8" i="71"/>
  <c r="F8" i="71" s="1"/>
  <c r="F7" i="71" s="1"/>
  <c r="F6" i="71" s="1"/>
  <c r="F5" i="71" s="1"/>
  <c r="F4" i="71" s="1"/>
  <c r="Q7" i="71"/>
  <c r="Q6" i="71"/>
  <c r="Q5" i="71"/>
  <c r="P8" i="71"/>
  <c r="E8" i="71" s="1"/>
  <c r="E7" i="71" s="1"/>
  <c r="E6" i="71" s="1"/>
  <c r="E5" i="71" s="1"/>
  <c r="E4" i="71" s="1"/>
  <c r="P7" i="71"/>
  <c r="P6" i="71"/>
  <c r="P5" i="71"/>
  <c r="O8" i="71"/>
  <c r="C8" i="71" s="1"/>
  <c r="C7" i="71" s="1"/>
  <c r="C6" i="71" s="1"/>
  <c r="C5" i="71" s="1"/>
  <c r="O7" i="71"/>
  <c r="O6" i="71"/>
  <c r="O5"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L20" i="4"/>
  <c r="L21" i="4"/>
  <c r="L22" i="4"/>
  <c r="A14" i="62"/>
  <c r="A13" i="62"/>
  <c r="B59" i="72" s="1"/>
  <c r="A19" i="62"/>
  <c r="A12" i="62"/>
  <c r="B58" i="72" s="1"/>
  <c r="A120" i="9"/>
  <c r="H2" i="52"/>
  <c r="A1" i="52"/>
  <c r="A3" i="5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s="1"/>
  <c r="A12" i="52" s="1"/>
  <c r="B56" i="72" s="1"/>
  <c r="E109" i="9"/>
  <c r="A124" i="9"/>
  <c r="B44" i="72"/>
  <c r="B42" i="72"/>
  <c r="B69" i="72"/>
  <c r="B68" i="72"/>
  <c r="B63" i="72"/>
  <c r="B62" i="72"/>
  <c r="B65" i="72"/>
  <c r="B60" i="72"/>
  <c r="B67" i="72"/>
  <c r="B10" i="72"/>
  <c r="C53" i="10"/>
  <c r="B51" i="10"/>
  <c r="B19" i="72"/>
  <c r="A18" i="51"/>
  <c r="B13" i="72" s="1"/>
  <c r="B49" i="48"/>
  <c r="B5" i="72"/>
  <c r="I19" i="43"/>
  <c r="D69" i="71"/>
  <c r="F68" i="71"/>
  <c r="E68" i="71"/>
  <c r="E67" i="71" s="1"/>
  <c r="E66" i="7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E48" i="71"/>
  <c r="P48" i="71" s="1"/>
  <c r="C48" i="71"/>
  <c r="B48" i="71"/>
  <c r="S48" i="71"/>
  <c r="B47" i="71"/>
  <c r="D45" i="71"/>
  <c r="Q44" i="71"/>
  <c r="P44" i="71"/>
  <c r="O44" i="71"/>
  <c r="N44" i="71"/>
  <c r="Q43" i="71"/>
  <c r="P43" i="71"/>
  <c r="O43" i="71"/>
  <c r="N43" i="71"/>
  <c r="Q42" i="71"/>
  <c r="P42" i="71"/>
  <c r="O42" i="71"/>
  <c r="N42" i="71"/>
  <c r="Q41" i="71"/>
  <c r="F42" i="71" s="1"/>
  <c r="F43" i="71"/>
  <c r="F44" i="71" s="1"/>
  <c r="V44" i="71" s="1"/>
  <c r="P41" i="71"/>
  <c r="E42" i="71"/>
  <c r="O41" i="71"/>
  <c r="C42" i="71"/>
  <c r="N41" i="71"/>
  <c r="B42" i="71"/>
  <c r="B43" i="71" s="1"/>
  <c r="B44" i="71"/>
  <c r="S44" i="71" s="1"/>
  <c r="D41" i="71"/>
  <c r="Q40" i="71"/>
  <c r="P40" i="71"/>
  <c r="O40" i="71"/>
  <c r="N40" i="71"/>
  <c r="Q39" i="71"/>
  <c r="P39" i="71"/>
  <c r="O39" i="71"/>
  <c r="N39" i="71"/>
  <c r="Q38" i="71"/>
  <c r="P38" i="71"/>
  <c r="O38" i="71"/>
  <c r="N38" i="71"/>
  <c r="Q37" i="71"/>
  <c r="F38" i="71"/>
  <c r="F39" i="71" s="1"/>
  <c r="F40" i="71"/>
  <c r="V40" i="71" s="1"/>
  <c r="P37" i="71"/>
  <c r="E38" i="71" s="1"/>
  <c r="O37" i="71"/>
  <c r="C38" i="71" s="1"/>
  <c r="D38" i="71" s="1"/>
  <c r="N37" i="71"/>
  <c r="B38" i="71" s="1"/>
  <c r="B39" i="7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N33" i="71"/>
  <c r="B34" i="71"/>
  <c r="B35" i="71" s="1"/>
  <c r="B36" i="71" s="1"/>
  <c r="S36" i="71" s="1"/>
  <c r="D33" i="71"/>
  <c r="Q32" i="71"/>
  <c r="P32" i="71"/>
  <c r="O32" i="71"/>
  <c r="N32" i="71"/>
  <c r="Q31" i="71"/>
  <c r="P31" i="71"/>
  <c r="O31" i="71"/>
  <c r="N31" i="71"/>
  <c r="Q30" i="71"/>
  <c r="P30" i="71"/>
  <c r="O30" i="71"/>
  <c r="N30" i="71"/>
  <c r="Q29" i="71"/>
  <c r="F30" i="71"/>
  <c r="P29" i="71"/>
  <c r="E30" i="71"/>
  <c r="E31" i="71" s="1"/>
  <c r="E32" i="71" s="1"/>
  <c r="U32" i="71" s="1"/>
  <c r="O29" i="71"/>
  <c r="C30" i="71" s="1"/>
  <c r="D30" i="71" s="1"/>
  <c r="N29" i="71"/>
  <c r="B30" i="71" s="1"/>
  <c r="B31" i="71"/>
  <c r="B32" i="71" s="1"/>
  <c r="S32" i="71" s="1"/>
  <c r="D29" i="71"/>
  <c r="T28" i="71"/>
  <c r="Q28" i="71"/>
  <c r="P28" i="71"/>
  <c r="O28" i="71"/>
  <c r="N28" i="71"/>
  <c r="D28" i="71"/>
  <c r="Q27" i="71"/>
  <c r="P27" i="71"/>
  <c r="O27" i="71"/>
  <c r="N27" i="71"/>
  <c r="Q26" i="71"/>
  <c r="P26" i="71"/>
  <c r="O26" i="71"/>
  <c r="N26" i="71"/>
  <c r="Q25" i="71"/>
  <c r="F26" i="71" s="1"/>
  <c r="F27" i="71"/>
  <c r="F28" i="71" s="1"/>
  <c r="V28" i="71" s="1"/>
  <c r="P25" i="71"/>
  <c r="E26" i="71"/>
  <c r="E27" i="71" s="1"/>
  <c r="E28" i="7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C23" i="71" s="1"/>
  <c r="N21" i="71"/>
  <c r="B22" i="71" s="1"/>
  <c r="B23" i="71"/>
  <c r="B24" i="71" s="1"/>
  <c r="S24" i="71" s="1"/>
  <c r="D21" i="71"/>
  <c r="Q20" i="71"/>
  <c r="P20" i="71"/>
  <c r="O20" i="71"/>
  <c r="N20" i="71"/>
  <c r="Q19" i="71"/>
  <c r="AB19" i="71" s="1"/>
  <c r="P19" i="71"/>
  <c r="AA19" i="71" s="1"/>
  <c r="O19" i="71"/>
  <c r="Y19" i="71" s="1"/>
  <c r="Z19" i="71"/>
  <c r="N19" i="71"/>
  <c r="X19" i="71"/>
  <c r="Q18" i="71"/>
  <c r="AB18" i="71"/>
  <c r="P18" i="71"/>
  <c r="O18" i="71"/>
  <c r="Y18" i="71" s="1"/>
  <c r="Z18" i="71" s="1"/>
  <c r="N18" i="71"/>
  <c r="Q17" i="71"/>
  <c r="F18" i="71" s="1"/>
  <c r="F19" i="71"/>
  <c r="F20" i="71" s="1"/>
  <c r="V20" i="71" s="1"/>
  <c r="P17" i="71"/>
  <c r="O17" i="71"/>
  <c r="N17" i="71"/>
  <c r="D17" i="71"/>
  <c r="Q16" i="71"/>
  <c r="AB16" i="71"/>
  <c r="P16" i="71"/>
  <c r="O16" i="71"/>
  <c r="N16" i="71"/>
  <c r="Q15" i="71"/>
  <c r="AB15" i="71" s="1"/>
  <c r="P15" i="71"/>
  <c r="O15" i="71"/>
  <c r="N15" i="71"/>
  <c r="X13" i="71" s="1"/>
  <c r="Q14" i="71"/>
  <c r="AB14" i="71"/>
  <c r="P14" i="71"/>
  <c r="O14" i="71"/>
  <c r="Y14" i="71" s="1"/>
  <c r="Z14" i="71" s="1"/>
  <c r="N14" i="71"/>
  <c r="Q13" i="71"/>
  <c r="F14" i="71" s="1"/>
  <c r="F15" i="71"/>
  <c r="F16" i="71" s="1"/>
  <c r="V16" i="71" s="1"/>
  <c r="P13" i="71"/>
  <c r="O13" i="71"/>
  <c r="N13" i="71"/>
  <c r="D13" i="71"/>
  <c r="Q12" i="71"/>
  <c r="P12" i="71"/>
  <c r="O12" i="71"/>
  <c r="N12" i="71"/>
  <c r="Q11" i="71"/>
  <c r="AB11" i="71" s="1"/>
  <c r="P11" i="71"/>
  <c r="O11" i="71"/>
  <c r="N11" i="71"/>
  <c r="X9" i="71" s="1"/>
  <c r="Q10" i="71"/>
  <c r="AB10" i="71"/>
  <c r="P10" i="71"/>
  <c r="O10" i="71"/>
  <c r="Y10" i="71" s="1"/>
  <c r="Z10" i="71" s="1"/>
  <c r="N10" i="71"/>
  <c r="Q9" i="71"/>
  <c r="F10" i="71" s="1"/>
  <c r="F11" i="71"/>
  <c r="F12" i="71" s="1"/>
  <c r="V12" i="71" s="1"/>
  <c r="P9" i="71"/>
  <c r="O9" i="71"/>
  <c r="N9" i="71"/>
  <c r="D9" i="71"/>
  <c r="B10" i="71"/>
  <c r="B11" i="71"/>
  <c r="E10" i="71"/>
  <c r="E11" i="71" s="1"/>
  <c r="E12" i="71"/>
  <c r="U12" i="71" s="1"/>
  <c r="B14" i="71"/>
  <c r="B15" i="71"/>
  <c r="B18" i="71"/>
  <c r="B19" i="71" s="1"/>
  <c r="B20" i="71"/>
  <c r="S20" i="71" s="1"/>
  <c r="X17" i="71"/>
  <c r="E18" i="71"/>
  <c r="E19" i="71" s="1"/>
  <c r="E20" i="71" s="1"/>
  <c r="U20" i="71" s="1"/>
  <c r="AA17" i="71"/>
  <c r="N48" i="71"/>
  <c r="E14" i="71"/>
  <c r="E15" i="71" s="1"/>
  <c r="E16" i="71" s="1"/>
  <c r="U16" i="71" s="1"/>
  <c r="AA13" i="71"/>
  <c r="C10" i="71"/>
  <c r="Y9" i="71"/>
  <c r="Z9" i="71" s="1"/>
  <c r="AB9" i="71"/>
  <c r="AA10" i="71"/>
  <c r="AA11" i="71"/>
  <c r="AA12" i="71"/>
  <c r="C14" i="71"/>
  <c r="C15" i="71"/>
  <c r="D15" i="71" s="1"/>
  <c r="X14" i="71"/>
  <c r="X15" i="71"/>
  <c r="X16" i="71"/>
  <c r="C18" i="71"/>
  <c r="C19" i="71" s="1"/>
  <c r="AB17" i="71"/>
  <c r="X18" i="71"/>
  <c r="F31" i="71"/>
  <c r="F32" i="71" s="1"/>
  <c r="V32" i="71" s="1"/>
  <c r="X6" i="71"/>
  <c r="X3" i="71"/>
  <c r="C11" i="71"/>
  <c r="D11" i="71" s="1"/>
  <c r="D10" i="71"/>
  <c r="D14" i="71"/>
  <c r="D18" i="71"/>
  <c r="D22" i="71"/>
  <c r="C27" i="71"/>
  <c r="D27" i="71"/>
  <c r="D26" i="71"/>
  <c r="C31" i="71"/>
  <c r="D31" i="71" s="1"/>
  <c r="E35" i="71"/>
  <c r="E36" i="71" s="1"/>
  <c r="U36" i="71" s="1"/>
  <c r="E39" i="71"/>
  <c r="E40" i="71"/>
  <c r="U40" i="71" s="1"/>
  <c r="E43" i="71"/>
  <c r="E44" i="71" s="1"/>
  <c r="U44" i="71" s="1"/>
  <c r="U48" i="71"/>
  <c r="C35" i="71"/>
  <c r="D35" i="71" s="1"/>
  <c r="D34" i="71"/>
  <c r="C39" i="71"/>
  <c r="D39" i="71" s="1"/>
  <c r="C43" i="71"/>
  <c r="C44" i="71" s="1"/>
  <c r="D42" i="71"/>
  <c r="N47" i="71"/>
  <c r="B46" i="71"/>
  <c r="T48" i="71"/>
  <c r="O48" i="71"/>
  <c r="D48" i="71"/>
  <c r="C47" i="71"/>
  <c r="O47" i="71" s="1"/>
  <c r="Q48" i="71"/>
  <c r="C51" i="71"/>
  <c r="D51" i="71" s="1"/>
  <c r="E51" i="71"/>
  <c r="E50" i="71"/>
  <c r="D52" i="71"/>
  <c r="C55" i="71"/>
  <c r="C54" i="71" s="1"/>
  <c r="D54" i="71" s="1"/>
  <c r="D56" i="71"/>
  <c r="C59" i="71"/>
  <c r="C58" i="71" s="1"/>
  <c r="D58" i="71" s="1"/>
  <c r="E59" i="71"/>
  <c r="E58" i="71"/>
  <c r="D60" i="71"/>
  <c r="C63" i="71"/>
  <c r="D63" i="71" s="1"/>
  <c r="C67" i="71"/>
  <c r="T8" i="71"/>
  <c r="S8" i="71"/>
  <c r="AB3" i="71"/>
  <c r="AB6" i="71"/>
  <c r="AB8" i="71"/>
  <c r="AA5" i="71"/>
  <c r="AA7" i="71"/>
  <c r="D8" i="71"/>
  <c r="U8" i="71" s="1"/>
  <c r="C46" i="71"/>
  <c r="O46" i="71" s="1"/>
  <c r="D47" i="71"/>
  <c r="D43" i="71"/>
  <c r="C62" i="71"/>
  <c r="D62" i="71" s="1"/>
  <c r="D55" i="71"/>
  <c r="N45" i="71"/>
  <c r="N46" i="71"/>
  <c r="D67" i="71"/>
  <c r="C66" i="71"/>
  <c r="D66" i="71" s="1"/>
  <c r="D59" i="71"/>
  <c r="C50" i="71"/>
  <c r="D50" i="71" s="1"/>
  <c r="C40" i="71"/>
  <c r="D40" i="71" s="1"/>
  <c r="C36" i="71"/>
  <c r="D36" i="71" s="1"/>
  <c r="C32" i="71"/>
  <c r="D32" i="71" s="1"/>
  <c r="C16" i="71"/>
  <c r="D16" i="71" s="1"/>
  <c r="C12" i="71"/>
  <c r="D12" i="71" s="1"/>
  <c r="D6" i="71"/>
  <c r="D7" i="71"/>
  <c r="V8"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C21" i="69" s="1"/>
  <c r="F20" i="69"/>
  <c r="E10" i="69"/>
  <c r="E9" i="69"/>
  <c r="F7" i="69"/>
  <c r="C7" i="69"/>
  <c r="W21" i="37"/>
  <c r="W21" i="34"/>
  <c r="W21" i="33"/>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10" i="1"/>
  <c r="F11" i="1"/>
  <c r="F12" i="1"/>
  <c r="F13" i="1"/>
  <c r="D10" i="1"/>
  <c r="D11" i="1"/>
  <c r="D12" i="1"/>
  <c r="D13" i="1"/>
  <c r="D7" i="1"/>
  <c r="D8" i="1"/>
  <c r="B8" i="1"/>
  <c r="E8" i="1" s="1"/>
  <c r="A10" i="1"/>
  <c r="K10" i="1" s="1"/>
  <c r="M10" i="1" s="1"/>
  <c r="A11" i="1"/>
  <c r="A12" i="1"/>
  <c r="A13" i="1"/>
  <c r="F3" i="35"/>
  <c r="B11" i="1"/>
  <c r="E11" i="1"/>
  <c r="B7" i="1"/>
  <c r="E7"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37" i="48"/>
  <c r="B2" i="72" s="1"/>
  <c r="B13" i="53"/>
  <c r="B29" i="72" s="1"/>
  <c r="R35" i="4"/>
  <c r="Q35" i="4"/>
  <c r="P35" i="4"/>
  <c r="O35" i="4"/>
  <c r="N35" i="4"/>
  <c r="M35" i="4"/>
  <c r="L35" i="4"/>
  <c r="K34" i="4"/>
  <c r="T34" i="4" s="1"/>
  <c r="G11" i="1"/>
  <c r="I15" i="4"/>
  <c r="H15" i="4"/>
  <c r="E15" i="4"/>
  <c r="F6" i="1" s="1"/>
  <c r="D15" i="4"/>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23" i="1"/>
  <c r="D78" i="9"/>
  <c r="E20" i="6"/>
  <c r="E21" i="6"/>
  <c r="K8" i="1"/>
  <c r="M8" i="1" s="1"/>
  <c r="F23" i="15"/>
  <c r="D24" i="15" s="1"/>
  <c r="O8" i="1"/>
  <c r="P8" i="1"/>
  <c r="E22" i="6"/>
  <c r="E23" i="6"/>
  <c r="E24" i="6"/>
  <c r="E25" i="6"/>
  <c r="E26" i="6"/>
  <c r="BC10" i="3"/>
  <c r="BD10" i="3"/>
  <c r="BB10" i="3"/>
  <c r="I5" i="3"/>
  <c r="F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G19"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s="1"/>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H34" i="39"/>
  <c r="U34" i="39" s="1"/>
  <c r="E109" i="39"/>
  <c r="F31" i="39"/>
  <c r="AA31" i="39" s="1"/>
  <c r="E101" i="39"/>
  <c r="H19" i="39"/>
  <c r="AB19" i="39" s="1"/>
  <c r="F19" i="39"/>
  <c r="AA19" i="39" s="1"/>
  <c r="F17" i="39"/>
  <c r="AA17" i="39" s="1"/>
  <c r="J23" i="40"/>
  <c r="AC23" i="40"/>
  <c r="F21" i="40"/>
  <c r="AA21" i="40"/>
  <c r="J21" i="40"/>
  <c r="W21" i="40"/>
  <c r="H42" i="39"/>
  <c r="AB42" i="39" s="1"/>
  <c r="J34" i="39"/>
  <c r="AC34" i="39" s="1"/>
  <c r="F109" i="39"/>
  <c r="G109" i="39" s="1"/>
  <c r="H109" i="39" s="1"/>
  <c r="I109" i="39" s="1"/>
  <c r="J109" i="39" s="1"/>
  <c r="K109" i="39" s="1"/>
  <c r="L109" i="39" s="1"/>
  <c r="M109" i="39" s="1"/>
  <c r="F101" i="39"/>
  <c r="H27" i="39"/>
  <c r="U27" i="39" s="1"/>
  <c r="J19" i="39"/>
  <c r="AC19" i="39" s="1"/>
  <c r="J27" i="39"/>
  <c r="AC27" i="39" s="1"/>
  <c r="F27"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W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AB37" i="34"/>
  <c r="AA13" i="33"/>
  <c r="AC31" i="33"/>
  <c r="AC45" i="33"/>
  <c r="W44" i="33"/>
  <c r="U11" i="33"/>
  <c r="U19" i="21"/>
  <c r="W44" i="21"/>
  <c r="U26" i="21"/>
  <c r="AC46" i="21"/>
  <c r="U12" i="21"/>
  <c r="AB38" i="21"/>
  <c r="F43" i="33"/>
  <c r="AA43" i="33"/>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H5" i="3"/>
  <c r="AA25" i="21"/>
  <c r="C12" i="43"/>
  <c r="H19" i="40"/>
  <c r="U19" i="40" s="1"/>
  <c r="F88" i="40"/>
  <c r="G88" i="40" s="1"/>
  <c r="F19" i="40"/>
  <c r="S19" i="40" s="1"/>
  <c r="S14" i="40"/>
  <c r="AB33" i="40"/>
  <c r="W23" i="39"/>
  <c r="AC43" i="39"/>
  <c r="W43" i="39"/>
  <c r="U45" i="39"/>
  <c r="AB45" i="39"/>
  <c r="AB44" i="39"/>
  <c r="U44" i="39"/>
  <c r="G101" i="39"/>
  <c r="H37" i="39"/>
  <c r="AB37" i="39" s="1"/>
  <c r="AC37" i="39"/>
  <c r="W37" i="39"/>
  <c r="F15" i="39"/>
  <c r="AA15" i="39" s="1"/>
  <c r="H15" i="39"/>
  <c r="U15" i="39" s="1"/>
  <c r="J15" i="39"/>
  <c r="W15" i="39" s="1"/>
  <c r="H41" i="39"/>
  <c r="AB41" i="39" s="1"/>
  <c r="S42" i="39"/>
  <c r="W14" i="39"/>
  <c r="W9" i="39"/>
  <c r="W8" i="39"/>
  <c r="J19" i="40"/>
  <c r="AC19" i="40"/>
  <c r="J50" i="40"/>
  <c r="B54" i="72"/>
  <c r="H103" i="9"/>
  <c r="D8" i="53"/>
  <c r="B16" i="53"/>
  <c r="B33" i="72"/>
  <c r="C7" i="37"/>
  <c r="C7" i="34"/>
  <c r="C59" i="34" s="1"/>
  <c r="D59" i="34" s="1"/>
  <c r="E59" i="34" s="1"/>
  <c r="F59" i="34" s="1"/>
  <c r="G59" i="34" s="1"/>
  <c r="H59" i="34" s="1"/>
  <c r="I59" i="34" s="1"/>
  <c r="C7" i="36"/>
  <c r="W35" i="40"/>
  <c r="A118" i="9"/>
  <c r="A4" i="52"/>
  <c r="B41" i="72" s="1"/>
  <c r="G4" i="4"/>
  <c r="I4" i="4"/>
  <c r="K5" i="4"/>
  <c r="B47" i="48" s="1"/>
  <c r="A2" i="9"/>
  <c r="N2" i="43"/>
  <c r="F59" i="43"/>
  <c r="H62" i="43" s="1"/>
  <c r="BO5" i="3"/>
  <c r="BM5" i="3"/>
  <c r="F29" i="6" s="1"/>
  <c r="BJ5" i="3"/>
  <c r="BH5" i="3"/>
  <c r="BF5" i="3"/>
  <c r="BD5" i="3"/>
  <c r="BQ5" i="3"/>
  <c r="F28" i="6" s="1"/>
  <c r="AC5" i="3"/>
  <c r="BS5" i="3"/>
  <c r="BP5" i="3"/>
  <c r="BN5" i="3"/>
  <c r="BK5" i="3"/>
  <c r="BI5" i="3"/>
  <c r="BG5" i="3"/>
  <c r="BE5" i="3"/>
  <c r="E12" i="6" s="1"/>
  <c r="E62" i="39" s="1"/>
  <c r="BC5" i="3"/>
  <c r="BT5" i="3"/>
  <c r="BB5" i="3"/>
  <c r="BR5" i="3"/>
  <c r="G28" i="6" s="1"/>
  <c r="U36" i="40"/>
  <c r="N4" i="43"/>
  <c r="F81" i="43"/>
  <c r="H83" i="43" s="1"/>
  <c r="H113" i="43"/>
  <c r="N7" i="43"/>
  <c r="F70" i="43"/>
  <c r="H73" i="43" s="1"/>
  <c r="M6" i="43"/>
  <c r="M11" i="43"/>
  <c r="F39" i="43"/>
  <c r="F35" i="43"/>
  <c r="S14" i="35"/>
  <c r="U43" i="21"/>
  <c r="U35" i="21"/>
  <c r="AC35" i="21"/>
  <c r="U10" i="21"/>
  <c r="G8" i="1"/>
  <c r="G9" i="1"/>
  <c r="G10" i="1"/>
  <c r="F48" i="9"/>
  <c r="O52" i="9" s="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C40" i="11"/>
  <c r="H74"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7" i="43"/>
  <c r="O9" i="1"/>
  <c r="P9" i="1" s="1"/>
  <c r="D93" i="9"/>
  <c r="AC26" i="33"/>
  <c r="W26" i="33"/>
  <c r="W27" i="34"/>
  <c r="AC27" i="34"/>
  <c r="AC12" i="39"/>
  <c r="W12" i="39"/>
  <c r="AC39" i="40"/>
  <c r="W39" i="40"/>
  <c r="W12" i="33"/>
  <c r="AC12" i="33"/>
  <c r="AA39" i="34"/>
  <c r="U30" i="33"/>
  <c r="AC13" i="34"/>
  <c r="AA47" i="34"/>
  <c r="W28" i="37"/>
  <c r="S19" i="39"/>
  <c r="F12" i="33"/>
  <c r="H12" i="39"/>
  <c r="AB12" i="39" s="1"/>
  <c r="F39" i="40"/>
  <c r="AA39" i="40" s="1"/>
  <c r="S12" i="1"/>
  <c r="AQ12" i="1" s="1"/>
  <c r="R12" i="1"/>
  <c r="B12" i="1"/>
  <c r="E12" i="1"/>
  <c r="S10" i="1"/>
  <c r="T10" i="1" s="1"/>
  <c r="R10" i="1"/>
  <c r="B10" i="1"/>
  <c r="E10" i="1"/>
  <c r="K12" i="1"/>
  <c r="S13" i="1"/>
  <c r="AR13" i="1" s="1"/>
  <c r="R13" i="1"/>
  <c r="S11" i="1"/>
  <c r="AQ11" i="1" s="1"/>
  <c r="R11" i="1"/>
  <c r="AR9" i="1"/>
  <c r="J51" i="67"/>
  <c r="H100" i="43"/>
  <c r="C30" i="66"/>
  <c r="E26" i="66" s="1"/>
  <c r="AC34" i="33"/>
  <c r="AA34" i="33"/>
  <c r="J100" i="43"/>
  <c r="AB37" i="40"/>
  <c r="S35" i="40"/>
  <c r="U35" i="40"/>
  <c r="W38" i="40"/>
  <c r="S17" i="40"/>
  <c r="S23" i="40"/>
  <c r="AC17" i="40"/>
  <c r="AC15" i="40"/>
  <c r="AB27" i="40"/>
  <c r="AA19" i="40"/>
  <c r="S28" i="40"/>
  <c r="AA27" i="40"/>
  <c r="AB19" i="40"/>
  <c r="U37" i="39"/>
  <c r="S43" i="39"/>
  <c r="S37" i="39"/>
  <c r="U35" i="39"/>
  <c r="F32" i="39"/>
  <c r="AB27" i="39"/>
  <c r="F21" i="39"/>
  <c r="AA21" i="39" s="1"/>
  <c r="W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U10" i="36"/>
  <c r="W10" i="36"/>
  <c r="AA25" i="35"/>
  <c r="S23"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U9" i="37"/>
  <c r="AA13" i="37"/>
  <c r="AA12" i="37"/>
  <c r="AA9" i="37"/>
  <c r="H10" i="37"/>
  <c r="H60" i="37"/>
  <c r="I60" i="37" s="1"/>
  <c r="F11" i="37"/>
  <c r="S11" i="37" s="1"/>
  <c r="S27" i="34"/>
  <c r="W25" i="34"/>
  <c r="AB8" i="34"/>
  <c r="U44" i="34"/>
  <c r="U43" i="34"/>
  <c r="AC39" i="34"/>
  <c r="AC42" i="34"/>
  <c r="U39" i="34"/>
  <c r="S43" i="34"/>
  <c r="AB41" i="34"/>
  <c r="AA45" i="34"/>
  <c r="W34" i="34"/>
  <c r="AA25" i="34"/>
  <c r="U28" i="34"/>
  <c r="S17" i="34"/>
  <c r="AA29"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J35" i="33"/>
  <c r="AC35" i="33" s="1"/>
  <c r="S37" i="33"/>
  <c r="AA37" i="33"/>
  <c r="S39" i="33"/>
  <c r="J32" i="33"/>
  <c r="W32" i="33" s="1"/>
  <c r="S46" i="33"/>
  <c r="W43" i="33"/>
  <c r="S43" i="33"/>
  <c r="F91" i="33"/>
  <c r="H27" i="33"/>
  <c r="H25" i="33"/>
  <c r="F25" i="33"/>
  <c r="AA25" i="33" s="1"/>
  <c r="J23" i="33"/>
  <c r="H23" i="33"/>
  <c r="F19" i="33"/>
  <c r="S19" i="33"/>
  <c r="W19" i="33"/>
  <c r="J17" i="33"/>
  <c r="AC17" i="33" s="1"/>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E10" i="6"/>
  <c r="J56" i="9"/>
  <c r="J57" i="9"/>
  <c r="J59" i="9" s="1"/>
  <c r="J61" i="9" s="1"/>
  <c r="A24" i="51"/>
  <c r="B18" i="72" s="1"/>
  <c r="U29" i="34"/>
  <c r="E5" i="6"/>
  <c r="E32" i="6"/>
  <c r="L19" i="6"/>
  <c r="G1" i="68"/>
  <c r="K1" i="12"/>
  <c r="T12" i="1"/>
  <c r="E19" i="69"/>
  <c r="E19" i="68"/>
  <c r="E19" i="11"/>
  <c r="G41" i="69"/>
  <c r="G22" i="69"/>
  <c r="G41" i="68"/>
  <c r="G22" i="68"/>
  <c r="G27" i="12"/>
  <c r="G26" i="12"/>
  <c r="G41" i="11"/>
  <c r="G22" i="11"/>
  <c r="G25" i="12"/>
  <c r="C100" i="43"/>
  <c r="E81" i="43"/>
  <c r="B79" i="43" s="1"/>
  <c r="E70" i="43"/>
  <c r="B68" i="43" s="1"/>
  <c r="F100" i="43"/>
  <c r="H17" i="43"/>
  <c r="D9" i="53"/>
  <c r="B25" i="72" s="1"/>
  <c r="B24" i="72"/>
  <c r="H81" i="43"/>
  <c r="H88" i="43"/>
  <c r="H70" i="43"/>
  <c r="C17" i="43"/>
  <c r="G17" i="43"/>
  <c r="M7" i="43"/>
  <c r="N6" i="43"/>
  <c r="M2" i="43"/>
  <c r="M10" i="43"/>
  <c r="N3" i="43"/>
  <c r="N11"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s="1"/>
  <c r="M47" i="9"/>
  <c r="G19" i="43"/>
  <c r="C46" i="36"/>
  <c r="D46" i="36" s="1"/>
  <c r="C52" i="37"/>
  <c r="D52" i="37"/>
  <c r="A4" i="51"/>
  <c r="B6" i="72" s="1"/>
  <c r="C48" i="35"/>
  <c r="D48" i="35" s="1"/>
  <c r="E48" i="35" s="1"/>
  <c r="F48" i="35" s="1"/>
  <c r="H65" i="43"/>
  <c r="H63" i="43"/>
  <c r="H72" i="43"/>
  <c r="L20" i="6"/>
  <c r="B6" i="1"/>
  <c r="E6" i="1"/>
  <c r="S8" i="1"/>
  <c r="AQ8" i="1" s="1"/>
  <c r="K11" i="1"/>
  <c r="M11" i="1" s="1"/>
  <c r="O11" i="1" s="1"/>
  <c r="P11" i="1" s="1"/>
  <c r="AP6" i="1"/>
  <c r="B9" i="1"/>
  <c r="E9" i="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AA27" i="39"/>
  <c r="S27"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AQ13" i="1"/>
  <c r="AQ9" i="1"/>
  <c r="T13" i="1"/>
  <c r="C77" i="9"/>
  <c r="C74" i="9" s="1"/>
  <c r="S7" i="1"/>
  <c r="AQ7" i="1" s="1"/>
  <c r="E7" i="70"/>
  <c r="C24" i="12"/>
  <c r="S39" i="40"/>
  <c r="S12" i="33"/>
  <c r="AA12" i="33"/>
  <c r="AA32" i="39"/>
  <c r="S32" i="39"/>
  <c r="S21" i="39"/>
  <c r="S26" i="35"/>
  <c r="U9" i="35"/>
  <c r="AB9" i="35"/>
  <c r="S9" i="35"/>
  <c r="W26" i="35"/>
  <c r="AB26" i="35"/>
  <c r="U26" i="35"/>
  <c r="AC17" i="37"/>
  <c r="S17" i="37"/>
  <c r="J19" i="37"/>
  <c r="G75" i="37"/>
  <c r="AA19" i="37"/>
  <c r="J23" i="37"/>
  <c r="W23" i="37" s="1"/>
  <c r="G79" i="37"/>
  <c r="J10" i="37"/>
  <c r="AC10" i="37" s="1"/>
  <c r="H11" i="37"/>
  <c r="AB10" i="37"/>
  <c r="U10" i="37"/>
  <c r="G70" i="34"/>
  <c r="H11" i="34"/>
  <c r="AB10" i="34"/>
  <c r="U10" i="34"/>
  <c r="J10" i="34"/>
  <c r="W10" i="34" s="1"/>
  <c r="AB41" i="33"/>
  <c r="W35" i="33"/>
  <c r="J36" i="33"/>
  <c r="AC36" i="33" s="1"/>
  <c r="H36" i="33"/>
  <c r="S36" i="33"/>
  <c r="AA36" i="33"/>
  <c r="AC32" i="33"/>
  <c r="U27" i="33"/>
  <c r="AB27" i="33"/>
  <c r="G91" i="33"/>
  <c r="H91" i="33" s="1"/>
  <c r="I91" i="33" s="1"/>
  <c r="J91" i="33" s="1"/>
  <c r="K91" i="33" s="1"/>
  <c r="L91" i="33" s="1"/>
  <c r="M91" i="33" s="1"/>
  <c r="J27" i="33"/>
  <c r="U25" i="33"/>
  <c r="AB25" i="33"/>
  <c r="S25" i="33"/>
  <c r="J25" i="33"/>
  <c r="AB23" i="33"/>
  <c r="U23" i="33"/>
  <c r="F23" i="33"/>
  <c r="AA23" i="33" s="1"/>
  <c r="AC23" i="33"/>
  <c r="W23" i="33"/>
  <c r="AA19" i="33"/>
  <c r="H19" i="33"/>
  <c r="H17" i="33"/>
  <c r="U17" i="33" s="1"/>
  <c r="F17" i="33"/>
  <c r="W17" i="33"/>
  <c r="U10" i="33"/>
  <c r="AB10" i="33"/>
  <c r="AC10" i="33"/>
  <c r="AC37" i="21"/>
  <c r="S37" i="21"/>
  <c r="AB15" i="21"/>
  <c r="J23" i="21"/>
  <c r="F85" i="21"/>
  <c r="G85" i="21" s="1"/>
  <c r="H23" i="21"/>
  <c r="U23" i="21" s="1"/>
  <c r="S13" i="21"/>
  <c r="D6" i="52"/>
  <c r="D121" i="9"/>
  <c r="D7" i="52"/>
  <c r="K120" i="9"/>
  <c r="AR8" i="1"/>
  <c r="T8" i="1"/>
  <c r="O19" i="43"/>
  <c r="E52" i="37"/>
  <c r="F52" i="37" s="1"/>
  <c r="G52" i="37" s="1"/>
  <c r="AP7" i="1"/>
  <c r="O7" i="1"/>
  <c r="P7" i="1" s="1"/>
  <c r="AB45" i="21"/>
  <c r="AC33" i="21"/>
  <c r="W33" i="21"/>
  <c r="S33" i="21"/>
  <c r="W32" i="21"/>
  <c r="AC32" i="21"/>
  <c r="AB9" i="21"/>
  <c r="U9" i="21"/>
  <c r="AA32" i="21"/>
  <c r="W9" i="21"/>
  <c r="AB32" i="21"/>
  <c r="AA10" i="21"/>
  <c r="S10" i="21"/>
  <c r="M17" i="15"/>
  <c r="M17" i="67"/>
  <c r="F31" i="15"/>
  <c r="F59" i="15"/>
  <c r="F59" i="67"/>
  <c r="F31" i="67"/>
  <c r="A18" i="62"/>
  <c r="B64" i="72"/>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H58" i="21"/>
  <c r="I58" i="21" s="1"/>
  <c r="J58" i="21" s="1"/>
  <c r="AC11" i="37"/>
  <c r="W11" i="37"/>
  <c r="AC11" i="34"/>
  <c r="R7" i="1"/>
  <c r="R8" i="1"/>
  <c r="AE7" i="1"/>
  <c r="AE8" i="1"/>
  <c r="AG6" i="1"/>
  <c r="H109" i="9"/>
  <c r="H110" i="9" s="1"/>
  <c r="D18" i="53" s="1"/>
  <c r="B35" i="72" s="1"/>
  <c r="D124" i="9"/>
  <c r="D10" i="52" s="1"/>
  <c r="H14" i="74"/>
  <c r="B7" i="74" s="1"/>
  <c r="J7" i="33"/>
  <c r="W7" i="33" s="1"/>
  <c r="F7" i="33"/>
  <c r="S7" i="33" s="1"/>
  <c r="H7" i="33"/>
  <c r="AB7" i="33" s="1"/>
  <c r="T48" i="33" s="1"/>
  <c r="G48" i="33" s="1"/>
  <c r="AA7" i="33"/>
  <c r="R48" i="33" s="1"/>
  <c r="D59" i="9"/>
  <c r="M55" i="9" s="1"/>
  <c r="F30" i="6" l="1"/>
  <c r="AC24" i="35"/>
  <c r="W24" i="35"/>
  <c r="AC34" i="35"/>
  <c r="W34" i="35"/>
  <c r="AB36" i="35"/>
  <c r="U36" i="35"/>
  <c r="AA32" i="36"/>
  <c r="S32" i="36"/>
  <c r="AC31" i="40"/>
  <c r="W31" i="40"/>
  <c r="O10" i="1"/>
  <c r="P10" i="1" s="1"/>
  <c r="I21" i="66"/>
  <c r="D1" i="66" s="1"/>
  <c r="E10" i="66" s="1"/>
  <c r="C20" i="71"/>
  <c r="D19" i="71"/>
  <c r="AB31" i="21"/>
  <c r="U31" i="21"/>
  <c r="W45" i="21"/>
  <c r="AC45" i="21"/>
  <c r="AA9" i="21"/>
  <c r="S9" i="21"/>
  <c r="AC9" i="34"/>
  <c r="W9" i="34"/>
  <c r="AA28" i="34"/>
  <c r="S28" i="34"/>
  <c r="S12" i="34"/>
  <c r="AA12" i="34"/>
  <c r="AB34" i="36"/>
  <c r="U34" i="36"/>
  <c r="U33" i="36"/>
  <c r="AB33" i="36"/>
  <c r="U25" i="37"/>
  <c r="AB25" i="37"/>
  <c r="W33" i="40"/>
  <c r="AC33" i="40"/>
  <c r="S22" i="31"/>
  <c r="R22" i="31" s="1"/>
  <c r="B21" i="31" s="1"/>
  <c r="T44" i="71"/>
  <c r="D44" i="71"/>
  <c r="C24" i="71"/>
  <c r="D23" i="71"/>
  <c r="D125" i="9"/>
  <c r="D11" i="52" s="1"/>
  <c r="D16" i="53"/>
  <c r="AA23" i="21"/>
  <c r="U33" i="21"/>
  <c r="AA23" i="37"/>
  <c r="W17" i="21"/>
  <c r="AA11" i="34"/>
  <c r="W27" i="40"/>
  <c r="H77" i="43"/>
  <c r="H76" i="43"/>
  <c r="H64" i="43"/>
  <c r="H66" i="43"/>
  <c r="H71" i="43"/>
  <c r="H78" i="43"/>
  <c r="U27" i="34"/>
  <c r="AB35" i="34"/>
  <c r="W41" i="34"/>
  <c r="AA33" i="34"/>
  <c r="S37" i="37"/>
  <c r="S32" i="37"/>
  <c r="S20" i="35"/>
  <c r="S14" i="36"/>
  <c r="AB20" i="36"/>
  <c r="S27" i="36"/>
  <c r="U21" i="40"/>
  <c r="S30" i="40"/>
  <c r="AA32" i="40"/>
  <c r="AC36" i="40"/>
  <c r="H75" i="43"/>
  <c r="U12" i="40"/>
  <c r="S15" i="37"/>
  <c r="G29" i="6"/>
  <c r="E29" i="6" s="1"/>
  <c r="K15" i="1" s="1"/>
  <c r="AC13" i="40"/>
  <c r="AC36" i="34"/>
  <c r="W37" i="34"/>
  <c r="W47" i="34"/>
  <c r="AB28" i="37"/>
  <c r="U35" i="35"/>
  <c r="S44" i="34"/>
  <c r="W31" i="34"/>
  <c r="AB30" i="21"/>
  <c r="AA13" i="35"/>
  <c r="U30" i="35"/>
  <c r="W40" i="33"/>
  <c r="S26" i="33"/>
  <c r="J28" i="34"/>
  <c r="S9" i="34"/>
  <c r="AC8" i="35"/>
  <c r="U8" i="35"/>
  <c r="AB8" i="36"/>
  <c r="AB12" i="35"/>
  <c r="AC12" i="34"/>
  <c r="C27" i="39"/>
  <c r="S40" i="21"/>
  <c r="W28" i="35"/>
  <c r="U9" i="36"/>
  <c r="J24" i="1"/>
  <c r="D33" i="43"/>
  <c r="H33" i="43" s="1"/>
  <c r="H9" i="34"/>
  <c r="F34" i="35"/>
  <c r="H34" i="35"/>
  <c r="J36" i="35"/>
  <c r="J21" i="1"/>
  <c r="D29" i="43"/>
  <c r="D1" i="43" s="1"/>
  <c r="G7" i="1"/>
  <c r="G13" i="1"/>
  <c r="D49" i="43"/>
  <c r="E48" i="43" s="1"/>
  <c r="B46" i="43" s="1"/>
  <c r="C24" i="43" s="1"/>
  <c r="D51" i="43"/>
  <c r="D53" i="43"/>
  <c r="O45" i="71"/>
  <c r="AA8" i="71"/>
  <c r="AA6" i="71"/>
  <c r="AA3" i="71"/>
  <c r="AB7" i="71"/>
  <c r="AB5" i="71"/>
  <c r="E55" i="71"/>
  <c r="E54" i="71" s="1"/>
  <c r="E47" i="71"/>
  <c r="X8" i="71"/>
  <c r="X7" i="71"/>
  <c r="X5" i="71"/>
  <c r="Y8" i="71"/>
  <c r="Z8" i="71" s="1"/>
  <c r="Y7" i="71"/>
  <c r="Z7" i="71" s="1"/>
  <c r="Y6" i="71"/>
  <c r="Z6" i="71" s="1"/>
  <c r="Y5" i="71"/>
  <c r="Z5" i="71" s="1"/>
  <c r="Y3" i="71"/>
  <c r="Z3" i="71" s="1"/>
  <c r="AA18" i="71"/>
  <c r="Y17" i="71"/>
  <c r="Z17" i="71" s="1"/>
  <c r="AA16" i="71"/>
  <c r="AA15" i="71"/>
  <c r="AA14" i="71"/>
  <c r="AB13" i="71"/>
  <c r="Y13" i="71"/>
  <c r="Z13" i="71" s="1"/>
  <c r="X12" i="71"/>
  <c r="X11" i="71"/>
  <c r="X10" i="71"/>
  <c r="B16" i="71"/>
  <c r="S16" i="71" s="1"/>
  <c r="AA9" i="71"/>
  <c r="B12" i="71"/>
  <c r="S12" i="71" s="1"/>
  <c r="Y11" i="71"/>
  <c r="Z11" i="71" s="1"/>
  <c r="Y12" i="71"/>
  <c r="Z12" i="71" s="1"/>
  <c r="AB12" i="71"/>
  <c r="Y15" i="71"/>
  <c r="Z15" i="71" s="1"/>
  <c r="Y16" i="71"/>
  <c r="Z16" i="71" s="1"/>
  <c r="V48" i="71"/>
  <c r="F47" i="71"/>
  <c r="AE10" i="43"/>
  <c r="Z12" i="43"/>
  <c r="Z10" i="43"/>
  <c r="AD12" i="43"/>
  <c r="AD10" i="43"/>
  <c r="AH12" i="43"/>
  <c r="AH10" i="43"/>
  <c r="K56" i="9"/>
  <c r="P61" i="15"/>
  <c r="E19" i="6"/>
  <c r="AC12" i="43"/>
  <c r="AC10" i="43"/>
  <c r="AG12" i="43"/>
  <c r="AG10" i="43"/>
  <c r="C4" i="71"/>
  <c r="D4" i="71" s="1"/>
  <c r="D5" i="71"/>
  <c r="AH3" i="71"/>
  <c r="AD3" i="71"/>
  <c r="P74" i="67"/>
  <c r="G18" i="3"/>
  <c r="G17" i="3"/>
  <c r="G16" i="3"/>
  <c r="P61" i="77"/>
  <c r="R9" i="1"/>
  <c r="BA428" i="3"/>
  <c r="AZ428" i="3" s="1"/>
  <c r="BL425" i="3"/>
  <c r="AZ425" i="3" s="1"/>
  <c r="BA424" i="3"/>
  <c r="AZ424" i="3" s="1"/>
  <c r="BL421" i="3"/>
  <c r="AZ421" i="3" s="1"/>
  <c r="BA420" i="3"/>
  <c r="AZ420" i="3" s="1"/>
  <c r="BL417" i="3"/>
  <c r="AZ417" i="3" s="1"/>
  <c r="BA416" i="3"/>
  <c r="AZ416" i="3" s="1"/>
  <c r="BL413" i="3"/>
  <c r="AZ413" i="3" s="1"/>
  <c r="BA412" i="3"/>
  <c r="AZ412"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AZ210" i="3"/>
  <c r="AZ202" i="3"/>
  <c r="AZ194" i="3"/>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A213" i="3"/>
  <c r="AZ213" i="3" s="1"/>
  <c r="BL210" i="3"/>
  <c r="BA209" i="3"/>
  <c r="AZ209" i="3" s="1"/>
  <c r="BL206" i="3"/>
  <c r="AZ206" i="3" s="1"/>
  <c r="BA205" i="3"/>
  <c r="AZ205" i="3" s="1"/>
  <c r="BL202" i="3"/>
  <c r="BA201" i="3"/>
  <c r="AZ201" i="3" s="1"/>
  <c r="BL198" i="3"/>
  <c r="AZ198" i="3" s="1"/>
  <c r="BA197" i="3"/>
  <c r="AZ197" i="3" s="1"/>
  <c r="BL194" i="3"/>
  <c r="BA193" i="3"/>
  <c r="AZ193" i="3" s="1"/>
  <c r="BL190" i="3"/>
  <c r="AZ190" i="3" s="1"/>
  <c r="AZ116" i="3"/>
  <c r="AZ108" i="3"/>
  <c r="AZ100" i="3"/>
  <c r="AZ92" i="3"/>
  <c r="AZ84" i="3"/>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U11" i="79"/>
  <c r="U13" i="79"/>
  <c r="S15" i="79"/>
  <c r="AB15" i="79"/>
  <c r="U15" i="79"/>
  <c r="S19" i="79"/>
  <c r="AB19" i="79"/>
  <c r="U19" i="79"/>
  <c r="S23" i="79"/>
  <c r="AB23" i="79"/>
  <c r="U23" i="79"/>
  <c r="S28" i="79"/>
  <c r="AB28" i="79"/>
  <c r="U28" i="79"/>
  <c r="S32" i="79"/>
  <c r="AB32" i="79"/>
  <c r="U32" i="79"/>
  <c r="BA19" i="3"/>
  <c r="BL16" i="3"/>
  <c r="AZ16" i="3" s="1"/>
  <c r="BA16" i="3"/>
  <c r="U8" i="79"/>
  <c r="U10" i="79"/>
  <c r="S17" i="79"/>
  <c r="AB17" i="79"/>
  <c r="U17" i="79"/>
  <c r="S21" i="79"/>
  <c r="AB21" i="79"/>
  <c r="U21" i="79"/>
  <c r="S26" i="79"/>
  <c r="AB26" i="79"/>
  <c r="U26" i="79"/>
  <c r="AB30" i="79"/>
  <c r="U30" i="79"/>
  <c r="AB40" i="79"/>
  <c r="U40" i="79"/>
  <c r="AB44" i="79"/>
  <c r="U44" i="79"/>
  <c r="U34" i="79"/>
  <c r="U36" i="79"/>
  <c r="S42" i="79"/>
  <c r="AB42" i="79"/>
  <c r="U42" i="79"/>
  <c r="S46" i="79"/>
  <c r="AB46" i="79"/>
  <c r="U46" i="79"/>
  <c r="K145" i="79"/>
  <c r="K143" i="79"/>
  <c r="K141" i="79"/>
  <c r="C65" i="40"/>
  <c r="D63" i="40"/>
  <c r="I20" i="43"/>
  <c r="G6" i="1"/>
  <c r="F1" i="67"/>
  <c r="AB34" i="39"/>
  <c r="S17" i="39"/>
  <c r="AA39" i="39"/>
  <c r="W42" i="39"/>
  <c r="S34" i="39"/>
  <c r="W39" i="39"/>
  <c r="W34" i="39"/>
  <c r="W27" i="39"/>
  <c r="J25" i="39"/>
  <c r="F99" i="39"/>
  <c r="G99" i="39" s="1"/>
  <c r="H25" i="39"/>
  <c r="F25" i="39"/>
  <c r="F95" i="39"/>
  <c r="G95" i="39" s="1"/>
  <c r="J21" i="39"/>
  <c r="W21" i="39" s="1"/>
  <c r="H21" i="39"/>
  <c r="J17" i="39"/>
  <c r="G91" i="39"/>
  <c r="H17" i="39"/>
  <c r="F107" i="39"/>
  <c r="G107" i="39" s="1"/>
  <c r="H107" i="39" s="1"/>
  <c r="I107" i="39" s="1"/>
  <c r="J107" i="39" s="1"/>
  <c r="K107" i="39" s="1"/>
  <c r="L107" i="39" s="1"/>
  <c r="M107" i="39" s="1"/>
  <c r="H32" i="39"/>
  <c r="U32" i="39" s="1"/>
  <c r="J32" i="39"/>
  <c r="AB32" i="39"/>
  <c r="J31" i="39"/>
  <c r="F105" i="39"/>
  <c r="G105" i="39" s="1"/>
  <c r="H105" i="39" s="1"/>
  <c r="I105" i="39" s="1"/>
  <c r="J105" i="39" s="1"/>
  <c r="K105" i="39" s="1"/>
  <c r="L105" i="39" s="1"/>
  <c r="M105" i="39" s="1"/>
  <c r="H31" i="39"/>
  <c r="U40" i="39"/>
  <c r="AA41" i="39"/>
  <c r="S31" i="39"/>
  <c r="S23" i="39"/>
  <c r="AC21" i="39"/>
  <c r="U19" i="39"/>
  <c r="AB15" i="39"/>
  <c r="AC15" i="39"/>
  <c r="W29" i="39"/>
  <c r="U29" i="39"/>
  <c r="S29" i="39"/>
  <c r="F81" i="39"/>
  <c r="G81" i="39" s="1"/>
  <c r="M20" i="77"/>
  <c r="M20" i="78"/>
  <c r="F28" i="78"/>
  <c r="M18" i="78"/>
  <c r="F28" i="77"/>
  <c r="C28" i="77" s="1"/>
  <c r="F32" i="77"/>
  <c r="F60" i="77" s="1"/>
  <c r="F30" i="68"/>
  <c r="F30" i="11"/>
  <c r="F28" i="67"/>
  <c r="C28" i="67" s="1"/>
  <c r="F31" i="12"/>
  <c r="M18" i="67"/>
  <c r="F28" i="15"/>
  <c r="C28" i="15" s="1"/>
  <c r="D68" i="9"/>
  <c r="F53" i="9"/>
  <c r="F52" i="9"/>
  <c r="F32" i="67"/>
  <c r="F60" i="67" s="1"/>
  <c r="F30" i="69"/>
  <c r="F32" i="15"/>
  <c r="F60" i="15" s="1"/>
  <c r="M18" i="15"/>
  <c r="F54" i="9"/>
  <c r="F32" i="78"/>
  <c r="F60" i="78" s="1"/>
  <c r="M18" i="77"/>
  <c r="C28" i="78"/>
  <c r="C40" i="68"/>
  <c r="C40" i="69"/>
  <c r="D23" i="67"/>
  <c r="F1" i="78"/>
  <c r="T35" i="4"/>
  <c r="A19" i="51" s="1"/>
  <c r="B14" i="72" s="1"/>
  <c r="E10" i="43"/>
  <c r="E8" i="43"/>
  <c r="E11" i="43"/>
  <c r="E9" i="43"/>
  <c r="M100" i="43"/>
  <c r="I100" i="43"/>
  <c r="E100" i="43"/>
  <c r="D100" i="43"/>
  <c r="B7" i="49"/>
  <c r="H67" i="43"/>
  <c r="H59" i="43"/>
  <c r="H60" i="43"/>
  <c r="H61" i="43"/>
  <c r="F38" i="43"/>
  <c r="C6" i="43"/>
  <c r="F34" i="43"/>
  <c r="F33" i="43"/>
  <c r="H84" i="43"/>
  <c r="H85" i="43"/>
  <c r="H82" i="43"/>
  <c r="J17" i="43"/>
  <c r="I17" i="43"/>
  <c r="C16" i="43" s="1"/>
  <c r="E17" i="43"/>
  <c r="F48" i="43"/>
  <c r="H50" i="43" s="1"/>
  <c r="F36" i="43"/>
  <c r="H48" i="43"/>
  <c r="B6" i="49"/>
  <c r="B13" i="49"/>
  <c r="L27" i="6"/>
  <c r="G19" i="3"/>
  <c r="BL19" i="3"/>
  <c r="AZ19" i="3" s="1"/>
  <c r="BL18" i="3"/>
  <c r="AZ18" i="3" s="1"/>
  <c r="BL17" i="3"/>
  <c r="AR11" i="1"/>
  <c r="T11" i="1"/>
  <c r="AZ17" i="3"/>
  <c r="G30" i="6"/>
  <c r="G31" i="6" s="1"/>
  <c r="E28" i="6"/>
  <c r="E8" i="6"/>
  <c r="F27" i="6" s="1"/>
  <c r="F31" i="6" s="1"/>
  <c r="AR7" i="1"/>
  <c r="E21" i="49"/>
  <c r="E22" i="49"/>
  <c r="E57" i="40"/>
  <c r="E11" i="6"/>
  <c r="E61" i="39" s="1"/>
  <c r="BA14" i="3"/>
  <c r="BA5" i="3" s="1"/>
  <c r="C36" i="69"/>
  <c r="AR12" i="1"/>
  <c r="E15" i="6"/>
  <c r="E14" i="6"/>
  <c r="D9" i="11"/>
  <c r="C9" i="11" s="1"/>
  <c r="E56" i="40"/>
  <c r="M12" i="1"/>
  <c r="O12" i="1" s="1"/>
  <c r="P12" i="1" s="1"/>
  <c r="AQ10" i="1"/>
  <c r="AR10" i="1"/>
  <c r="E13" i="6"/>
  <c r="E4" i="49"/>
  <c r="E9" i="49"/>
  <c r="B11" i="49"/>
  <c r="B5" i="49"/>
  <c r="B14" i="49"/>
  <c r="B22" i="49"/>
  <c r="T7" i="1"/>
  <c r="D9" i="69"/>
  <c r="C9" i="69" s="1"/>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H22" i="43"/>
  <c r="D101" i="43"/>
  <c r="M101" i="43"/>
  <c r="I101" i="43"/>
  <c r="E101" i="43"/>
  <c r="J22" i="43"/>
  <c r="E11" i="49"/>
  <c r="B8" i="49"/>
  <c r="B4" i="49"/>
  <c r="E5" i="49"/>
  <c r="E10" i="49"/>
  <c r="E8" i="49"/>
  <c r="E16" i="49"/>
  <c r="B9" i="49"/>
  <c r="E4" i="4" s="1"/>
  <c r="B5" i="62" s="1"/>
  <c r="B73" i="72" s="1"/>
  <c r="E6" i="49"/>
  <c r="E7" i="49"/>
  <c r="B16" i="49"/>
  <c r="C4" i="4" s="1"/>
  <c r="B4" i="62" s="1"/>
  <c r="B71" i="72" s="1"/>
  <c r="B10" i="49"/>
  <c r="A15" i="62"/>
  <c r="B61" i="72" s="1"/>
  <c r="E48" i="33"/>
  <c r="R49" i="33"/>
  <c r="G52" i="33"/>
  <c r="H52" i="33" s="1"/>
  <c r="U7" i="33"/>
  <c r="K58" i="21"/>
  <c r="L58" i="21" s="1"/>
  <c r="M58" i="21" s="1"/>
  <c r="N58" i="21" s="1"/>
  <c r="O58" i="21" s="1"/>
  <c r="H7" i="21"/>
  <c r="J59" i="34"/>
  <c r="K59" i="34" s="1"/>
  <c r="L59" i="34" s="1"/>
  <c r="M59" i="34" s="1"/>
  <c r="N59" i="34" s="1"/>
  <c r="O59" i="34" s="1"/>
  <c r="H7" i="34"/>
  <c r="AC7" i="33"/>
  <c r="V48" i="33" s="1"/>
  <c r="I48" i="33" s="1"/>
  <c r="G53" i="33" s="1"/>
  <c r="H53" i="33" s="1"/>
  <c r="J7" i="34"/>
  <c r="H52" i="37"/>
  <c r="C70" i="39"/>
  <c r="D68" i="39"/>
  <c r="G48" i="35"/>
  <c r="E46" i="36"/>
  <c r="D58" i="79"/>
  <c r="E58" i="79" s="1"/>
  <c r="F58" i="79" s="1"/>
  <c r="G58" i="79" s="1"/>
  <c r="H58" i="79" s="1"/>
  <c r="I58" i="79" s="1"/>
  <c r="J58" i="79" s="1"/>
  <c r="K58" i="79" s="1"/>
  <c r="L58" i="79" s="1"/>
  <c r="M58" i="79" s="1"/>
  <c r="N58" i="79" s="1"/>
  <c r="O58" i="79" s="1"/>
  <c r="K1" i="73"/>
  <c r="F7" i="78"/>
  <c r="F16" i="15"/>
  <c r="F7" i="73"/>
  <c r="F3" i="73"/>
  <c r="D2" i="21"/>
  <c r="B8" i="76"/>
  <c r="E9" i="76"/>
  <c r="M6" i="67"/>
  <c r="M22" i="77"/>
  <c r="C76" i="15"/>
  <c r="F36" i="78"/>
  <c r="J15" i="67"/>
  <c r="F9" i="77"/>
  <c r="L47" i="78"/>
  <c r="J15" i="77"/>
  <c r="M6" i="77"/>
  <c r="F36" i="67"/>
  <c r="F40" i="67"/>
  <c r="L48" i="78"/>
  <c r="D2" i="34"/>
  <c r="F7" i="77"/>
  <c r="M29" i="78"/>
  <c r="E13" i="76"/>
  <c r="F41" i="67"/>
  <c r="F4" i="73"/>
  <c r="F35" i="67"/>
  <c r="M23" i="67"/>
  <c r="F13" i="77"/>
  <c r="D2" i="33"/>
  <c r="F9" i="15"/>
  <c r="M22" i="15"/>
  <c r="F11" i="12"/>
  <c r="F34" i="68"/>
  <c r="F8" i="78"/>
  <c r="C76" i="77"/>
  <c r="M6" i="78"/>
  <c r="F38" i="67"/>
  <c r="AO9" i="1"/>
  <c r="M8" i="77"/>
  <c r="E10" i="76"/>
  <c r="J15" i="78"/>
  <c r="F26" i="67"/>
  <c r="E12" i="76"/>
  <c r="F43" i="67"/>
  <c r="L47" i="77"/>
  <c r="M26" i="67"/>
  <c r="M28" i="77"/>
  <c r="M24" i="15"/>
  <c r="F42" i="78"/>
  <c r="F35" i="78"/>
  <c r="F40" i="77"/>
  <c r="AO7" i="1"/>
  <c r="F38" i="78"/>
  <c r="M24" i="78"/>
  <c r="F20" i="31"/>
  <c r="F9" i="67"/>
  <c r="D5" i="73"/>
  <c r="M27" i="78"/>
  <c r="F41" i="77"/>
  <c r="M22" i="78"/>
  <c r="F36" i="15"/>
  <c r="B9" i="76"/>
  <c r="L48" i="15"/>
  <c r="D3" i="73"/>
  <c r="D2" i="79"/>
  <c r="B10" i="76"/>
  <c r="F8" i="77"/>
  <c r="D9" i="68"/>
  <c r="L47" i="67"/>
  <c r="F37" i="15"/>
  <c r="F38" i="15"/>
  <c r="F35" i="77"/>
  <c r="L47" i="15"/>
  <c r="F5" i="73"/>
  <c r="F13" i="15"/>
  <c r="C13" i="12"/>
  <c r="M24" i="67"/>
  <c r="M9" i="77"/>
  <c r="M26" i="15"/>
  <c r="F42" i="15"/>
  <c r="M21" i="77"/>
  <c r="F9" i="78"/>
  <c r="C76" i="78"/>
  <c r="D7" i="73"/>
  <c r="M24" i="77"/>
  <c r="F13" i="78"/>
  <c r="F36" i="77"/>
  <c r="M27" i="67"/>
  <c r="M23" i="77"/>
  <c r="M21" i="78"/>
  <c r="E2" i="68"/>
  <c r="AO13" i="1"/>
  <c r="C14" i="77"/>
  <c r="M26" i="78"/>
  <c r="AO8" i="1"/>
  <c r="M9" i="15"/>
  <c r="M28" i="15"/>
  <c r="F7" i="67"/>
  <c r="M23" i="78"/>
  <c r="F6" i="77"/>
  <c r="E2" i="69"/>
  <c r="M28" i="78"/>
  <c r="F37" i="77"/>
  <c r="E11" i="76"/>
  <c r="E8" i="76"/>
  <c r="M27" i="77"/>
  <c r="F43" i="78"/>
  <c r="F37" i="67"/>
  <c r="M27" i="15"/>
  <c r="B11" i="76"/>
  <c r="M6" i="15"/>
  <c r="M29" i="77"/>
  <c r="F43" i="77"/>
  <c r="F38" i="77"/>
  <c r="F40" i="78"/>
  <c r="M29" i="67"/>
  <c r="F8" i="15"/>
  <c r="F28" i="12"/>
  <c r="M8" i="67"/>
  <c r="F41" i="78"/>
  <c r="F26" i="77"/>
  <c r="F26" i="15"/>
  <c r="B12" i="76"/>
  <c r="M9" i="67"/>
  <c r="M26" i="77"/>
  <c r="M9" i="78"/>
  <c r="M21" i="67"/>
  <c r="B7" i="76"/>
  <c r="C14" i="78"/>
  <c r="M8" i="78"/>
  <c r="F16" i="67"/>
  <c r="AO12" i="1"/>
  <c r="AO11" i="1"/>
  <c r="M23" i="15"/>
  <c r="D6" i="73"/>
  <c r="D4" i="73"/>
  <c r="F8" i="67"/>
  <c r="B13" i="76"/>
  <c r="E7" i="76"/>
  <c r="F42" i="67"/>
  <c r="D2" i="37"/>
  <c r="M28" i="67"/>
  <c r="C76" i="67"/>
  <c r="D19" i="12"/>
  <c r="F13" i="67"/>
  <c r="F26" i="78"/>
  <c r="F16" i="78"/>
  <c r="C36" i="68"/>
  <c r="AO10" i="1"/>
  <c r="M8" i="15"/>
  <c r="F6" i="78"/>
  <c r="F42" i="77"/>
  <c r="F37" i="78"/>
  <c r="D2" i="35"/>
  <c r="M22" i="67"/>
  <c r="F6" i="73"/>
  <c r="L48" i="77"/>
  <c r="F16" i="77"/>
  <c r="D2" i="36"/>
  <c r="F40" i="15"/>
  <c r="L48" i="67"/>
  <c r="J15" i="15"/>
  <c r="F6" i="67"/>
  <c r="P24" i="43" l="1"/>
  <c r="B66" i="40" s="1"/>
  <c r="P21" i="43"/>
  <c r="P25" i="43"/>
  <c r="P22" i="43"/>
  <c r="M21" i="1"/>
  <c r="J25" i="1"/>
  <c r="AB34" i="35"/>
  <c r="U34" i="35"/>
  <c r="U9" i="34"/>
  <c r="AB9" i="34"/>
  <c r="D17" i="53"/>
  <c r="B36" i="72" s="1"/>
  <c r="B34" i="72"/>
  <c r="T20" i="71"/>
  <c r="M19" i="43"/>
  <c r="D20" i="71"/>
  <c r="F7" i="34"/>
  <c r="F7" i="21"/>
  <c r="J7" i="21"/>
  <c r="AZ14" i="3"/>
  <c r="AZ5" i="3" s="1"/>
  <c r="E3" i="6" s="1"/>
  <c r="D37" i="11" s="1"/>
  <c r="G5" i="3"/>
  <c r="B3" i="3" s="1"/>
  <c r="AT6" i="3" s="1"/>
  <c r="M20" i="43"/>
  <c r="C19" i="43" s="1"/>
  <c r="K6" i="1"/>
  <c r="C7" i="12"/>
  <c r="F46" i="71"/>
  <c r="Q47" i="71"/>
  <c r="P47" i="71"/>
  <c r="E46" i="71"/>
  <c r="AC36" i="35"/>
  <c r="W36" i="35"/>
  <c r="AA34" i="35"/>
  <c r="S34" i="35"/>
  <c r="W28" i="34"/>
  <c r="AC28" i="34"/>
  <c r="P23" i="43"/>
  <c r="B71" i="39" s="1"/>
  <c r="T24" i="71"/>
  <c r="D24" i="71"/>
  <c r="J7" i="79"/>
  <c r="H7" i="79"/>
  <c r="F7" i="79"/>
  <c r="E63" i="40"/>
  <c r="D65" i="40"/>
  <c r="M7" i="67"/>
  <c r="J6" i="67" s="1"/>
  <c r="F50" i="67"/>
  <c r="F69" i="67"/>
  <c r="M59" i="15"/>
  <c r="L59" i="15" s="1"/>
  <c r="Q74" i="15" s="1"/>
  <c r="N59" i="15"/>
  <c r="L58" i="15"/>
  <c r="Q73" i="15" s="1"/>
  <c r="F64" i="15"/>
  <c r="Q71" i="15"/>
  <c r="B9" i="70"/>
  <c r="F66" i="77"/>
  <c r="F68" i="77"/>
  <c r="F64" i="77"/>
  <c r="B13" i="70"/>
  <c r="C34" i="67"/>
  <c r="F63" i="67"/>
  <c r="C62" i="67" s="1"/>
  <c r="Q71" i="67"/>
  <c r="B11" i="70"/>
  <c r="Q71" i="77"/>
  <c r="C34" i="77"/>
  <c r="F63" i="77"/>
  <c r="C62" i="77" s="1"/>
  <c r="J57" i="78"/>
  <c r="J55" i="78" s="1"/>
  <c r="J58" i="78" s="1"/>
  <c r="Q50" i="78" s="1"/>
  <c r="I54" i="78"/>
  <c r="L56" i="78"/>
  <c r="L59" i="77"/>
  <c r="Q61" i="77" s="1"/>
  <c r="L58" i="77"/>
  <c r="Q73" i="77" s="1"/>
  <c r="M59" i="77"/>
  <c r="N59" i="77"/>
  <c r="F51" i="77"/>
  <c r="F69" i="78"/>
  <c r="M7" i="77"/>
  <c r="J6" i="77" s="1"/>
  <c r="F50" i="77"/>
  <c r="F71" i="77"/>
  <c r="L58" i="78"/>
  <c r="Q73" i="78" s="1"/>
  <c r="M59" i="78"/>
  <c r="L59" i="78"/>
  <c r="Q74" i="78" s="1"/>
  <c r="N59" i="78"/>
  <c r="F63" i="78"/>
  <c r="C62" i="78" s="1"/>
  <c r="C34" i="78"/>
  <c r="B20" i="31"/>
  <c r="J20" i="67"/>
  <c r="F65" i="67"/>
  <c r="I54" i="67"/>
  <c r="L56" i="67"/>
  <c r="J57" i="67"/>
  <c r="J55" i="67" s="1"/>
  <c r="J58" i="67" s="1"/>
  <c r="Q50" i="67" s="1"/>
  <c r="F51" i="15"/>
  <c r="B12" i="70"/>
  <c r="F66" i="67"/>
  <c r="F66" i="15"/>
  <c r="F68" i="67"/>
  <c r="F51" i="67"/>
  <c r="F71" i="67"/>
  <c r="B10" i="70"/>
  <c r="F69" i="77"/>
  <c r="J20" i="77"/>
  <c r="F65" i="78"/>
  <c r="C6" i="77"/>
  <c r="J20" i="78"/>
  <c r="I1" i="73"/>
  <c r="B39" i="1" s="1"/>
  <c r="M11" i="78" s="1"/>
  <c r="F51" i="78"/>
  <c r="B8" i="70"/>
  <c r="C27" i="15"/>
  <c r="F65" i="15"/>
  <c r="F64" i="67"/>
  <c r="E20" i="43"/>
  <c r="N17" i="43" s="1"/>
  <c r="C6" i="67"/>
  <c r="F68" i="15"/>
  <c r="J57" i="77"/>
  <c r="J55" i="77" s="1"/>
  <c r="J58" i="77" s="1"/>
  <c r="Q50" i="77" s="1"/>
  <c r="L56" i="77"/>
  <c r="I54" i="77"/>
  <c r="F66" i="78"/>
  <c r="F65" i="77"/>
  <c r="M7" i="78"/>
  <c r="J6" i="78" s="1"/>
  <c r="F50" i="78"/>
  <c r="F71" i="78"/>
  <c r="C27" i="78"/>
  <c r="L59" i="67"/>
  <c r="Q61" i="67" s="1"/>
  <c r="M59" i="67"/>
  <c r="L58" i="67"/>
  <c r="Q60" i="67" s="1"/>
  <c r="N59" i="67"/>
  <c r="F70" i="67"/>
  <c r="C27" i="67"/>
  <c r="F64" i="78"/>
  <c r="Q71" i="78"/>
  <c r="C27" i="77"/>
  <c r="F68" i="78"/>
  <c r="C6" i="78"/>
  <c r="B7" i="70"/>
  <c r="J53" i="15"/>
  <c r="L56" i="15" s="1"/>
  <c r="I54" i="15"/>
  <c r="J57" i="15"/>
  <c r="J55" i="15" s="1"/>
  <c r="J58" i="15" s="1"/>
  <c r="Q50" i="15" s="1"/>
  <c r="AA25" i="39"/>
  <c r="S25" i="39"/>
  <c r="AB25" i="39"/>
  <c r="U25" i="39"/>
  <c r="W25" i="39"/>
  <c r="AC25" i="39"/>
  <c r="AB21" i="39"/>
  <c r="U21" i="39"/>
  <c r="AB17" i="39"/>
  <c r="U17" i="39"/>
  <c r="W17" i="39"/>
  <c r="AC17" i="39"/>
  <c r="W32" i="39"/>
  <c r="AC32" i="39"/>
  <c r="AB31" i="39"/>
  <c r="U31" i="39"/>
  <c r="AC31" i="39"/>
  <c r="W31" i="39"/>
  <c r="H81" i="39"/>
  <c r="I81" i="39" s="1"/>
  <c r="J81" i="39" s="1"/>
  <c r="K81" i="39" s="1"/>
  <c r="L81" i="39" s="1"/>
  <c r="M81" i="39" s="1"/>
  <c r="C7" i="43"/>
  <c r="C19" i="12"/>
  <c r="C29" i="12"/>
  <c r="D28" i="12" s="1"/>
  <c r="C9" i="68"/>
  <c r="C30" i="11"/>
  <c r="C48" i="11"/>
  <c r="C48" i="69"/>
  <c r="C30" i="69"/>
  <c r="C30" i="68"/>
  <c r="C48" i="68"/>
  <c r="D5" i="43"/>
  <c r="C5" i="43"/>
  <c r="H52" i="43"/>
  <c r="H49" i="43"/>
  <c r="H53" i="43"/>
  <c r="H51" i="43"/>
  <c r="H54" i="43"/>
  <c r="H55" i="43"/>
  <c r="H56" i="43"/>
  <c r="C15" i="78"/>
  <c r="C18" i="78"/>
  <c r="C15" i="77"/>
  <c r="C18" i="77"/>
  <c r="D3" i="34"/>
  <c r="BL5" i="3"/>
  <c r="E53" i="3"/>
  <c r="E125" i="3"/>
  <c r="E366" i="3"/>
  <c r="E553" i="3"/>
  <c r="E282" i="3"/>
  <c r="N6" i="3"/>
  <c r="E239" i="3"/>
  <c r="E516" i="3"/>
  <c r="E569" i="3"/>
  <c r="E396" i="3"/>
  <c r="E229" i="3"/>
  <c r="E151" i="3"/>
  <c r="E385" i="3"/>
  <c r="E518" i="3"/>
  <c r="AI6" i="3"/>
  <c r="E578" i="3"/>
  <c r="E423" i="3"/>
  <c r="E382" i="3"/>
  <c r="E263" i="3"/>
  <c r="E245" i="3"/>
  <c r="E191" i="3"/>
  <c r="E188" i="3"/>
  <c r="E69" i="3"/>
  <c r="E278"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217" i="3"/>
  <c r="E526" i="3"/>
  <c r="E268" i="3"/>
  <c r="E322" i="3"/>
  <c r="AJ6" i="3"/>
  <c r="E509" i="3"/>
  <c r="E579" i="3"/>
  <c r="E431" i="3"/>
  <c r="E247" i="3"/>
  <c r="E201" i="3"/>
  <c r="E353" i="3"/>
  <c r="E495" i="3"/>
  <c r="AN6" i="3"/>
  <c r="E586" i="3"/>
  <c r="E402" i="3"/>
  <c r="E350" i="3"/>
  <c r="E303" i="3"/>
  <c r="E301" i="3"/>
  <c r="E159" i="3"/>
  <c r="E99" i="3"/>
  <c r="E228" i="3"/>
  <c r="E114" i="3"/>
  <c r="E415"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528" i="3"/>
  <c r="E304" i="3"/>
  <c r="E261" i="3"/>
  <c r="E237"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387" i="3"/>
  <c r="E32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39" i="3"/>
  <c r="E338" i="3"/>
  <c r="E380" i="3"/>
  <c r="E321" i="3"/>
  <c r="E231" i="3"/>
  <c r="E298" i="3"/>
  <c r="E216" i="3"/>
  <c r="E169" i="3"/>
  <c r="E185" i="3"/>
  <c r="E61" i="3"/>
  <c r="E135" i="3"/>
  <c r="E290"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82" i="3"/>
  <c r="E21"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101" i="3"/>
  <c r="E83" i="3"/>
  <c r="E16" i="6"/>
  <c r="E56" i="39"/>
  <c r="E27" i="6"/>
  <c r="K22" i="6" s="1"/>
  <c r="M22" i="6" s="1"/>
  <c r="I22" i="6" s="1"/>
  <c r="E51" i="40"/>
  <c r="K14" i="1"/>
  <c r="E30" i="6"/>
  <c r="E6" i="6"/>
  <c r="L18" i="9"/>
  <c r="D3" i="79"/>
  <c r="AY6" i="3"/>
  <c r="AY428" i="3" s="1"/>
  <c r="K21" i="6"/>
  <c r="M21" i="6" s="1"/>
  <c r="I21" i="6" s="1"/>
  <c r="S21" i="6" s="1"/>
  <c r="D3" i="37"/>
  <c r="C17" i="4"/>
  <c r="B4" i="52" s="1"/>
  <c r="B43" i="72" s="1"/>
  <c r="D3" i="21"/>
  <c r="D3" i="33"/>
  <c r="M18" i="9"/>
  <c r="B118" i="9" s="1"/>
  <c r="B14" i="74" s="1"/>
  <c r="B1" i="74" s="1"/>
  <c r="D19" i="11"/>
  <c r="C19" i="11" s="1"/>
  <c r="C20" i="11" s="1"/>
  <c r="E64" i="39"/>
  <c r="E59" i="40"/>
  <c r="AY57" i="3"/>
  <c r="AY102" i="3"/>
  <c r="E58" i="40"/>
  <c r="E63" i="39"/>
  <c r="E60" i="40"/>
  <c r="E65" i="39"/>
  <c r="D10" i="11"/>
  <c r="C10" i="11" s="1"/>
  <c r="D10" i="69"/>
  <c r="C10" i="69" s="1"/>
  <c r="C8" i="69" s="1"/>
  <c r="C5" i="69" s="1"/>
  <c r="E102" i="43"/>
  <c r="E106" i="43"/>
  <c r="E103" i="43"/>
  <c r="E104" i="43"/>
  <c r="E105" i="43"/>
  <c r="E107" i="43"/>
  <c r="E109" i="43"/>
  <c r="M109" i="43"/>
  <c r="M102" i="43"/>
  <c r="M106" i="43"/>
  <c r="M107" i="43"/>
  <c r="M105" i="43"/>
  <c r="M104" i="43"/>
  <c r="M103" i="43"/>
  <c r="J104" i="43"/>
  <c r="J107" i="43"/>
  <c r="J102" i="43"/>
  <c r="J105" i="43"/>
  <c r="J103" i="43"/>
  <c r="J106" i="43"/>
  <c r="J109" i="43"/>
  <c r="G105" i="43"/>
  <c r="G107" i="43"/>
  <c r="G104" i="43"/>
  <c r="G106" i="43"/>
  <c r="G109" i="43"/>
  <c r="G102" i="43"/>
  <c r="G103" i="43"/>
  <c r="L109" i="43"/>
  <c r="L106" i="43"/>
  <c r="L107" i="43"/>
  <c r="L103" i="43"/>
  <c r="L102" i="43"/>
  <c r="L105" i="43"/>
  <c r="L104" i="43"/>
  <c r="N105" i="43"/>
  <c r="N104" i="43"/>
  <c r="N102" i="43"/>
  <c r="N103" i="43"/>
  <c r="N106" i="43"/>
  <c r="N107" i="43"/>
  <c r="N109" i="43"/>
  <c r="K102" i="43"/>
  <c r="K105" i="43"/>
  <c r="K103" i="43"/>
  <c r="K107" i="43"/>
  <c r="K104" i="43"/>
  <c r="K106" i="43"/>
  <c r="K109" i="43"/>
  <c r="I109" i="43"/>
  <c r="I104" i="43"/>
  <c r="I107" i="43"/>
  <c r="I105" i="43"/>
  <c r="I102" i="43"/>
  <c r="I106" i="43"/>
  <c r="I103" i="43"/>
  <c r="D109" i="43"/>
  <c r="D105" i="43"/>
  <c r="D106" i="43"/>
  <c r="D102" i="43"/>
  <c r="D103" i="43"/>
  <c r="D104" i="43"/>
  <c r="D107"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H107" i="43"/>
  <c r="H106" i="43"/>
  <c r="H105" i="43"/>
  <c r="H109" i="43"/>
  <c r="H102" i="43"/>
  <c r="H103" i="43"/>
  <c r="H104" i="43"/>
  <c r="D22" i="43"/>
  <c r="F102" i="43"/>
  <c r="F105" i="43"/>
  <c r="F104" i="43"/>
  <c r="F107" i="43"/>
  <c r="F106" i="43"/>
  <c r="F103" i="43"/>
  <c r="F109" i="43"/>
  <c r="K4" i="4"/>
  <c r="B46" i="48" s="1"/>
  <c r="B4" i="72" s="1"/>
  <c r="C49" i="78"/>
  <c r="C49" i="67"/>
  <c r="AC7" i="79"/>
  <c r="V48" i="79" s="1"/>
  <c r="I48" i="79" s="1"/>
  <c r="W7" i="79"/>
  <c r="F46" i="36"/>
  <c r="H48" i="35"/>
  <c r="I52" i="37"/>
  <c r="AC7" i="34"/>
  <c r="V49" i="34" s="1"/>
  <c r="I49" i="34" s="1"/>
  <c r="W7" i="34"/>
  <c r="U7" i="34"/>
  <c r="AB7" i="34"/>
  <c r="T49" i="34" s="1"/>
  <c r="G49" i="34" s="1"/>
  <c r="AB7" i="21"/>
  <c r="T48" i="21" s="1"/>
  <c r="G48" i="21" s="1"/>
  <c r="U7" i="21"/>
  <c r="C49" i="33"/>
  <c r="C48" i="33"/>
  <c r="AB7" i="79"/>
  <c r="T48" i="79" s="1"/>
  <c r="G48" i="79" s="1"/>
  <c r="U7" i="79"/>
  <c r="S7" i="79"/>
  <c r="AA7" i="79"/>
  <c r="R48" i="79" s="1"/>
  <c r="D70" i="39"/>
  <c r="E68" i="39"/>
  <c r="I52" i="33"/>
  <c r="J52" i="33" s="1"/>
  <c r="I53" i="33"/>
  <c r="J53" i="33" s="1"/>
  <c r="S7" i="34"/>
  <c r="AA7" i="34"/>
  <c r="R49" i="34" s="1"/>
  <c r="S7" i="21"/>
  <c r="AA7" i="21"/>
  <c r="R48" i="21" s="1"/>
  <c r="AC7" i="21"/>
  <c r="V48" i="21" s="1"/>
  <c r="I48" i="21" s="1"/>
  <c r="W7" i="21"/>
  <c r="E53" i="33"/>
  <c r="F53" i="33" s="1"/>
  <c r="E52" i="33"/>
  <c r="F52" i="33" s="1"/>
  <c r="Q61" i="15"/>
  <c r="Q60" i="78"/>
  <c r="C17" i="67"/>
  <c r="M29" i="15"/>
  <c r="C16" i="78"/>
  <c r="F27" i="68"/>
  <c r="F43" i="15"/>
  <c r="C17" i="77"/>
  <c r="C14" i="67"/>
  <c r="C16" i="77"/>
  <c r="F7" i="15"/>
  <c r="C17" i="78"/>
  <c r="G1" i="73"/>
  <c r="C16" i="67"/>
  <c r="F11" i="77" l="1"/>
  <c r="C10" i="77" s="1"/>
  <c r="C5" i="77" s="1"/>
  <c r="P17" i="43"/>
  <c r="F11" i="67"/>
  <c r="C10" i="67" s="1"/>
  <c r="C5" i="67" s="1"/>
  <c r="Q60" i="15"/>
  <c r="AY70" i="3"/>
  <c r="AY72" i="3"/>
  <c r="Q61" i="78"/>
  <c r="F1" i="15"/>
  <c r="M7" i="15"/>
  <c r="J6" i="15" s="1"/>
  <c r="F50" i="15"/>
  <c r="C49" i="15" s="1"/>
  <c r="F71" i="15"/>
  <c r="B40" i="1"/>
  <c r="F24" i="77" s="1"/>
  <c r="C24" i="77" s="1"/>
  <c r="Q46" i="71"/>
  <c r="Q45" i="71"/>
  <c r="M6" i="1"/>
  <c r="Q16" i="1"/>
  <c r="H16" i="1"/>
  <c r="M23" i="1"/>
  <c r="M22" i="1"/>
  <c r="G16" i="1"/>
  <c r="P46" i="71"/>
  <c r="P45" i="71"/>
  <c r="M24" i="1"/>
  <c r="L25" i="1"/>
  <c r="U6" i="1" s="1"/>
  <c r="Q60" i="77"/>
  <c r="Q73" i="67"/>
  <c r="M17" i="43"/>
  <c r="G20" i="43" s="1"/>
  <c r="C20" i="43" s="1"/>
  <c r="C38" i="43" s="1"/>
  <c r="M11" i="15"/>
  <c r="F11" i="78"/>
  <c r="C10" i="78" s="1"/>
  <c r="C5" i="78" s="1"/>
  <c r="Q74" i="67"/>
  <c r="Q74" i="77"/>
  <c r="C49" i="77"/>
  <c r="J10" i="78"/>
  <c r="J5" i="78" s="1"/>
  <c r="J18" i="78" s="1"/>
  <c r="E65" i="40"/>
  <c r="F63" i="40"/>
  <c r="Q52" i="15"/>
  <c r="O17" i="43"/>
  <c r="F11" i="15"/>
  <c r="C53" i="15" s="1"/>
  <c r="M11" i="67"/>
  <c r="J10" i="67" s="1"/>
  <c r="J5" i="67" s="1"/>
  <c r="J18" i="67" s="1"/>
  <c r="M11" i="77"/>
  <c r="J10" i="77" s="1"/>
  <c r="J5" i="77" s="1"/>
  <c r="J18" i="77" s="1"/>
  <c r="C18" i="67"/>
  <c r="C15" i="67"/>
  <c r="C7" i="74"/>
  <c r="C19" i="77"/>
  <c r="C20" i="77" s="1"/>
  <c r="C19" i="78"/>
  <c r="C20" i="78" s="1"/>
  <c r="K25" i="6"/>
  <c r="M25" i="6" s="1"/>
  <c r="I25" i="6" s="1"/>
  <c r="S25" i="6" s="1"/>
  <c r="K19" i="6"/>
  <c r="M19" i="6" s="1"/>
  <c r="B2" i="33"/>
  <c r="B3" i="33" s="1"/>
  <c r="AY498" i="3"/>
  <c r="AY583" i="3"/>
  <c r="AY153" i="3"/>
  <c r="AY531" i="3"/>
  <c r="AY109" i="3"/>
  <c r="K24" i="6"/>
  <c r="M24" i="6" s="1"/>
  <c r="I24" i="6" s="1"/>
  <c r="S24" i="6" s="1"/>
  <c r="K26" i="6"/>
  <c r="M26" i="6" s="1"/>
  <c r="I26" i="6" s="1"/>
  <c r="S26" i="6" s="1"/>
  <c r="AY367" i="3"/>
  <c r="AY249" i="3"/>
  <c r="AY208" i="3"/>
  <c r="AY167" i="3"/>
  <c r="AY406" i="3"/>
  <c r="AY383" i="3"/>
  <c r="AY142" i="3"/>
  <c r="AY194" i="3"/>
  <c r="AY379" i="3"/>
  <c r="AY416" i="3"/>
  <c r="AY119" i="3"/>
  <c r="AY558" i="3"/>
  <c r="AY538" i="3"/>
  <c r="AY474" i="3"/>
  <c r="AY175" i="3"/>
  <c r="AY466" i="3"/>
  <c r="AY445" i="3"/>
  <c r="AY543" i="3"/>
  <c r="AY370" i="3"/>
  <c r="AY440" i="3"/>
  <c r="AY120" i="3"/>
  <c r="AY418" i="3"/>
  <c r="AY422" i="3"/>
  <c r="AY407" i="3"/>
  <c r="AY462" i="3"/>
  <c r="AY417" i="3"/>
  <c r="AY147" i="3"/>
  <c r="BC6" i="3"/>
  <c r="AY306" i="3"/>
  <c r="AY256" i="3"/>
  <c r="AY179" i="3"/>
  <c r="AY587" i="3"/>
  <c r="AY346" i="3"/>
  <c r="AY46" i="3"/>
  <c r="AY320" i="3"/>
  <c r="AY413" i="3"/>
  <c r="AY339" i="3"/>
  <c r="AY288" i="3"/>
  <c r="AY22" i="3"/>
  <c r="AY528" i="3"/>
  <c r="AY221" i="3"/>
  <c r="AY542" i="3"/>
  <c r="AY396" i="3"/>
  <c r="AY81" i="3"/>
  <c r="AY572" i="3"/>
  <c r="AY483" i="3"/>
  <c r="AY121" i="3"/>
  <c r="AY13" i="3"/>
  <c r="AY330" i="3"/>
  <c r="AY233" i="3"/>
  <c r="AY35" i="3"/>
  <c r="AY564" i="3"/>
  <c r="AY336" i="3"/>
  <c r="AY559" i="3"/>
  <c r="AY393" i="3"/>
  <c r="AY110" i="3"/>
  <c r="AY329" i="3"/>
  <c r="AY495" i="3"/>
  <c r="AY242" i="3"/>
  <c r="AY255" i="3"/>
  <c r="AY507" i="3"/>
  <c r="AY28" i="3"/>
  <c r="AY26" i="3"/>
  <c r="H6" i="3"/>
  <c r="E6" i="3" s="1"/>
  <c r="AY504" i="3"/>
  <c r="AY550" i="3"/>
  <c r="AY459" i="3"/>
  <c r="AY323" i="3"/>
  <c r="AY213" i="3"/>
  <c r="AY273" i="3"/>
  <c r="AY159" i="3"/>
  <c r="AY27" i="3"/>
  <c r="AY86" i="3"/>
  <c r="AY512" i="3"/>
  <c r="AY456" i="3"/>
  <c r="AY378" i="3"/>
  <c r="AY135" i="3"/>
  <c r="AY570" i="3"/>
  <c r="AY434" i="3"/>
  <c r="AY567" i="3"/>
  <c r="AY15" i="3"/>
  <c r="AY432" i="3"/>
  <c r="AY322" i="3"/>
  <c r="AY375" i="3"/>
  <c r="AY272" i="3"/>
  <c r="AY136" i="3"/>
  <c r="AY195" i="3"/>
  <c r="AY39" i="3"/>
  <c r="AY576" i="3"/>
  <c r="AY405" i="3"/>
  <c r="AY331" i="3"/>
  <c r="AY280" i="3"/>
  <c r="AY63" i="3"/>
  <c r="AY505" i="3"/>
  <c r="AY305" i="3"/>
  <c r="AY267" i="3"/>
  <c r="AY21" i="3"/>
  <c r="AY496" i="3"/>
  <c r="AY520" i="3"/>
  <c r="AY503" i="3"/>
  <c r="AY449" i="3"/>
  <c r="AY309" i="3"/>
  <c r="AY258" i="3"/>
  <c r="AY181" i="3"/>
  <c r="BB6" i="3"/>
  <c r="AY421" i="3"/>
  <c r="AY482" i="3"/>
  <c r="AY347" i="3"/>
  <c r="AY216" i="3"/>
  <c r="AY296" i="3"/>
  <c r="AY140" i="3"/>
  <c r="AY94" i="3"/>
  <c r="AY509" i="3"/>
  <c r="AY399" i="3"/>
  <c r="AY461" i="3"/>
  <c r="AY218" i="3"/>
  <c r="AY112" i="3"/>
  <c r="AY516" i="3"/>
  <c r="AY308" i="3"/>
  <c r="AY130" i="3"/>
  <c r="AY203" i="3"/>
  <c r="AY537" i="3"/>
  <c r="AY468" i="3"/>
  <c r="AY251" i="3"/>
  <c r="AY582" i="3"/>
  <c r="BQ6" i="3"/>
  <c r="AY348" i="3"/>
  <c r="AY166" i="3"/>
  <c r="AY397" i="3"/>
  <c r="AY198" i="3"/>
  <c r="AY209" i="3"/>
  <c r="AY117" i="3"/>
  <c r="AY294" i="3"/>
  <c r="AY481" i="3"/>
  <c r="AY124" i="3"/>
  <c r="AY23" i="3"/>
  <c r="AY586" i="3"/>
  <c r="AY511" i="3"/>
  <c r="BD6" i="3"/>
  <c r="AY429" i="3"/>
  <c r="AY448" i="3"/>
  <c r="AY490" i="3"/>
  <c r="AY338" i="3"/>
  <c r="AY354" i="3"/>
  <c r="AY391" i="3"/>
  <c r="AY224" i="3"/>
  <c r="AY241" i="3"/>
  <c r="AY277" i="3"/>
  <c r="AY128" i="3"/>
  <c r="AY148" i="3"/>
  <c r="AY184" i="3"/>
  <c r="AY38" i="3"/>
  <c r="AY55" i="3"/>
  <c r="AY91" i="3"/>
  <c r="BL6" i="3"/>
  <c r="AY560" i="3"/>
  <c r="AY437" i="3"/>
  <c r="AY469" i="3"/>
  <c r="AY362" i="3"/>
  <c r="AY232" i="3"/>
  <c r="AY285" i="3"/>
  <c r="AY156" i="3"/>
  <c r="AY99" i="3"/>
  <c r="AY565" i="3"/>
  <c r="AY415" i="3"/>
  <c r="AY476" i="3"/>
  <c r="AY337" i="3"/>
  <c r="BT6" i="3"/>
  <c r="AY566" i="3"/>
  <c r="AY521" i="3"/>
  <c r="AY400" i="3"/>
  <c r="AY443" i="3"/>
  <c r="AY477" i="3"/>
  <c r="AY307" i="3"/>
  <c r="AY351" i="3"/>
  <c r="AY386" i="3"/>
  <c r="AY240" i="3"/>
  <c r="AY257" i="3"/>
  <c r="AY293" i="3"/>
  <c r="AY143" i="3"/>
  <c r="AY164" i="3"/>
  <c r="AY200" i="3"/>
  <c r="AY54" i="3"/>
  <c r="AY71" i="3"/>
  <c r="AY107" i="3"/>
  <c r="AY568" i="3"/>
  <c r="AY517" i="3"/>
  <c r="AY424" i="3"/>
  <c r="AY314" i="3"/>
  <c r="AY376" i="3"/>
  <c r="AY264" i="3"/>
  <c r="AY127" i="3"/>
  <c r="AY192" i="3"/>
  <c r="AY578" i="3"/>
  <c r="AY524" i="3"/>
  <c r="AY402" i="3"/>
  <c r="AY479" i="3"/>
  <c r="AY361" i="3"/>
  <c r="AY250" i="3"/>
  <c r="AY113" i="3"/>
  <c r="AY174" i="3"/>
  <c r="AY64" i="3"/>
  <c r="AY523" i="3"/>
  <c r="AY532" i="3"/>
  <c r="AY552" i="3"/>
  <c r="AY536" i="3"/>
  <c r="AY580" i="3"/>
  <c r="AY419" i="3"/>
  <c r="AY438" i="3"/>
  <c r="AY480" i="3"/>
  <c r="AY324" i="3"/>
  <c r="AY341" i="3"/>
  <c r="AY215" i="3"/>
  <c r="AY275" i="3"/>
  <c r="AY161" i="3"/>
  <c r="AY29" i="3"/>
  <c r="AY88" i="3"/>
  <c r="AY547" i="3"/>
  <c r="AY500" i="3"/>
  <c r="AY408" i="3"/>
  <c r="AY451" i="3"/>
  <c r="AY485" i="3"/>
  <c r="AY315" i="3"/>
  <c r="AY359" i="3"/>
  <c r="AY394" i="3"/>
  <c r="AY248" i="3"/>
  <c r="AY265" i="3"/>
  <c r="AY301" i="3"/>
  <c r="AY151" i="3"/>
  <c r="AY187" i="3"/>
  <c r="AY78" i="3"/>
  <c r="BA6" i="3"/>
  <c r="BR6" i="3"/>
  <c r="AY502" i="3"/>
  <c r="AY17" i="3"/>
  <c r="AY431" i="3"/>
  <c r="AY450" i="3"/>
  <c r="AY492" i="3"/>
  <c r="AY352" i="3"/>
  <c r="AY298" i="3"/>
  <c r="AY32" i="3"/>
  <c r="AY556" i="3"/>
  <c r="AY527" i="3"/>
  <c r="AY403" i="3"/>
  <c r="AY464" i="3"/>
  <c r="AY325" i="3"/>
  <c r="AY243" i="3"/>
  <c r="AY186" i="3"/>
  <c r="BI6" i="3"/>
  <c r="AY30" i="3"/>
  <c r="AY548" i="3"/>
  <c r="AY14" i="3"/>
  <c r="AY426" i="3"/>
  <c r="AY312" i="3"/>
  <c r="AY380" i="3"/>
  <c r="AY137" i="3"/>
  <c r="AY65" i="3"/>
  <c r="AY501" i="3"/>
  <c r="AY534" i="3"/>
  <c r="AY398" i="3"/>
  <c r="AY475" i="3"/>
  <c r="AY353" i="3"/>
  <c r="AY295" i="3"/>
  <c r="AY56" i="3"/>
  <c r="AY360" i="3"/>
  <c r="AY230" i="3"/>
  <c r="AY141" i="3"/>
  <c r="AY69" i="3"/>
  <c r="AY116" i="3"/>
  <c r="AY289" i="3"/>
  <c r="AY227" i="3"/>
  <c r="AY68" i="3"/>
  <c r="AY123" i="3"/>
  <c r="AY138" i="3"/>
  <c r="AY89" i="3"/>
  <c r="AY425" i="3"/>
  <c r="AY191" i="3"/>
  <c r="AY236" i="3"/>
  <c r="AY420" i="3"/>
  <c r="AY513" i="3"/>
  <c r="AY342" i="3"/>
  <c r="AY58" i="3"/>
  <c r="AY533" i="3"/>
  <c r="AY372" i="3"/>
  <c r="AY473" i="3"/>
  <c r="AY281" i="3"/>
  <c r="AY51" i="3"/>
  <c r="AY31" i="3"/>
  <c r="AY350" i="3"/>
  <c r="AY244" i="3"/>
  <c r="AY562" i="3"/>
  <c r="AY45" i="3"/>
  <c r="AY201" i="3"/>
  <c r="AY118" i="3"/>
  <c r="AY67" i="3"/>
  <c r="AY489" i="3"/>
  <c r="AY540" i="3"/>
  <c r="AY178" i="3"/>
  <c r="AY270" i="3"/>
  <c r="AY373" i="3"/>
  <c r="AY50" i="3"/>
  <c r="AY261" i="3"/>
  <c r="AY455" i="3"/>
  <c r="AY343" i="3"/>
  <c r="AY539" i="3"/>
  <c r="AY52" i="3"/>
  <c r="AY162" i="3"/>
  <c r="AY291"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19" i="3"/>
  <c r="AY172" i="3"/>
  <c r="AY93" i="3"/>
  <c r="AY40" i="3"/>
  <c r="AY150" i="3"/>
  <c r="AY279" i="3"/>
  <c r="AY226" i="3"/>
  <c r="AY356" i="3"/>
  <c r="AY340" i="3"/>
  <c r="AY467" i="3"/>
  <c r="AY454" i="3"/>
  <c r="AY435" i="3"/>
  <c r="AY525" i="3"/>
  <c r="BN6" i="3"/>
  <c r="AY518" i="3"/>
  <c r="AY508" i="3"/>
  <c r="AY577" i="3"/>
  <c r="AY49" i="3"/>
  <c r="AY205" i="3"/>
  <c r="AY122" i="3"/>
  <c r="AY235" i="3"/>
  <c r="AY385" i="3"/>
  <c r="AY321" i="3"/>
  <c r="AY304" i="3"/>
  <c r="AY62" i="3"/>
  <c r="AY79" i="3"/>
  <c r="AY493" i="3"/>
  <c r="BP6" i="3"/>
  <c r="AY545" i="3"/>
  <c r="AY551" i="3"/>
  <c r="AY515" i="3"/>
  <c r="AY52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86" i="3"/>
  <c r="AY134" i="3"/>
  <c r="AY173" i="3"/>
  <c r="AY193" i="3"/>
  <c r="AY20" i="3"/>
  <c r="AY84" i="3"/>
  <c r="AY100" i="3"/>
  <c r="AY573" i="3"/>
  <c r="AY478" i="3"/>
  <c r="AY212" i="3"/>
  <c r="AY497" i="3"/>
  <c r="AY319" i="3"/>
  <c r="AY284" i="3"/>
  <c r="AY183" i="3"/>
  <c r="AY160" i="3"/>
  <c r="AY103" i="3"/>
  <c r="AY368" i="3"/>
  <c r="AY384" i="3"/>
  <c r="AY238" i="3"/>
  <c r="AY271" i="3"/>
  <c r="AY157" i="3"/>
  <c r="AY25" i="3"/>
  <c r="AY85" i="3"/>
  <c r="AY436" i="3"/>
  <c r="AY43" i="3"/>
  <c r="AY252" i="3"/>
  <c r="AY139" i="3"/>
  <c r="AY263" i="3"/>
  <c r="AY299" i="3"/>
  <c r="AY149" i="3"/>
  <c r="AY170" i="3"/>
  <c r="AY206" i="3"/>
  <c r="AY60" i="3"/>
  <c r="AY77" i="3"/>
  <c r="BO6" i="3"/>
  <c r="AY404" i="3"/>
  <c r="AY355" i="3"/>
  <c r="AY199" i="3"/>
  <c r="AY486" i="3"/>
  <c r="AY220" i="3"/>
  <c r="AY292" i="3"/>
  <c r="AY132" i="3"/>
  <c r="AY82" i="3"/>
  <c r="AY207" i="3"/>
  <c r="AY42" i="3"/>
  <c r="AY168" i="3"/>
  <c r="AY366" i="3"/>
  <c r="AY441" i="3"/>
  <c r="AY260" i="3"/>
  <c r="AY310" i="3"/>
  <c r="AY549" i="3"/>
  <c r="AY97" i="3"/>
  <c r="AY59" i="3"/>
  <c r="AY371" i="3"/>
  <c r="AY245" i="3"/>
  <c r="AY553" i="3"/>
  <c r="AY569" i="3"/>
  <c r="AY452" i="3"/>
  <c r="AY395" i="3"/>
  <c r="AY106" i="3"/>
  <c r="AY318" i="3"/>
  <c r="AY268" i="3"/>
  <c r="AY131" i="3"/>
  <c r="AY155" i="3"/>
  <c r="AY83" i="3"/>
  <c r="BE6" i="3"/>
  <c r="AY544" i="3"/>
  <c r="AY401" i="3"/>
  <c r="AY463" i="3"/>
  <c r="AY327" i="3"/>
  <c r="AY217" i="3"/>
  <c r="AY300" i="3"/>
  <c r="AY529" i="3"/>
  <c r="AY460" i="3"/>
  <c r="AY303" i="3"/>
  <c r="AY382" i="3"/>
  <c r="AY253" i="3"/>
  <c r="AY111" i="3"/>
  <c r="AY152" i="3"/>
  <c r="AY95" i="3"/>
  <c r="AY144" i="3"/>
  <c r="AY34"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133" i="3"/>
  <c r="AY125" i="3"/>
  <c r="AY283" i="3"/>
  <c r="AY278" i="3"/>
  <c r="AY247" i="3"/>
  <c r="AY196" i="3"/>
  <c r="AY74" i="3"/>
  <c r="AY204" i="3"/>
  <c r="AY363" i="3"/>
  <c r="AY412" i="3"/>
  <c r="AY229" i="3"/>
  <c r="AY326" i="3"/>
  <c r="AY557" i="3"/>
  <c r="AY105" i="3"/>
  <c r="AY53" i="3"/>
  <c r="AY36" i="3"/>
  <c r="AY182" i="3"/>
  <c r="AY146" i="3"/>
  <c r="AY126" i="3"/>
  <c r="AY302" i="3"/>
  <c r="AY239" i="3"/>
  <c r="AY254" i="3"/>
  <c r="AY222" i="3"/>
  <c r="AY211" i="3"/>
  <c r="AY389" i="3"/>
  <c r="AY365" i="3"/>
  <c r="BS6" i="3"/>
  <c r="K20" i="6"/>
  <c r="M20" i="6" s="1"/>
  <c r="I20" i="6" s="1"/>
  <c r="S20" i="6" s="1"/>
  <c r="E31" i="6"/>
  <c r="K23" i="6"/>
  <c r="M23" i="6" s="1"/>
  <c r="I23" i="6" s="1"/>
  <c r="S23" i="6" s="1"/>
  <c r="M14" i="1"/>
  <c r="O14" i="1" s="1"/>
  <c r="P14" i="1" s="1"/>
  <c r="C34" i="69"/>
  <c r="K16" i="1"/>
  <c r="C29" i="68"/>
  <c r="D27" i="68" s="1"/>
  <c r="C47" i="68"/>
  <c r="D45" i="68" s="1"/>
  <c r="AY87" i="3"/>
  <c r="D3" i="6"/>
  <c r="H24" i="6" s="1"/>
  <c r="AY176" i="3"/>
  <c r="AY188" i="3"/>
  <c r="AY297" i="3"/>
  <c r="AY335" i="3"/>
  <c r="AY409" i="3"/>
  <c r="AY228" i="3"/>
  <c r="AY465" i="3"/>
  <c r="BK6" i="3"/>
  <c r="AY108" i="3"/>
  <c r="AY66" i="3"/>
  <c r="AY115" i="3"/>
  <c r="AY276" i="3"/>
  <c r="AY225" i="3"/>
  <c r="AY470" i="3"/>
  <c r="AY180" i="3"/>
  <c r="AY358" i="3"/>
  <c r="AY433" i="3"/>
  <c r="AY541" i="3"/>
  <c r="S22" i="6"/>
  <c r="H22" i="6"/>
  <c r="D19" i="69"/>
  <c r="E66" i="39"/>
  <c r="S2" i="43"/>
  <c r="S6" i="43"/>
  <c r="S5" i="43"/>
  <c r="S4" i="43"/>
  <c r="S3" i="43"/>
  <c r="C23" i="43"/>
  <c r="C21" i="43" s="1"/>
  <c r="S7" i="43"/>
  <c r="C115" i="43"/>
  <c r="D113" i="43" s="1"/>
  <c r="I52" i="21"/>
  <c r="J52" i="21" s="1"/>
  <c r="G53" i="79"/>
  <c r="H53" i="79" s="1"/>
  <c r="G52" i="79"/>
  <c r="H52" i="79" s="1"/>
  <c r="G52" i="21"/>
  <c r="H52" i="21" s="1"/>
  <c r="G53" i="21"/>
  <c r="H53" i="21" s="1"/>
  <c r="I53" i="34"/>
  <c r="J53" i="34" s="1"/>
  <c r="J52" i="37"/>
  <c r="I48" i="35"/>
  <c r="G46" i="36"/>
  <c r="I52" i="79"/>
  <c r="J52" i="79" s="1"/>
  <c r="R49" i="21"/>
  <c r="E48" i="21"/>
  <c r="E49" i="34"/>
  <c r="I54" i="34" s="1"/>
  <c r="J54" i="34" s="1"/>
  <c r="R50" i="34"/>
  <c r="F68" i="39"/>
  <c r="E70" i="39"/>
  <c r="E48" i="79"/>
  <c r="R49" i="79"/>
  <c r="G53" i="34"/>
  <c r="H53" i="34" s="1"/>
  <c r="G54" i="34"/>
  <c r="H54" i="34" s="1"/>
  <c r="J26" i="78"/>
  <c r="J29" i="78" s="1"/>
  <c r="C53" i="77"/>
  <c r="F6" i="15"/>
  <c r="AE6" i="1"/>
  <c r="C16" i="15"/>
  <c r="F24" i="78" l="1"/>
  <c r="C24" i="78" s="1"/>
  <c r="C53" i="67"/>
  <c r="C48" i="67" s="1"/>
  <c r="C66" i="67" s="1"/>
  <c r="F22" i="68"/>
  <c r="C26" i="68" s="1"/>
  <c r="D22" i="68" s="1"/>
  <c r="F22" i="11"/>
  <c r="C26" i="11" s="1"/>
  <c r="D22" i="11" s="1"/>
  <c r="F25" i="12"/>
  <c r="C26" i="12" s="1"/>
  <c r="D25" i="12" s="1"/>
  <c r="F22" i="69"/>
  <c r="C44" i="69" s="1"/>
  <c r="D41" i="69" s="1"/>
  <c r="F24" i="15"/>
  <c r="C24" i="15" s="1"/>
  <c r="F24" i="67"/>
  <c r="C24" i="67" s="1"/>
  <c r="C53" i="78"/>
  <c r="C48" i="78" s="1"/>
  <c r="C60" i="78" s="1"/>
  <c r="J24" i="67"/>
  <c r="T4" i="43"/>
  <c r="V4" i="43" s="1"/>
  <c r="T6" i="43"/>
  <c r="V6" i="43" s="1"/>
  <c r="J10" i="15"/>
  <c r="J5" i="15" s="1"/>
  <c r="J26" i="77"/>
  <c r="J29" i="77" s="1"/>
  <c r="T14" i="43"/>
  <c r="V14" i="43" s="1"/>
  <c r="C48" i="15"/>
  <c r="C60" i="15" s="1"/>
  <c r="C6" i="15"/>
  <c r="C10" i="15"/>
  <c r="H10" i="40"/>
  <c r="F10" i="40"/>
  <c r="J10" i="40"/>
  <c r="F10" i="39"/>
  <c r="H10" i="39"/>
  <c r="J10" i="39"/>
  <c r="F27" i="69"/>
  <c r="F27" i="11"/>
  <c r="O6" i="1"/>
  <c r="C34" i="43"/>
  <c r="G34" i="43" s="1"/>
  <c r="I34" i="43" s="1"/>
  <c r="C48" i="77"/>
  <c r="C60" i="77" s="1"/>
  <c r="C33" i="43"/>
  <c r="E33" i="43" s="1"/>
  <c r="T12" i="43"/>
  <c r="V12" i="43" s="1"/>
  <c r="C19" i="67"/>
  <c r="C20" i="67" s="1"/>
  <c r="C26" i="67" s="1"/>
  <c r="J26" i="67"/>
  <c r="J29" i="67" s="1"/>
  <c r="J24" i="78"/>
  <c r="T7" i="43"/>
  <c r="V7" i="43" s="1"/>
  <c r="T3" i="43"/>
  <c r="V3" i="43" s="1"/>
  <c r="T5" i="43"/>
  <c r="V5" i="43" s="1"/>
  <c r="T2" i="43"/>
  <c r="V2" i="43" s="1"/>
  <c r="C37" i="43"/>
  <c r="E37" i="43" s="1"/>
  <c r="T10" i="43"/>
  <c r="V10" i="43" s="1"/>
  <c r="C39" i="43"/>
  <c r="G39" i="43" s="1"/>
  <c r="I39" i="43" s="1"/>
  <c r="T13" i="43"/>
  <c r="V13" i="43" s="1"/>
  <c r="T15" i="43"/>
  <c r="V15" i="43" s="1"/>
  <c r="C36" i="43"/>
  <c r="G36" i="43" s="1"/>
  <c r="I36" i="43" s="1"/>
  <c r="T9" i="43"/>
  <c r="V9" i="43" s="1"/>
  <c r="C35" i="43"/>
  <c r="E35" i="43" s="1"/>
  <c r="T11" i="43"/>
  <c r="V11" i="43" s="1"/>
  <c r="T8" i="43"/>
  <c r="V8" i="43" s="1"/>
  <c r="T16" i="43"/>
  <c r="V16" i="43" s="1"/>
  <c r="J24" i="77"/>
  <c r="G63" i="40"/>
  <c r="F65" i="40"/>
  <c r="E39" i="43"/>
  <c r="E36" i="43"/>
  <c r="G38" i="43"/>
  <c r="I38" i="43" s="1"/>
  <c r="E38" i="43"/>
  <c r="G37" i="43"/>
  <c r="I37" i="43" s="1"/>
  <c r="G33" i="43"/>
  <c r="I33" i="43" s="1"/>
  <c r="M27" i="6"/>
  <c r="I19" i="6"/>
  <c r="K27" i="6"/>
  <c r="S6" i="1"/>
  <c r="C35" i="69"/>
  <c r="C38" i="69"/>
  <c r="M16" i="1"/>
  <c r="N16" i="1" s="1"/>
  <c r="F34" i="11" s="1"/>
  <c r="H20" i="6"/>
  <c r="H26" i="6"/>
  <c r="M19" i="9"/>
  <c r="C118" i="9" s="1"/>
  <c r="C14" i="74" s="1"/>
  <c r="B2" i="74" s="1"/>
  <c r="D26" i="6"/>
  <c r="R26" i="6" s="1"/>
  <c r="D8" i="6"/>
  <c r="D14" i="6"/>
  <c r="D9" i="6"/>
  <c r="L19" i="9"/>
  <c r="D25" i="6"/>
  <c r="D22" i="6"/>
  <c r="R22" i="6" s="1"/>
  <c r="D24" i="6"/>
  <c r="R24" i="6" s="1"/>
  <c r="D5" i="6"/>
  <c r="D11" i="6"/>
  <c r="D28" i="6"/>
  <c r="H23" i="6"/>
  <c r="H25" i="6"/>
  <c r="H21" i="6"/>
  <c r="D19" i="6"/>
  <c r="C18" i="4"/>
  <c r="D23" i="6"/>
  <c r="D6" i="6"/>
  <c r="D10" i="6"/>
  <c r="D29" i="6"/>
  <c r="D15" i="6"/>
  <c r="D21" i="6"/>
  <c r="R21" i="6" s="1"/>
  <c r="D20" i="6"/>
  <c r="D12" i="6"/>
  <c r="D13" i="6"/>
  <c r="E61" i="40"/>
  <c r="C19" i="69"/>
  <c r="C20" i="69" s="1"/>
  <c r="D37" i="69"/>
  <c r="C37" i="69" s="1"/>
  <c r="C19" i="68"/>
  <c r="C24" i="68" s="1"/>
  <c r="H19" i="6"/>
  <c r="I27" i="6"/>
  <c r="S19" i="6"/>
  <c r="S27" i="6" s="1"/>
  <c r="C29" i="43"/>
  <c r="C23" i="77"/>
  <c r="C23" i="78"/>
  <c r="C26" i="78"/>
  <c r="C26" i="77"/>
  <c r="C49" i="79"/>
  <c r="B2" i="79" s="1"/>
  <c r="B3" i="79" s="1"/>
  <c r="C48" i="79"/>
  <c r="C49" i="34"/>
  <c r="C50" i="34"/>
  <c r="B2" i="34" s="1"/>
  <c r="B3" i="34" s="1"/>
  <c r="E52" i="21"/>
  <c r="F52" i="21" s="1"/>
  <c r="E53" i="21"/>
  <c r="F53" i="21" s="1"/>
  <c r="H46" i="36"/>
  <c r="J48" i="35"/>
  <c r="I53" i="21"/>
  <c r="J53" i="21" s="1"/>
  <c r="E53" i="79"/>
  <c r="F53" i="79" s="1"/>
  <c r="E52" i="79"/>
  <c r="F52" i="79" s="1"/>
  <c r="G68" i="39"/>
  <c r="F70" i="39"/>
  <c r="E54" i="34"/>
  <c r="F54" i="34" s="1"/>
  <c r="E53" i="34"/>
  <c r="F53" i="34" s="1"/>
  <c r="C49" i="21"/>
  <c r="B2" i="21" s="1"/>
  <c r="B3" i="21" s="1"/>
  <c r="C48" i="21"/>
  <c r="I53" i="79"/>
  <c r="J53" i="79" s="1"/>
  <c r="K52" i="37"/>
  <c r="C38" i="77"/>
  <c r="C32" i="77"/>
  <c r="C38" i="67"/>
  <c r="C32" i="67"/>
  <c r="C32" i="78"/>
  <c r="C38" i="78"/>
  <c r="C66" i="78"/>
  <c r="C24" i="11"/>
  <c r="C66" i="77"/>
  <c r="C60" i="67"/>
  <c r="F41" i="15"/>
  <c r="D10" i="68"/>
  <c r="C17" i="15"/>
  <c r="D20" i="12"/>
  <c r="D14" i="12"/>
  <c r="C44" i="11" l="1"/>
  <c r="D41" i="11" s="1"/>
  <c r="C44" i="68"/>
  <c r="D41" i="68" s="1"/>
  <c r="C23" i="11"/>
  <c r="C25" i="11"/>
  <c r="C23" i="69"/>
  <c r="C26" i="69"/>
  <c r="D22" i="69" s="1"/>
  <c r="C66" i="15"/>
  <c r="F69" i="15"/>
  <c r="C28" i="69"/>
  <c r="C27" i="69" s="1"/>
  <c r="J24" i="15"/>
  <c r="J18" i="15"/>
  <c r="J26" i="15"/>
  <c r="J29" i="15" s="1"/>
  <c r="C23" i="67"/>
  <c r="C29" i="67" s="1"/>
  <c r="C13" i="67" s="1"/>
  <c r="E34" i="43"/>
  <c r="D19" i="68"/>
  <c r="D37" i="68" s="1"/>
  <c r="C37" i="68" s="1"/>
  <c r="C10" i="68"/>
  <c r="C8" i="68" s="1"/>
  <c r="C14" i="12"/>
  <c r="D17" i="12"/>
  <c r="C17" i="12" s="1"/>
  <c r="C20" i="12"/>
  <c r="C18" i="12" s="1"/>
  <c r="E6" i="70"/>
  <c r="E2" i="70" s="1"/>
  <c r="C28" i="11"/>
  <c r="C27" i="11" s="1"/>
  <c r="C47" i="11"/>
  <c r="D45" i="11" s="1"/>
  <c r="C29" i="11"/>
  <c r="D27" i="11" s="1"/>
  <c r="W10" i="39"/>
  <c r="AC10" i="39"/>
  <c r="AA10" i="39"/>
  <c r="S10" i="39"/>
  <c r="S10" i="40"/>
  <c r="AA10" i="40"/>
  <c r="C5" i="15"/>
  <c r="J38" i="39"/>
  <c r="F38" i="39"/>
  <c r="H38" i="39"/>
  <c r="P6" i="1"/>
  <c r="O16" i="1"/>
  <c r="C47" i="69"/>
  <c r="D45" i="69" s="1"/>
  <c r="C29" i="69"/>
  <c r="D27" i="69" s="1"/>
  <c r="U10" i="39"/>
  <c r="AB10" i="39"/>
  <c r="AC10" i="40"/>
  <c r="W10" i="40"/>
  <c r="U10" i="40"/>
  <c r="AB10" i="40"/>
  <c r="G35" i="43"/>
  <c r="I35" i="43" s="1"/>
  <c r="H63" i="40"/>
  <c r="G65" i="40"/>
  <c r="C36" i="11"/>
  <c r="C37" i="11"/>
  <c r="C24" i="69"/>
  <c r="T6" i="1"/>
  <c r="AQ6" i="1"/>
  <c r="AR6" i="1"/>
  <c r="S16" i="1"/>
  <c r="C25" i="69"/>
  <c r="C33" i="69"/>
  <c r="F50" i="11"/>
  <c r="F50" i="69"/>
  <c r="F50" i="68"/>
  <c r="L16" i="1"/>
  <c r="C34" i="11"/>
  <c r="R20" i="6"/>
  <c r="R23" i="6"/>
  <c r="D30" i="6"/>
  <c r="C4" i="52"/>
  <c r="B45" i="72" s="1"/>
  <c r="A7" i="51"/>
  <c r="B7" i="72" s="1"/>
  <c r="A10" i="51"/>
  <c r="B9" i="72" s="1"/>
  <c r="R25" i="6"/>
  <c r="D16" i="6"/>
  <c r="D7" i="74"/>
  <c r="D27" i="6"/>
  <c r="D31" i="6" s="1"/>
  <c r="R19" i="6"/>
  <c r="H27" i="6"/>
  <c r="C30" i="43"/>
  <c r="E30" i="43" s="1"/>
  <c r="E29" i="43"/>
  <c r="C29" i="78"/>
  <c r="C57" i="78" s="1"/>
  <c r="C64" i="78" s="1"/>
  <c r="C29" i="77"/>
  <c r="J19" i="77" s="1"/>
  <c r="J17" i="77" s="1"/>
  <c r="L52" i="37"/>
  <c r="H68" i="39"/>
  <c r="G70" i="39"/>
  <c r="K48" i="35"/>
  <c r="I46" i="36"/>
  <c r="C14" i="15"/>
  <c r="C11" i="12"/>
  <c r="C34" i="68"/>
  <c r="C22" i="11" l="1"/>
  <c r="C31" i="11" s="1"/>
  <c r="C26" i="43"/>
  <c r="B2" i="43" s="1"/>
  <c r="J59" i="67"/>
  <c r="J60" i="67" s="1"/>
  <c r="L46" i="67" s="1"/>
  <c r="C33" i="67"/>
  <c r="C31" i="67" s="1"/>
  <c r="Q49" i="67"/>
  <c r="J19" i="67"/>
  <c r="J17" i="67" s="1"/>
  <c r="J14" i="67"/>
  <c r="J22" i="67" s="1"/>
  <c r="C57" i="67"/>
  <c r="C61" i="67" s="1"/>
  <c r="C59" i="67" s="1"/>
  <c r="C36" i="67"/>
  <c r="C12" i="12"/>
  <c r="C15" i="12"/>
  <c r="C18" i="15"/>
  <c r="C15" i="15"/>
  <c r="P16" i="1"/>
  <c r="AA38" i="39"/>
  <c r="S38" i="39"/>
  <c r="C32" i="15"/>
  <c r="C38" i="15"/>
  <c r="T16" i="1"/>
  <c r="AB38" i="39"/>
  <c r="U38" i="39"/>
  <c r="W38" i="39"/>
  <c r="AC38" i="39"/>
  <c r="C27" i="43"/>
  <c r="I63" i="40"/>
  <c r="H65" i="40"/>
  <c r="C22" i="69"/>
  <c r="C31" i="69" s="1"/>
  <c r="R27" i="6"/>
  <c r="R6" i="1"/>
  <c r="C39" i="69"/>
  <c r="C42" i="69"/>
  <c r="C35" i="11"/>
  <c r="C38" i="11"/>
  <c r="C35" i="68"/>
  <c r="C38" i="68"/>
  <c r="I6" i="6"/>
  <c r="C11" i="39" s="1"/>
  <c r="I5" i="6"/>
  <c r="C33" i="78"/>
  <c r="C31" i="78" s="1"/>
  <c r="C13" i="78"/>
  <c r="C75" i="78" s="1"/>
  <c r="Q49" i="78"/>
  <c r="J19" i="78"/>
  <c r="J17" i="78" s="1"/>
  <c r="J14" i="78"/>
  <c r="J13" i="78" s="1"/>
  <c r="J23" i="78" s="1"/>
  <c r="C36" i="78"/>
  <c r="J59" i="78"/>
  <c r="J60" i="78" s="1"/>
  <c r="L46" i="78" s="1"/>
  <c r="C33" i="77"/>
  <c r="C31" i="77" s="1"/>
  <c r="J14" i="77"/>
  <c r="J59" i="15"/>
  <c r="J60" i="15" s="1"/>
  <c r="Q48" i="15" s="1"/>
  <c r="J59" i="77"/>
  <c r="J60" i="77" s="1"/>
  <c r="C36" i="77"/>
  <c r="Q49" i="77"/>
  <c r="C13" i="77"/>
  <c r="C57" i="77"/>
  <c r="C61" i="78"/>
  <c r="C59" i="78" s="1"/>
  <c r="J22" i="78"/>
  <c r="J46" i="36"/>
  <c r="L48" i="35"/>
  <c r="I68" i="39"/>
  <c r="H70" i="39"/>
  <c r="M52" i="37"/>
  <c r="C75" i="67"/>
  <c r="Q70" i="67"/>
  <c r="C56" i="67"/>
  <c r="C65" i="67" s="1"/>
  <c r="C37" i="67"/>
  <c r="M21" i="15"/>
  <c r="F35" i="15"/>
  <c r="B6" i="76"/>
  <c r="E6" i="76"/>
  <c r="Q48" i="67" l="1"/>
  <c r="C64" i="67"/>
  <c r="C58" i="67" s="1"/>
  <c r="C67" i="67" s="1"/>
  <c r="C68" i="67" s="1"/>
  <c r="J13" i="67"/>
  <c r="J23" i="67" s="1"/>
  <c r="C30" i="67"/>
  <c r="C39" i="67" s="1"/>
  <c r="C40" i="67" s="1"/>
  <c r="C19" i="15"/>
  <c r="C16" i="12"/>
  <c r="C21" i="12" s="1"/>
  <c r="C22" i="12" s="1"/>
  <c r="Q70" i="78"/>
  <c r="H11" i="39"/>
  <c r="J11" i="39"/>
  <c r="F11" i="39"/>
  <c r="C20" i="15"/>
  <c r="C23" i="15" s="1"/>
  <c r="E2" i="76"/>
  <c r="J63" i="40"/>
  <c r="I65" i="40"/>
  <c r="J20" i="15"/>
  <c r="C34" i="15"/>
  <c r="F63" i="15"/>
  <c r="C62" i="15" s="1"/>
  <c r="R16" i="1"/>
  <c r="C33" i="68"/>
  <c r="C56" i="78"/>
  <c r="C65" i="78" s="1"/>
  <c r="C58" i="78" s="1"/>
  <c r="C67" i="78" s="1"/>
  <c r="C68" i="78" s="1"/>
  <c r="C71" i="78" s="1"/>
  <c r="C33" i="11"/>
  <c r="C42" i="11" s="1"/>
  <c r="C46" i="69"/>
  <c r="C45" i="69" s="1"/>
  <c r="C43" i="69"/>
  <c r="C41" i="69" s="1"/>
  <c r="B2" i="76"/>
  <c r="B3" i="76" s="1"/>
  <c r="B3" i="43"/>
  <c r="C37" i="78"/>
  <c r="C30" i="78" s="1"/>
  <c r="C39" i="78" s="1"/>
  <c r="Q69" i="78" s="1"/>
  <c r="J16" i="78"/>
  <c r="J25" i="78" s="1"/>
  <c r="Q48" i="78"/>
  <c r="J22" i="77"/>
  <c r="J13" i="77"/>
  <c r="J23" i="77" s="1"/>
  <c r="Q48" i="77"/>
  <c r="L46" i="77"/>
  <c r="C75" i="77"/>
  <c r="C56" i="77"/>
  <c r="C65" i="77" s="1"/>
  <c r="C37" i="77"/>
  <c r="C30" i="77" s="1"/>
  <c r="C39" i="77" s="1"/>
  <c r="Q70" i="77"/>
  <c r="C64" i="77"/>
  <c r="C61" i="77"/>
  <c r="C59" i="77" s="1"/>
  <c r="M48" i="35"/>
  <c r="K46" i="36"/>
  <c r="N52" i="37"/>
  <c r="O52" i="37" s="1"/>
  <c r="F7" i="37" s="1"/>
  <c r="J7" i="37"/>
  <c r="J68" i="39"/>
  <c r="I70" i="39"/>
  <c r="J16" i="67"/>
  <c r="J25" i="67" s="1"/>
  <c r="Q69" i="67"/>
  <c r="Q68" i="67" s="1"/>
  <c r="L51" i="67"/>
  <c r="L51" i="78"/>
  <c r="L51" i="77"/>
  <c r="C42" i="68" l="1"/>
  <c r="C91" i="9"/>
  <c r="C80" i="67"/>
  <c r="C79" i="67" s="1"/>
  <c r="C26" i="15"/>
  <c r="C29" i="15" s="1"/>
  <c r="C33" i="15" s="1"/>
  <c r="C31" i="15" s="1"/>
  <c r="Q68" i="78"/>
  <c r="AC11" i="39"/>
  <c r="W11" i="39"/>
  <c r="S11" i="39"/>
  <c r="AA11" i="39"/>
  <c r="U11" i="39"/>
  <c r="AB11" i="39"/>
  <c r="H7" i="37"/>
  <c r="K63" i="40"/>
  <c r="J65" i="40"/>
  <c r="C39" i="11"/>
  <c r="C43" i="11" s="1"/>
  <c r="C41" i="11" s="1"/>
  <c r="C49" i="69"/>
  <c r="C51" i="69" s="1"/>
  <c r="C52" i="69" s="1"/>
  <c r="B2" i="69" s="1"/>
  <c r="B3" i="69" s="1"/>
  <c r="C39" i="68"/>
  <c r="C46" i="68" s="1"/>
  <c r="C45" i="68" s="1"/>
  <c r="C80" i="78"/>
  <c r="C79" i="78" s="1"/>
  <c r="L57" i="78"/>
  <c r="L60" i="78" s="1"/>
  <c r="Q66" i="78" s="1"/>
  <c r="Q67" i="78"/>
  <c r="C40" i="78"/>
  <c r="C46" i="78" s="1"/>
  <c r="J16" i="77"/>
  <c r="J25" i="77" s="1"/>
  <c r="C80" i="77"/>
  <c r="C79" i="77" s="1"/>
  <c r="Q67" i="77"/>
  <c r="L57" i="77"/>
  <c r="L60" i="77" s="1"/>
  <c r="Q57" i="77" s="1"/>
  <c r="C40" i="77"/>
  <c r="Q69" i="77"/>
  <c r="Q68" i="77" s="1"/>
  <c r="C58" i="77"/>
  <c r="C67" i="77" s="1"/>
  <c r="C68" i="77" s="1"/>
  <c r="S7" i="37"/>
  <c r="AA7" i="37"/>
  <c r="R42" i="37" s="1"/>
  <c r="AC7" i="37"/>
  <c r="V42" i="37" s="1"/>
  <c r="I42" i="37" s="1"/>
  <c r="W7" i="37"/>
  <c r="K68" i="39"/>
  <c r="J70" i="39"/>
  <c r="U7" i="37"/>
  <c r="AB7" i="37"/>
  <c r="T42" i="37" s="1"/>
  <c r="G42" i="37" s="1"/>
  <c r="L46" i="36"/>
  <c r="N48" i="35"/>
  <c r="Q67" i="67"/>
  <c r="L57" i="67"/>
  <c r="L60" i="67" s="1"/>
  <c r="C45" i="67"/>
  <c r="C46" i="67" s="1"/>
  <c r="C71" i="67"/>
  <c r="Q65" i="67"/>
  <c r="Q56" i="67"/>
  <c r="Q47" i="67"/>
  <c r="Q53" i="67" s="1"/>
  <c r="D2" i="67"/>
  <c r="C43" i="67"/>
  <c r="C83" i="67"/>
  <c r="C82" i="67" s="1"/>
  <c r="C94" i="9" l="1"/>
  <c r="C92" i="9"/>
  <c r="C13" i="15"/>
  <c r="C37" i="15" s="1"/>
  <c r="C36" i="15"/>
  <c r="C57" i="15"/>
  <c r="C64" i="15" s="1"/>
  <c r="J19" i="15"/>
  <c r="J17" i="15" s="1"/>
  <c r="Q49" i="15"/>
  <c r="J14" i="15"/>
  <c r="J22" i="15" s="1"/>
  <c r="Q70" i="15"/>
  <c r="L63" i="40"/>
  <c r="K65" i="40"/>
  <c r="Q66" i="77"/>
  <c r="C57" i="69"/>
  <c r="C56" i="69" s="1"/>
  <c r="C46" i="11"/>
  <c r="C45" i="11" s="1"/>
  <c r="C49" i="11" s="1"/>
  <c r="C51" i="11" s="1"/>
  <c r="C52" i="11" s="1"/>
  <c r="B2" i="11" s="1"/>
  <c r="B3" i="11" s="1"/>
  <c r="L57" i="15"/>
  <c r="L60" i="15" s="1"/>
  <c r="L46" i="15" s="1"/>
  <c r="C43" i="68"/>
  <c r="C41" i="68" s="1"/>
  <c r="C49" i="68" s="1"/>
  <c r="C51" i="68" s="1"/>
  <c r="Q57" i="78"/>
  <c r="Q65" i="78"/>
  <c r="Q75" i="78" s="1"/>
  <c r="Q47" i="78"/>
  <c r="Q53" i="78" s="1"/>
  <c r="B2" i="78"/>
  <c r="B3" i="78" s="1"/>
  <c r="C83" i="78"/>
  <c r="C82" i="78" s="1"/>
  <c r="Q56" i="78"/>
  <c r="C43" i="78"/>
  <c r="C71" i="77"/>
  <c r="C46" i="77"/>
  <c r="Q56" i="77"/>
  <c r="Q62" i="77" s="1"/>
  <c r="Q65" i="77"/>
  <c r="C43" i="77"/>
  <c r="B2" i="77"/>
  <c r="B3" i="77" s="1"/>
  <c r="Q47" i="77"/>
  <c r="Q53" i="77" s="1"/>
  <c r="C83" i="77"/>
  <c r="C82" i="77" s="1"/>
  <c r="O48" i="35"/>
  <c r="F7" i="35"/>
  <c r="M46" i="36"/>
  <c r="L68" i="39"/>
  <c r="K70" i="39"/>
  <c r="R43" i="37"/>
  <c r="E42" i="37"/>
  <c r="G46" i="37"/>
  <c r="H46" i="37" s="1"/>
  <c r="G47" i="37"/>
  <c r="H47" i="37" s="1"/>
  <c r="I47" i="37"/>
  <c r="J47" i="37" s="1"/>
  <c r="I46" i="37"/>
  <c r="J46" i="37" s="1"/>
  <c r="B2" i="67"/>
  <c r="B3" i="67"/>
  <c r="Q66" i="67"/>
  <c r="Q75" i="67" s="1"/>
  <c r="Q57" i="67"/>
  <c r="Q62" i="67" s="1"/>
  <c r="C61" i="15" l="1"/>
  <c r="C59" i="15" s="1"/>
  <c r="C56" i="15"/>
  <c r="C65" i="15" s="1"/>
  <c r="C75" i="15"/>
  <c r="C30" i="15"/>
  <c r="C39" i="15" s="1"/>
  <c r="C40" i="15" s="1"/>
  <c r="Q56" i="15" s="1"/>
  <c r="J13" i="15"/>
  <c r="J23" i="15" s="1"/>
  <c r="J16" i="15" s="1"/>
  <c r="J25" i="15" s="1"/>
  <c r="Q75" i="77"/>
  <c r="L65" i="40"/>
  <c r="M63" i="40"/>
  <c r="Q57" i="15"/>
  <c r="Q66" i="15"/>
  <c r="C56" i="11"/>
  <c r="C57" i="11" s="1"/>
  <c r="Q62" i="78"/>
  <c r="AA7" i="35"/>
  <c r="R38" i="35" s="1"/>
  <c r="S7" i="35"/>
  <c r="C42" i="37"/>
  <c r="C43" i="37"/>
  <c r="B2" i="37" s="1"/>
  <c r="B3" i="37" s="1"/>
  <c r="M68" i="39"/>
  <c r="L70" i="39"/>
  <c r="E47" i="37"/>
  <c r="F47" i="37" s="1"/>
  <c r="E46" i="37"/>
  <c r="F46" i="37" s="1"/>
  <c r="N46" i="36"/>
  <c r="O46" i="36" s="1"/>
  <c r="J7" i="36"/>
  <c r="H7" i="35"/>
  <c r="J7" i="35"/>
  <c r="L51" i="15"/>
  <c r="C58" i="15" l="1"/>
  <c r="C67" i="15" s="1"/>
  <c r="C68" i="15" s="1"/>
  <c r="C71" i="15" s="1"/>
  <c r="C80" i="15"/>
  <c r="C79" i="15" s="1"/>
  <c r="Q69" i="15"/>
  <c r="Q68" i="15" s="1"/>
  <c r="Q65" i="15"/>
  <c r="Q75" i="15" s="1"/>
  <c r="Q47" i="15"/>
  <c r="Q53" i="15" s="1"/>
  <c r="C83" i="15"/>
  <c r="C82" i="15" s="1"/>
  <c r="B2" i="15"/>
  <c r="C8" i="12" s="1"/>
  <c r="C4" i="12" s="1"/>
  <c r="C43" i="15"/>
  <c r="Q67" i="15"/>
  <c r="M65" i="40"/>
  <c r="N63" i="40"/>
  <c r="Q62" i="15"/>
  <c r="W7" i="36"/>
  <c r="AC7" i="36"/>
  <c r="V36" i="36" s="1"/>
  <c r="I36" i="36" s="1"/>
  <c r="AC7" i="35"/>
  <c r="V38" i="35" s="1"/>
  <c r="I38" i="35" s="1"/>
  <c r="W7" i="35"/>
  <c r="AB7" i="35"/>
  <c r="T38" i="35" s="1"/>
  <c r="G38" i="35" s="1"/>
  <c r="U7" i="35"/>
  <c r="F7" i="36"/>
  <c r="H7" i="36"/>
  <c r="N68" i="39"/>
  <c r="M70" i="39"/>
  <c r="R39" i="35"/>
  <c r="E38" i="35"/>
  <c r="AO6" i="1"/>
  <c r="C46" i="15" l="1"/>
  <c r="B6" i="70"/>
  <c r="B2" i="70" s="1"/>
  <c r="B3" i="70" s="1"/>
  <c r="B3" i="15"/>
  <c r="C6" i="12" s="1"/>
  <c r="N65" i="40"/>
  <c r="O63" i="40"/>
  <c r="O65" i="40" s="1"/>
  <c r="C31" i="12"/>
  <c r="C23" i="12"/>
  <c r="C38" i="35"/>
  <c r="C39" i="35"/>
  <c r="B2" i="35" s="1"/>
  <c r="B3" i="35" s="1"/>
  <c r="O68" i="39"/>
  <c r="O70" i="39" s="1"/>
  <c r="N70" i="39"/>
  <c r="E43" i="35"/>
  <c r="F43" i="35" s="1"/>
  <c r="E42" i="35"/>
  <c r="F42" i="35" s="1"/>
  <c r="U7" i="36"/>
  <c r="AB7" i="36"/>
  <c r="T36" i="36" s="1"/>
  <c r="G36" i="36" s="1"/>
  <c r="I40" i="36"/>
  <c r="J40" i="36" s="1"/>
  <c r="S7" i="36"/>
  <c r="AA7" i="36"/>
  <c r="R36" i="36" s="1"/>
  <c r="G42" i="35"/>
  <c r="H42" i="35" s="1"/>
  <c r="G43" i="35"/>
  <c r="H43" i="35" s="1"/>
  <c r="I42" i="35"/>
  <c r="J42" i="35" s="1"/>
  <c r="I43" i="35"/>
  <c r="J43" i="35" s="1"/>
  <c r="J7" i="40" l="1"/>
  <c r="H7" i="40"/>
  <c r="F7" i="40"/>
  <c r="C27" i="12"/>
  <c r="C25" i="12" s="1"/>
  <c r="C30" i="12"/>
  <c r="C28" i="12" s="1"/>
  <c r="J7" i="39"/>
  <c r="F7" i="39"/>
  <c r="H7" i="39"/>
  <c r="E36" i="36"/>
  <c r="R37" i="36"/>
  <c r="G40" i="36"/>
  <c r="H40" i="36" s="1"/>
  <c r="G41" i="36"/>
  <c r="H41" i="36" s="1"/>
  <c r="U7" i="40" l="1"/>
  <c r="AB7" i="40"/>
  <c r="T42" i="40" s="1"/>
  <c r="G42" i="40" s="1"/>
  <c r="AA7" i="40"/>
  <c r="R42" i="40" s="1"/>
  <c r="S7" i="40"/>
  <c r="W7" i="40"/>
  <c r="AC7" i="40"/>
  <c r="V42" i="40" s="1"/>
  <c r="I42" i="40" s="1"/>
  <c r="I46" i="40" s="1"/>
  <c r="J46" i="40" s="1"/>
  <c r="C32" i="12"/>
  <c r="B2" i="12" s="1"/>
  <c r="C37" i="36"/>
  <c r="B2" i="36" s="1"/>
  <c r="B3" i="36" s="1"/>
  <c r="C36" i="36"/>
  <c r="E40" i="36"/>
  <c r="F40" i="36" s="1"/>
  <c r="E41" i="36"/>
  <c r="F41" i="36" s="1"/>
  <c r="I41" i="36"/>
  <c r="J41" i="36" s="1"/>
  <c r="S7" i="39"/>
  <c r="AA7" i="39"/>
  <c r="R47" i="39" s="1"/>
  <c r="AB7" i="39"/>
  <c r="T47" i="39" s="1"/>
  <c r="G47" i="39" s="1"/>
  <c r="U7" i="39"/>
  <c r="AC7" i="39"/>
  <c r="V47" i="39" s="1"/>
  <c r="I47" i="39" s="1"/>
  <c r="W7" i="39"/>
  <c r="D19" i="9"/>
  <c r="B3" i="12"/>
  <c r="G47" i="40" l="1"/>
  <c r="H47" i="40" s="1"/>
  <c r="G46" i="40"/>
  <c r="H46" i="40" s="1"/>
  <c r="E42" i="40"/>
  <c r="R43" i="40"/>
  <c r="D102" i="9"/>
  <c r="D21" i="9"/>
  <c r="E47" i="39"/>
  <c r="R48" i="39"/>
  <c r="I51" i="39"/>
  <c r="J51" i="39" s="1"/>
  <c r="G52" i="39"/>
  <c r="H52" i="39" s="1"/>
  <c r="G51" i="39"/>
  <c r="H51" i="39" s="1"/>
  <c r="D20" i="9"/>
  <c r="I47" i="40" l="1"/>
  <c r="J47" i="40" s="1"/>
  <c r="E47" i="40"/>
  <c r="F47" i="40" s="1"/>
  <c r="E46" i="40"/>
  <c r="F46" i="40" s="1"/>
  <c r="C42" i="40"/>
  <c r="C43" i="40"/>
  <c r="D103" i="9"/>
  <c r="E51" i="39"/>
  <c r="F51" i="39" s="1"/>
  <c r="E52" i="39"/>
  <c r="F52" i="39" s="1"/>
  <c r="I52" i="39"/>
  <c r="J52" i="39" s="1"/>
  <c r="C47" i="39"/>
  <c r="C48" i="39"/>
  <c r="B58" i="40" l="1"/>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s="1"/>
  <c r="C19" i="9"/>
  <c r="B3" i="68"/>
  <c r="C21" i="9" l="1"/>
  <c r="G19" i="9"/>
  <c r="C32" i="9" s="1"/>
  <c r="C102" i="9"/>
  <c r="D22" i="9"/>
  <c r="C57" i="68"/>
  <c r="C20" i="9"/>
  <c r="D35" i="9"/>
  <c r="G21" i="9" l="1"/>
  <c r="G20" i="9"/>
  <c r="C103" i="9"/>
  <c r="C56" i="68"/>
  <c r="C35" i="9"/>
  <c r="F118" i="9" s="1"/>
  <c r="H118" i="9"/>
  <c r="D34" i="9"/>
  <c r="C34" i="9" l="1"/>
  <c r="D118" i="9" s="1"/>
  <c r="D119" i="9" s="1"/>
  <c r="D5" i="52" s="1"/>
  <c r="B49" i="72" s="1"/>
  <c r="H101" i="9"/>
  <c r="H119" i="9"/>
  <c r="H5" i="52" s="1"/>
  <c r="C104" i="9"/>
  <c r="H4" i="52"/>
  <c r="I118" i="9"/>
  <c r="D14" i="74"/>
  <c r="F119" i="9"/>
  <c r="F5" i="52" s="1"/>
  <c r="B53" i="72" s="1"/>
  <c r="G118" i="9"/>
  <c r="G4" i="52" s="1"/>
  <c r="B52" i="72" s="1"/>
  <c r="F4" i="52"/>
  <c r="B51" i="72" s="1"/>
  <c r="D4" i="52" l="1"/>
  <c r="B47" i="72" s="1"/>
  <c r="E14" i="74"/>
  <c r="B5" i="74"/>
  <c r="F14" i="74"/>
  <c r="H102" i="9"/>
  <c r="D7" i="53" s="1"/>
  <c r="B21" i="72" s="1"/>
  <c r="C105" i="9"/>
  <c r="I4" i="52"/>
  <c r="E118" i="9"/>
  <c r="E4" i="52" s="1"/>
  <c r="B48" i="72" s="1"/>
  <c r="D5" i="53"/>
  <c r="M48" i="9"/>
  <c r="H107" i="9"/>
  <c r="D45" i="9"/>
  <c r="D13" i="53" l="1"/>
  <c r="M49" i="9"/>
  <c r="H108" i="9"/>
  <c r="D15" i="53" s="1"/>
  <c r="B31" i="72" s="1"/>
  <c r="D122" i="9"/>
  <c r="D6" i="53"/>
  <c r="B22" i="72" s="1"/>
  <c r="B20" i="72"/>
  <c r="D5" i="74"/>
  <c r="C5" i="74"/>
  <c r="D52" i="9"/>
  <c r="C64" i="9"/>
  <c r="C63" i="9" s="1"/>
  <c r="C67" i="9" s="1"/>
  <c r="C68" i="9" s="1"/>
  <c r="D54" i="9" s="1"/>
  <c r="C78" i="9"/>
  <c r="C73" i="9" s="1"/>
  <c r="C85" i="9"/>
  <c r="C72" i="9"/>
  <c r="D53" i="9"/>
  <c r="D48" i="9" s="1"/>
  <c r="M52" i="9" s="1"/>
  <c r="C93" i="9"/>
  <c r="C86" i="9" s="1"/>
  <c r="D55" i="9"/>
  <c r="M53" i="9" s="1"/>
  <c r="C79" i="9" l="1"/>
  <c r="C80" i="9" s="1"/>
  <c r="E80" i="9" s="1"/>
  <c r="E81" i="9" s="1"/>
  <c r="C95" i="9"/>
  <c r="D8" i="52"/>
  <c r="D123" i="9"/>
  <c r="D9" i="52" s="1"/>
  <c r="G14" i="74"/>
  <c r="B6" i="74" s="1"/>
  <c r="L66" i="9"/>
  <c r="M66" i="9" s="1"/>
  <c r="L67" i="9"/>
  <c r="M67" i="9" s="1"/>
  <c r="L68" i="9"/>
  <c r="M68" i="9" s="1"/>
  <c r="L65" i="9"/>
  <c r="M65" i="9" s="1"/>
  <c r="L63" i="9"/>
  <c r="M63" i="9" s="1"/>
  <c r="L64" i="9"/>
  <c r="M64" i="9" s="1"/>
  <c r="D14" i="53"/>
  <c r="B32" i="72" s="1"/>
  <c r="B30" i="72"/>
  <c r="M69" i="9" l="1"/>
  <c r="N69" i="9" s="1"/>
  <c r="C81" i="9"/>
  <c r="C6" i="74"/>
  <c r="D6" i="74"/>
  <c r="C96" i="9"/>
  <c r="E96" i="9" s="1"/>
  <c r="E97" i="9" s="1"/>
  <c r="C97" i="9" l="1"/>
  <c r="D58" i="9" s="1"/>
  <c r="D56" i="9" s="1"/>
  <c r="M54" i="9" s="1"/>
  <c r="N57" i="9" s="1"/>
  <c r="N59" i="9" l="1"/>
  <c r="H111" i="9" s="1"/>
  <c r="N58" i="9"/>
  <c r="P57"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<sst xmlns="http://schemas.openxmlformats.org/spreadsheetml/2006/main" count="8762" uniqueCount="3256">
  <si>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</si>
  <si>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</si>
  <si>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</si>
  <si>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</si>
  <si>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</si>
  <si>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</si>
  <si>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</si>
  <si>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</si>
  <si>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</si>
  <si>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</si>
  <si>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</si>
  <si>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</si>
  <si>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</si>
  <si>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</si>
  <si>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</si>
  <si>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</si>
  <si>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</si>
  <si>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</si>
  <si>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</si>
  <si>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</si>
  <si>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</si>
  <si>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</si>
  <si>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</si>
  <si>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</si>
  <si>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</si>
  <si>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</si>
  <si>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</si>
  <si>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</si>
  <si>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</si>
  <si>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</si>
  <si>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</si>
  <si>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</si>
  <si>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</si>
  <si>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</si>
  <si>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</si>
  <si>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</si>
  <si>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</si>
  <si>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</si>
  <si>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</si>
  <si>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</si>
  <si>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</si>
  <si>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</si>
  <si>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</si>
  <si>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</si>
  <si>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</si>
  <si>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</si>
  <si>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</si>
  <si>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</si>
  <si>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</si>
  <si>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</si>
  <si>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</si>
  <si>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</si>
  <si>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</si>
  <si>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</si>
  <si>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</si>
  <si>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</si>
  <si>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</si>
  <si>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</si>
  <si>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</si>
  <si>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</si>
  <si>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</si>
  <si>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</si>
  <si>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</si>
  <si>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</si>
  <si>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</si>
  <si>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</si>
  <si>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</si>
  <si>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</si>
  <si>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</si>
  <si>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</si>
  <si>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</si>
  <si>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</si>
  <si>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</si>
  <si>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</si>
  <si>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</si>
  <si>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</si>
  <si>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</si>
  <si>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</si>
  <si>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</si>
  <si>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</si>
  <si>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</si>
  <si>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</si>
  <si>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</si>
  <si>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</si>
  <si>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</si>
  <si>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</si>
  <si>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</si>
  <si>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</si>
  <si>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</si>
  <si>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</si>
  <si>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</si>
  <si>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</si>
  <si>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</si>
  <si>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</si>
  <si>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</si>
  <si>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</si>
  <si>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</si>
  <si>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</si>
  <si>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</si>
  <si>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</si>
  <si>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</si>
  <si>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</si>
  <si>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</si>
  <si>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</si>
  <si>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</si>
  <si>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</si>
  <si>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</si>
  <si>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</si>
  <si>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</si>
  <si>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</si>
  <si>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</si>
  <si>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</si>
  <si>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</si>
  <si>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</si>
  <si>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</si>
  <si>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</si>
  <si>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</si>
  <si>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</si>
  <si>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</si>
  <si>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</si>
  <si>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</si>
  <si>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</si>
  <si>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</si>
  <si>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</si>
  <si>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</si>
  <si>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</si>
  <si>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</si>
  <si>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</si>
  <si>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</si>
  <si>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</si>
  <si>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</si>
  <si>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</si>
  <si>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</si>
  <si>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</si>
  <si>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</si>
  <si>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</si>
  <si>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</si>
  <si>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</si>
  <si>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</si>
  <si>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</si>
  <si>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</si>
  <si>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</si>
  <si>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</si>
  <si>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</si>
  <si>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</si>
  <si>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</si>
  <si>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</si>
  <si>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</si>
  <si>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</si>
  <si>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</si>
  <si>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</si>
  <si>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</si>
  <si>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</si>
  <si>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</si>
  <si>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</si>
  <si>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</si>
  <si>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</si>
  <si>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</si>
  <si>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</si>
  <si>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</si>
  <si>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</si>
  <si>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</si>
  <si>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</si>
  <si>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</si>
  <si>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</si>
  <si>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</si>
  <si>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</si>
  <si>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</si>
  <si>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</si>
  <si>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</si>
  <si>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</si>
  <si>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</si>
  <si>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</si>
  <si>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</si>
  <si>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</si>
  <si>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</si>
  <si>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</si>
  <si>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</si>
  <si>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</si>
  <si>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</si>
  <si>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</si>
  <si>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</si>
  <si>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</si>
  <si>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</si>
  <si>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</si>
  <si>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</si>
  <si>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</si>
  <si>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</si>
  <si>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</si>
  <si>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</si>
  <si>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</si>
  <si>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</si>
  <si>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</si>
  <si>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</si>
  <si>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</si>
  <si>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</si>
  <si>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</si>
  <si>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</si>
  <si>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</si>
  <si>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</si>
  <si>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</si>
  <si>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</si>
  <si>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</si>
  <si>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</si>
  <si>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</si>
  <si>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</si>
  <si>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</si>
  <si>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</si>
  <si>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</si>
  <si>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</si>
  <si>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</si>
  <si>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</si>
  <si>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</si>
  <si>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</si>
  <si>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</si>
  <si>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</si>
  <si>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</si>
  <si>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</si>
  <si>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</si>
  <si>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</si>
  <si>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</si>
  <si>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</si>
  <si>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</si>
  <si>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</si>
  <si>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</si>
  <si>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</si>
  <si>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</si>
  <si>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</si>
  <si>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</si>
  <si>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</si>
  <si>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</si>
  <si>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</si>
  <si>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</si>
  <si>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</si>
  <si>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</si>
  <si>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</si>
  <si>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</si>
  <si>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</si>
  <si>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</si>
  <si>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</si>
  <si>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</si>
  <si>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</si>
  <si>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</si>
  <si>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</si>
  <si>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</si>
  <si>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</si>
  <si>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</si>
  <si>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</si>
  <si>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</si>
  <si>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</si>
  <si>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</si>
  <si>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</si>
  <si>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</si>
  <si>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</si>
  <si>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</si>
  <si>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</si>
  <si>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</si>
  <si>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</si>
  <si>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</si>
  <si>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</si>
  <si>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</si>
  <si>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</si>
  <si>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</si>
  <si>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</si>
  <si>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</si>
  <si>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</si>
  <si>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</si>
  <si>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</si>
  <si>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</si>
  <si>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</si>
  <si>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</si>
  <si>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</si>
  <si>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</si>
  <si>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</si>
  <si>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</si>
  <si>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</si>
  <si>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</si>
  <si>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</si>
  <si>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</si>
  <si>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</si>
  <si>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</si>
  <si>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</si>
  <si>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</si>
  <si>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</si>
  <si>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</si>
  <si>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</si>
  <si>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</si>
  <si>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</si>
  <si>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</si>
  <si>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</si>
  <si>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</si>
  <si>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</si>
  <si>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</si>
  <si>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</si>
  <si>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</si>
  <si>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</si>
  <si>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</si>
  <si>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</si>
  <si>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</si>
  <si>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</si>
  <si>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</si>
  <si>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</si>
  <si>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</si>
  <si>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</si>
  <si>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</si>
  <si>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</si>
  <si>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</si>
  <si>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</si>
  <si>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</si>
  <si>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</si>
  <si>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</si>
  <si>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</si>
  <si>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</si>
  <si>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</si>
  <si>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</si>
  <si>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</si>
  <si>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</si>
  <si>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</si>
  <si>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</si>
  <si>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</si>
  <si>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</si>
  <si>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</si>
  <si>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</si>
  <si>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</si>
  <si>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</si>
  <si>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</si>
  <si>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</si>
  <si>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</si>
  <si>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</si>
  <si>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</si>
  <si>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</si>
  <si>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</si>
  <si>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</si>
  <si>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</si>
  <si>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</si>
  <si>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</si>
  <si>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</si>
  <si>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</si>
  <si>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</si>
  <si>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</si>
  <si>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</si>
  <si>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</si>
  <si>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</si>
  <si>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</si>
  <si>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</si>
  <si>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</si>
  <si>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</si>
  <si>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</si>
  <si>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</si>
  <si>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</si>
  <si>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</si>
  <si>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</si>
  <si>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</si>
  <si>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</si>
  <si>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</si>
  <si>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</si>
  <si>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</si>
  <si>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</si>
  <si>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</si>
  <si>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</si>
  <si>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</si>
  <si>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</si>
  <si>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</si>
  <si>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</si>
  <si>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</si>
  <si>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</si>
  <si>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</si>
  <si>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</si>
  <si>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</si>
  <si>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</si>
  <si>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</si>
  <si>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</si>
  <si>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</si>
  <si>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</si>
  <si>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</si>
  <si>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</si>
  <si>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</si>
  <si>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</si>
  <si>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</si>
  <si>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</si>
  <si>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</si>
  <si>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</si>
  <si>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</si>
  <si>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</si>
  <si>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</si>
  <si>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</si>
  <si>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</si>
  <si>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</si>
  <si>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</si>
  <si>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</si>
  <si>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</si>
  <si>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</si>
  <si>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</si>
  <si>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</si>
  <si>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</si>
  <si>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</si>
  <si>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</si>
  <si>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</si>
  <si>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</si>
  <si>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</si>
  <si>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</si>
  <si>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</si>
  <si>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</si>
  <si>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</si>
  <si>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</si>
  <si>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</si>
  <si>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</si>
  <si>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</si>
  <si>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</si>
  <si>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</si>
  <si>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</si>
  <si>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</si>
  <si>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</si>
  <si>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</si>
  <si>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</si>
  <si>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</si>
  <si>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</si>
  <si>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</si>
  <si>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</si>
  <si>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</si>
  <si>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</si>
  <si>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</si>
  <si>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</si>
  <si>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</si>
  <si>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</si>
  <si>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</si>
  <si>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</si>
  <si>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</si>
  <si>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</si>
  <si>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</si>
  <si>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</si>
  <si>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</si>
  <si>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</si>
  <si>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</si>
  <si>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</si>
  <si>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</si>
  <si>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</si>
  <si>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</si>
  <si>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</si>
  <si>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</si>
  <si>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</si>
  <si>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</si>
  <si>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</si>
  <si>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</si>
  <si>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</si>
  <si>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</si>
  <si>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</si>
  <si>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</si>
  <si>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</si>
  <si>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</si>
  <si>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</si>
  <si>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</si>
  <si>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</si>
  <si>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</si>
  <si>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</si>
  <si>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</si>
  <si>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</si>
  <si>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</si>
  <si>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</si>
  <si>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</si>
  <si>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</si>
  <si>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</si>
  <si>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</si>
  <si>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</si>
  <si>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</si>
  <si>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</si>
  <si>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</si>
  <si>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</si>
  <si>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</si>
  <si>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</si>
  <si>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</si>
  <si>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</si>
  <si>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</si>
  <si>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</si>
  <si>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</si>
  <si>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</si>
  <si>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</si>
  <si>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</si>
  <si>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</si>
  <si>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</si>
  <si>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</si>
  <si>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</si>
  <si>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</si>
  <si>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</si>
  <si>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</si>
  <si>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</si>
  <si>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</si>
  <si>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</si>
  <si>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</si>
  <si>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</si>
  <si>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</si>
  <si>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</si>
  <si>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</si>
  <si>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</si>
  <si>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</si>
  <si>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</si>
  <si>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</si>
  <si>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</si>
  <si>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</si>
  <si>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</si>
  <si>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</si>
  <si>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</si>
  <si>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</si>
  <si>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</si>
  <si>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</si>
  <si>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</si>
  <si>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</si>
  <si>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</si>
  <si>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</si>
  <si>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</si>
  <si>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</si>
  <si>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</si>
  <si>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</si>
  <si>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</si>
  <si>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</si>
  <si>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</si>
  <si>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</si>
  <si>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</si>
  <si>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</si>
  <si>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</si>
  <si>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</si>
  <si>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</si>
  <si>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</si>
  <si>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</si>
  <si>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</si>
  <si>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</si>
  <si>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</si>
  <si>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</si>
  <si>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</si>
  <si>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</si>
  <si>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</si>
  <si>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</si>
  <si>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</si>
  <si>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</si>
  <si>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</si>
  <si>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</si>
  <si>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</si>
  <si>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</si>
  <si>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</si>
  <si>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</si>
  <si>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</si>
  <si>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</si>
  <si>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</si>
  <si>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</si>
  <si>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</si>
  <si>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</si>
  <si>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</si>
  <si>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</si>
  <si>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</si>
  <si>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</si>
  <si>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</si>
  <si>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</si>
  <si>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</si>
  <si>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</si>
  <si>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</si>
  <si>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</si>
  <si>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</si>
  <si>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</si>
  <si>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</si>
  <si>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</si>
  <si>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</si>
  <si>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</si>
  <si>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</si>
  <si>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</si>
  <si>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</si>
  <si>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</si>
  <si>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</si>
  <si>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</si>
  <si>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</si>
  <si>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</si>
  <si>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</si>
  <si>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</si>
  <si>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</si>
  <si>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</si>
  <si>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</si>
  <si>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</si>
  <si>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</si>
  <si>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</si>
  <si>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</si>
  <si>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</si>
  <si>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</si>
  <si>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</si>
  <si>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</si>
  <si>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</si>
  <si>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</si>
  <si>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</si>
  <si>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</si>
  <si>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</si>
  <si>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</si>
  <si>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</si>
  <si>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</si>
  <si>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</si>
  <si>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</si>
  <si>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</si>
  <si>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</si>
  <si>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</si>
  <si>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</si>
  <si>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</si>
  <si>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</si>
  <si>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</si>
  <si>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</si>
  <si>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</si>
  <si>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</si>
  <si>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</si>
  <si>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</si>
  <si>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</si>
  <si>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</si>
  <si>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</si>
  <si>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</si>
  <si>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</si>
  <si>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</si>
  <si>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</si>
  <si>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</si>
  <si>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</si>
  <si>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</si>
  <si>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</si>
  <si>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</si>
  <si>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</si>
  <si>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</si>
  <si>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</si>
  <si>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</si>
  <si>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</si>
  <si>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</si>
  <si>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</si>
  <si>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</si>
  <si>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</si>
  <si>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</si>
  <si>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</si>
  <si>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</si>
  <si>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</si>
  <si>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</si>
  <si>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</si>
  <si>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</si>
  <si>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</si>
  <si>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</si>
  <si>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</si>
  <si>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</si>
  <si>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</si>
  <si>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</si>
  <si>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</si>
  <si>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</si>
  <si>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</si>
  <si>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</si>
  <si>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</si>
  <si>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</si>
  <si>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</si>
  <si>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</si>
  <si>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</si>
  <si>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</si>
  <si>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</si>
  <si>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</si>
  <si>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</si>
  <si>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</si>
  <si>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</si>
  <si>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</si>
  <si>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</si>
  <si>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</si>
  <si>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</si>
  <si>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</si>
  <si>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</si>
  <si>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</si>
  <si>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</si>
  <si>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</si>
  <si>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</si>
  <si>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</si>
  <si>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</si>
  <si>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</si>
  <si>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</si>
  <si>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</si>
  <si>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</si>
  <si>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</si>
  <si>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</si>
  <si>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</si>
  <si>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</si>
  <si>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</si>
  <si>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</si>
  <si>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</si>
  <si>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</si>
  <si>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</si>
  <si>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</si>
  <si>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</si>
  <si>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</si>
  <si>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</si>
  <si>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</si>
  <si>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</si>
  <si>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</si>
  <si>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</si>
  <si>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</si>
  <si>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</si>
  <si>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</si>
  <si>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</si>
  <si>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</si>
  <si>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</si>
  <si>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</si>
  <si>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</si>
  <si>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</si>
  <si>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</si>
  <si>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</si>
  <si>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</si>
  <si>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</si>
  <si>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</si>
  <si>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</si>
  <si>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</si>
  <si>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</si>
  <si>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</si>
  <si>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</si>
  <si>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</si>
  <si>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</si>
  <si>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</si>
  <si>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</si>
  <si>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</si>
  <si>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</si>
  <si>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</si>
  <si>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</si>
  <si>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</si>
  <si>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</si>
  <si>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</si>
  <si>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</si>
  <si>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</si>
  <si>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</si>
  <si>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</si>
  <si>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</si>
  <si>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</si>
  <si>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</si>
  <si>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</si>
  <si>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</si>
  <si>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</si>
  <si>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</si>
  <si>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</si>
  <si>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</si>
  <si>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</si>
  <si>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</si>
  <si>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</si>
  <si>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</si>
  <si>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</si>
  <si>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</si>
  <si>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</si>
  <si>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</si>
  <si>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</si>
  <si>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</si>
  <si>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</si>
  <si>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</si>
  <si>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</si>
  <si>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</si>
  <si>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</si>
  <si>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</si>
  <si>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</si>
  <si>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</si>
  <si>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</si>
  <si>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</si>
  <si>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</si>
  <si>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</si>
  <si>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</si>
  <si>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</si>
  <si>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</si>
  <si>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</si>
  <si>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</si>
  <si>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</si>
  <si>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</si>
  <si>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</si>
  <si>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</si>
  <si>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</si>
  <si>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</si>
  <si>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</si>
  <si>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</si>
  <si>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</si>
  <si>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</si>
  <si>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</si>
  <si>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</si>
  <si>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</si>
  <si>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</si>
  <si>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</si>
  <si>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</si>
  <si>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</si>
  <si>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</si>
  <si>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</si>
  <si>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</si>
  <si>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</si>
  <si>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</si>
  <si>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</si>
  <si>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</si>
  <si>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</si>
  <si>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</si>
  <si>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</si>
  <si>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</si>
  <si>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</si>
  <si>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</si>
  <si>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</si>
  <si>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</si>
  <si>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</si>
  <si>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</si>
  <si>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</si>
  <si>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</si>
  <si>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</si>
  <si>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</si>
  <si>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</si>
  <si>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</si>
  <si>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</si>
  <si>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</si>
  <si>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</si>
  <si>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</si>
  <si>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</si>
  <si>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</si>
  <si>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</si>
  <si>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</si>
  <si>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</si>
  <si>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</si>
  <si>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</si>
  <si>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</si>
  <si>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</si>
  <si>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</si>
  <si>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</si>
  <si>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</si>
  <si>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</si>
  <si>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</si>
  <si>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</si>
  <si>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</si>
  <si>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</si>
  <si>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</si>
  <si>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</si>
  <si>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</si>
  <si>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</si>
  <si>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</si>
  <si>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</si>
  <si>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</si>
  <si>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</si>
  <si>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</si>
  <si>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</si>
  <si>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</si>
  <si>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</si>
  <si>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</si>
  <si>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</si>
  <si>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</si>
  <si>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</si>
  <si>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</si>
  <si>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</si>
  <si>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</si>
  <si>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</si>
  <si>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</si>
  <si>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</si>
  <si>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</si>
  <si>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</si>
  <si>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</si>
  <si>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</si>
  <si>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</si>
  <si>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</si>
  <si>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</si>
  <si>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</si>
  <si>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</si>
  <si>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</si>
  <si>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</si>
  <si>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</si>
  <si>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</si>
  <si>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</si>
  <si>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</si>
  <si>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</si>
  <si>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</si>
  <si>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</si>
  <si>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</si>
  <si>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</si>
  <si>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</si>
  <si>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</si>
  <si>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</si>
  <si>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</si>
  <si>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</si>
  <si>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</si>
  <si>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</si>
  <si>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</si>
  <si>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</si>
  <si>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</si>
  <si>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</si>
  <si>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</si>
  <si>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</si>
  <si>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</si>
  <si>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</si>
  <si>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</si>
  <si>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</si>
  <si>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</si>
  <si>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</si>
  <si>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</si>
  <si>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</si>
  <si>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</si>
  <si>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</si>
  <si>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</si>
  <si>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</si>
  <si>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</si>
  <si>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</si>
  <si>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</si>
  <si>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</si>
  <si>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</si>
  <si>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</si>
  <si>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</si>
  <si>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</si>
  <si>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</si>
  <si>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</si>
  <si>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</si>
  <si>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</si>
  <si>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</si>
  <si>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</si>
  <si>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</si>
  <si>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</si>
  <si>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</si>
  <si>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</si>
  <si>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</si>
  <si>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</si>
  <si>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</si>
  <si>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</si>
  <si>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</si>
  <si>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</si>
  <si>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</si>
  <si>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</si>
  <si>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</si>
  <si>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</si>
  <si>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</si>
  <si>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</si>
  <si>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</si>
  <si>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</si>
  <si>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</si>
  <si>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</si>
  <si>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</si>
  <si>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</si>
  <si>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</si>
  <si>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</si>
  <si>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</si>
  <si>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</si>
  <si>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</si>
  <si>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</si>
  <si>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</si>
  <si>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</si>
  <si>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</si>
  <si>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</si>
  <si>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</si>
  <si>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</si>
  <si>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</si>
  <si>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</si>
  <si>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</si>
  <si>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</si>
  <si>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</si>
  <si>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</si>
  <si>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</si>
  <si>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</si>
  <si>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</si>
  <si>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</si>
  <si>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</si>
  <si>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</si>
  <si>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</si>
  <si>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</si>
  <si>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</si>
  <si>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</si>
  <si>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</si>
  <si>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</si>
  <si>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</si>
  <si>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</si>
  <si>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</si>
  <si>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</si>
  <si>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</si>
  <si>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</si>
  <si>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</si>
  <si>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</si>
  <si>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</si>
  <si>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</si>
  <si>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</si>
  <si>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</si>
  <si>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</si>
  <si>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</si>
  <si>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</si>
  <si>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</si>
  <si>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</si>
  <si>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</si>
  <si>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</si>
  <si>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</si>
  <si>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</si>
  <si>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</si>
  <si>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</si>
  <si>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</si>
  <si>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</si>
  <si>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</si>
  <si>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</si>
  <si>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</si>
  <si>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</si>
  <si>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</si>
  <si>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</si>
  <si>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</si>
  <si>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</si>
  <si>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</si>
  <si>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</si>
  <si>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</si>
  <si>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</si>
  <si>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</si>
  <si>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</si>
  <si>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</si>
  <si>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</si>
  <si>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</si>
  <si>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</si>
  <si>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</si>
  <si>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</si>
  <si>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</si>
  <si>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</si>
  <si>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</si>
  <si>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</si>
  <si>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</si>
  <si>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</si>
  <si>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</si>
  <si>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</si>
  <si>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</si>
  <si>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</si>
  <si>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</si>
  <si>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</si>
  <si>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</si>
  <si>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</si>
  <si>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</si>
  <si>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</si>
  <si>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</si>
  <si>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</si>
  <si>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</si>
  <si>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</si>
  <si>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</si>
  <si>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</si>
  <si>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</si>
  <si>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</si>
  <si>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</si>
  <si>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</si>
  <si>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</si>
  <si>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</si>
  <si>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</si>
  <si>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</si>
  <si>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</si>
  <si>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</si>
  <si>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</si>
  <si>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</si>
  <si>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</si>
  <si>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</si>
  <si>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</si>
  <si>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</si>
  <si>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</si>
  <si>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</si>
  <si>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</si>
  <si>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</si>
  <si>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</si>
  <si>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</si>
  <si>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</si>
  <si>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</si>
  <si>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</si>
  <si>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</si>
  <si>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</si>
  <si>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</si>
  <si>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</si>
  <si>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</si>
  <si>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</si>
  <si>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</si>
  <si>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</si>
  <si>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</si>
  <si>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</si>
  <si>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</si>
  <si>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</si>
  <si>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</si>
  <si>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</si>
  <si>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</si>
  <si>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</si>
  <si>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</si>
  <si>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</si>
  <si>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</si>
  <si>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</si>
  <si>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</si>
  <si>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</si>
  <si>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</si>
  <si>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</si>
  <si>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</si>
  <si>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</si>
  <si>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</si>
  <si>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</si>
  <si>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</si>
  <si>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</si>
  <si>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</si>
  <si>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</si>
  <si>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</si>
  <si>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</si>
  <si>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</si>
  <si>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</si>
  <si>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</si>
  <si>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</si>
  <si>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</si>
  <si>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</si>
  <si>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</si>
  <si>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</si>
  <si>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</si>
  <si>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</si>
  <si>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</si>
  <si>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</si>
  <si>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</si>
  <si>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</si>
  <si>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</si>
  <si>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</si>
  <si>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</si>
  <si>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</si>
  <si>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</si>
  <si>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</si>
  <si>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</si>
  <si>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</si>
  <si>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</si>
  <si>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</si>
  <si>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</si>
  <si>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</si>
  <si>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</si>
  <si>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</si>
  <si>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</si>
  <si>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</si>
  <si>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</si>
  <si>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</si>
  <si>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</si>
  <si>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</si>
  <si>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</si>
  <si>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</si>
  <si>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</si>
  <si>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</si>
  <si>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</si>
  <si>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</si>
  <si>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</si>
  <si>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</si>
  <si>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</si>
  <si>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</si>
  <si>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</si>
  <si>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</si>
  <si>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</si>
  <si>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</si>
  <si>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</si>
  <si>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</si>
  <si>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</si>
  <si>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</si>
  <si>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</si>
  <si>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</si>
  <si>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</si>
  <si>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</si>
  <si>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</si>
  <si>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</si>
  <si>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</si>
  <si>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</si>
  <si>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</si>
  <si>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</si>
  <si>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</si>
  <si>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</si>
  <si>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</si>
  <si>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</si>
  <si>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</si>
  <si>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</si>
  <si>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</si>
  <si>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</si>
  <si>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</si>
  <si>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</si>
  <si>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</si>
  <si>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</si>
  <si>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</si>
  <si>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</si>
  <si>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</si>
  <si>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</si>
  <si>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</si>
  <si>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</si>
  <si>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</si>
  <si>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</si>
  <si>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</si>
  <si>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</si>
  <si>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</si>
  <si>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</si>
  <si>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</si>
  <si>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</si>
  <si>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</si>
  <si>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</si>
  <si>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</si>
  <si>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</si>
  <si>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</si>
  <si>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</si>
  <si>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</si>
  <si>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</si>
  <si>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</si>
  <si>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</si>
  <si>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</si>
  <si>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</si>
  <si>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</si>
  <si>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</si>
  <si>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</si>
  <si>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</si>
  <si>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</si>
  <si>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</si>
  <si>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</si>
  <si>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</si>
  <si>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</si>
  <si>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</si>
  <si>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</si>
  <si>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</si>
  <si>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</si>
  <si>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</si>
  <si>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</si>
  <si>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</si>
  <si>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</si>
  <si>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</si>
  <si>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</si>
  <si>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</si>
  <si>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</si>
  <si>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</si>
  <si>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</si>
  <si>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</si>
  <si>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</si>
  <si>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</si>
  <si>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</si>
  <si>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</si>
  <si>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</si>
  <si>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</si>
  <si>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</si>
  <si>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</si>
  <si>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</si>
  <si>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</si>
  <si>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</si>
  <si>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</si>
  <si>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</si>
  <si>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</si>
  <si>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</si>
  <si>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</si>
  <si>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</si>
  <si>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</si>
  <si>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</si>
  <si>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</si>
  <si>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</si>
  <si>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</si>
  <si>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</si>
  <si>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</si>
  <si>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</si>
  <si>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</si>
  <si>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</si>
  <si>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</si>
  <si>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</si>
  <si>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</si>
  <si>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</si>
  <si>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</si>
  <si>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</si>
  <si>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</si>
  <si>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</si>
  <si>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</si>
  <si>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</si>
  <si>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</si>
  <si>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</si>
  <si>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</si>
  <si>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</si>
  <si>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</si>
  <si>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</si>
  <si>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</si>
  <si>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</si>
  <si>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</si>
  <si>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</si>
  <si>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</si>
  <si>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</si>
  <si>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</si>
  <si>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</si>
  <si>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</si>
  <si>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</si>
  <si>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</si>
  <si>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</si>
  <si>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</si>
  <si>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</si>
  <si>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</si>
  <si>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</si>
  <si>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</si>
  <si>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</si>
  <si>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</si>
  <si>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</si>
  <si>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</si>
  <si>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</si>
  <si>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</si>
  <si>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</si>
  <si>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</si>
  <si>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</si>
  <si>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</si>
  <si>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</si>
  <si>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</si>
  <si>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</si>
  <si>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</si>
  <si>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</si>
  <si>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</si>
  <si>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</si>
  <si>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</si>
  <si>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</si>
  <si>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</si>
  <si>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</si>
  <si>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</si>
  <si>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</si>
  <si>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</si>
  <si>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</si>
  <si>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</si>
  <si>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</si>
  <si>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</si>
  <si>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</si>
  <si>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</si>
  <si>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</si>
  <si>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</si>
  <si>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</si>
  <si>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</si>
  <si>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</si>
  <si>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</si>
  <si>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</si>
  <si>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</si>
  <si>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</si>
  <si>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</si>
  <si>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</si>
  <si>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</si>
  <si>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</si>
  <si>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</si>
  <si>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</si>
  <si>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</si>
  <si>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</si>
  <si>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</si>
  <si>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</si>
  <si>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</si>
  <si>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</si>
  <si>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</si>
  <si>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</si>
  <si>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</si>
  <si>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</si>
  <si>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</si>
  <si>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</si>
  <si>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</si>
  <si>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</si>
  <si>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</si>
  <si>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</si>
  <si>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</si>
  <si>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</si>
  <si>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</si>
  <si>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</si>
  <si>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</si>
  <si>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</si>
  <si>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</si>
  <si>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</si>
  <si>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</si>
  <si>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</si>
  <si>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</si>
  <si>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</si>
  <si>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</si>
  <si>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</si>
  <si>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</si>
  <si>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</si>
  <si>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</si>
  <si>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</si>
  <si>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</si>
  <si>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</si>
  <si>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</si>
  <si>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</si>
  <si>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</si>
  <si>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</si>
  <si>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</si>
  <si>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</si>
  <si>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</si>
  <si>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</si>
  <si>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</si>
  <si>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</si>
  <si>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</si>
  <si>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</si>
  <si>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</si>
  <si>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</si>
  <si>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</si>
  <si>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</si>
  <si>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</si>
  <si>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</si>
  <si>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</si>
  <si>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</si>
  <si>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</si>
  <si>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</si>
  <si>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</si>
  <si>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</si>
  <si>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</si>
  <si>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</si>
  <si>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</si>
  <si>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</si>
  <si>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</si>
  <si>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</si>
  <si>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</si>
  <si>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</si>
  <si>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</si>
  <si>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</si>
  <si>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</si>
  <si>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</si>
  <si>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</si>
  <si>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</si>
  <si>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</si>
  <si>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</si>
  <si>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</si>
  <si>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</si>
  <si>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</si>
  <si>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</si>
  <si>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</si>
  <si>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</si>
  <si>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</si>
  <si>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</si>
  <si>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</si>
  <si>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</si>
  <si>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</si>
  <si>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</si>
  <si>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</si>
  <si>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</si>
  <si>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</si>
  <si>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</si>
  <si>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</si>
  <si>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</si>
  <si>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</si>
  <si>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</si>
  <si>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</si>
  <si>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</si>
  <si>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</si>
  <si>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</si>
  <si>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</si>
  <si>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</si>
  <si>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</si>
  <si>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</si>
  <si>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</si>
  <si>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</si>
  <si>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</si>
  <si>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</si>
  <si>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</si>
  <si>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</si>
  <si>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</si>
  <si>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</si>
  <si>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</si>
  <si>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</si>
  <si>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</si>
  <si>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</si>
  <si>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</si>
  <si>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</si>
  <si>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</si>
  <si>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</si>
  <si>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</si>
  <si>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</si>
  <si>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</si>
  <si>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</si>
  <si>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</si>
  <si>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</si>
  <si>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</si>
  <si>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</si>
  <si>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</si>
  <si>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</si>
  <si>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</si>
  <si>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</si>
  <si>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</si>
  <si>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</si>
  <si>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</si>
  <si>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</si>
  <si>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</si>
  <si>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</si>
  <si>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</si>
  <si>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</si>
  <si>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</si>
  <si>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</si>
  <si>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</si>
  <si>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</si>
  <si>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</si>
  <si>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</si>
  <si>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</si>
  <si>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</si>
  <si>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</si>
  <si>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</si>
  <si>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</si>
  <si>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</si>
  <si>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</si>
  <si>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</si>
  <si>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</si>
  <si>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</si>
  <si>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</si>
  <si>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</si>
  <si>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</si>
  <si>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</si>
  <si>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</si>
  <si>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</si>
  <si>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</si>
  <si>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</si>
  <si>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</si>
  <si>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</si>
  <si>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</si>
  <si>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</si>
  <si>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</si>
  <si>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</si>
  <si>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</si>
  <si>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</si>
  <si>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</si>
  <si>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</si>
  <si>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</si>
  <si>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</si>
  <si>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</si>
  <si>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</si>
  <si>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</si>
  <si>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</si>
  <si>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</si>
  <si>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</si>
  <si>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</si>
  <si>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</si>
  <si>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</si>
  <si>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</si>
  <si>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</si>
  <si>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</si>
  <si>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</si>
  <si>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</si>
  <si>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</si>
  <si>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</si>
  <si>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</si>
  <si>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</si>
  <si>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</si>
  <si>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</si>
  <si>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</si>
  <si>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</si>
  <si>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</si>
  <si>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</si>
  <si>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</si>
  <si>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</si>
  <si>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</si>
  <si>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</si>
  <si>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</si>
  <si>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</si>
  <si>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</si>
  <si>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</si>
  <si>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</si>
  <si>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</si>
  <si>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</si>
  <si>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</si>
  <si>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</si>
  <si>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</si>
  <si>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</si>
  <si>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</si>
  <si>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</si>
  <si>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</si>
  <si>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</si>
  <si>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</si>
  <si>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</si>
  <si>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</si>
  <si>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</si>
  <si>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</si>
  <si>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</si>
  <si>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</si>
  <si>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</si>
  <si>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</si>
  <si>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</si>
  <si>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</si>
  <si>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</si>
  <si>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</si>
  <si>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</si>
  <si>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</si>
  <si>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</si>
  <si>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</si>
  <si>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</si>
  <si>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</si>
  <si>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</si>
  <si>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</si>
  <si>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</si>
  <si>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</si>
  <si>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</si>
  <si>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</si>
  <si>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</si>
  <si>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</si>
  <si>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</si>
  <si>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</si>
  <si>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</si>
  <si>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</si>
  <si>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</si>
  <si>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</si>
  <si>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</si>
  <si>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</si>
  <si>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</si>
  <si>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</si>
  <si>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</si>
  <si>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</si>
  <si>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</si>
  <si>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</si>
  <si>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</si>
  <si>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</si>
  <si>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</si>
  <si>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</si>
  <si>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</si>
  <si>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</si>
  <si>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</si>
  <si>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</si>
  <si>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</si>
  <si>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</si>
  <si>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</si>
  <si>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</si>
  <si>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</si>
  <si>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</si>
  <si>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</si>
  <si>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</si>
  <si>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</si>
  <si>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</si>
  <si>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</si>
  <si>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</si>
  <si>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</si>
  <si>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</si>
  <si>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</si>
  <si>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</si>
  <si>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</si>
  <si>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</si>
  <si>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</si>
  <si>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</si>
  <si>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</si>
  <si>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</si>
  <si>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</si>
  <si>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</si>
  <si>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</si>
  <si>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</si>
  <si>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</si>
  <si>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</si>
  <si>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</si>
  <si>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</si>
  <si>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</si>
  <si>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</si>
  <si>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</si>
  <si>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</si>
  <si>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</si>
  <si>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</si>
  <si>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</si>
  <si>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</si>
  <si>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</si>
  <si>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</si>
  <si>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</si>
  <si>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</si>
  <si>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</si>
  <si>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</si>
  <si>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</si>
  <si>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</si>
  <si>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</si>
  <si>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</si>
  <si>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</si>
  <si>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</si>
  <si>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</si>
  <si>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</si>
  <si>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</si>
  <si>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</si>
  <si>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</si>
  <si>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</si>
  <si>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</si>
  <si>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</si>
  <si>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</si>
  <si>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</si>
  <si>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</si>
  <si>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</si>
  <si>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</si>
  <si>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</si>
  <si>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</si>
  <si>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</si>
  <si>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</si>
  <si>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</si>
  <si>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</si>
  <si>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</si>
  <si>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</si>
  <si>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</si>
  <si>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</si>
  <si>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</si>
  <si>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</si>
  <si>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</si>
  <si>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</si>
  <si>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</si>
  <si>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</si>
  <si>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</si>
  <si>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</si>
  <si>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</si>
  <si>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</si>
  <si>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</si>
  <si>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</si>
  <si>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</si>
  <si>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</si>
  <si>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</si>
  <si>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</si>
  <si>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</si>
  <si>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</si>
  <si>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</si>
  <si>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</si>
  <si>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</si>
  <si>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</si>
  <si>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</si>
  <si>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</si>
  <si>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</si>
  <si>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</si>
  <si>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</si>
  <si>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</si>
  <si>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</si>
  <si>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</si>
  <si>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</si>
  <si>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</si>
  <si>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</si>
  <si>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</si>
  <si>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</si>
  <si>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</si>
  <si>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</si>
  <si>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</si>
  <si>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</si>
  <si>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</si>
  <si>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</si>
  <si>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</si>
  <si>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</si>
  <si>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</si>
  <si>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</si>
  <si>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</si>
  <si>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</si>
  <si>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</si>
  <si>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</si>
  <si>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</si>
  <si>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</si>
  <si>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</si>
  <si>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</si>
  <si>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</si>
  <si>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</si>
  <si>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</si>
  <si>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</si>
  <si>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</si>
  <si>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</si>
  <si>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</si>
  <si>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</si>
  <si>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</si>
  <si>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</si>
  <si>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</si>
  <si>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</si>
  <si>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</si>
  <si>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</si>
  <si>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</si>
  <si>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</si>
  <si>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</si>
  <si>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</si>
  <si>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</si>
  <si>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</si>
  <si>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</si>
  <si>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</si>
  <si>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</si>
  <si>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</si>
  <si>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</si>
  <si>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</si>
  <si>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</si>
  <si>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</si>
  <si>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</si>
  <si>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</si>
  <si>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</si>
  <si>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</si>
  <si>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</si>
  <si>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</si>
  <si>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</si>
  <si>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</si>
  <si>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</si>
  <si>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</si>
  <si>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</si>
  <si>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</si>
  <si>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</si>
  <si>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</si>
  <si>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</si>
  <si>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</si>
  <si>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</si>
  <si>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</si>
  <si>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</si>
  <si>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</si>
  <si>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</si>
  <si>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</si>
  <si>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</si>
  <si>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</si>
  <si>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</si>
  <si>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</si>
  <si>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</si>
  <si>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</si>
  <si>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</si>
  <si>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</si>
  <si>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</si>
  <si>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</si>
  <si>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</si>
  <si>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</si>
  <si>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</si>
  <si>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</si>
  <si>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</si>
  <si>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</si>
  <si>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</si>
  <si>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</si>
  <si>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</si>
  <si>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</si>
  <si>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</si>
  <si>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</si>
  <si>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</si>
  <si>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</si>
  <si>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</si>
  <si>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</si>
  <si>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</si>
  <si>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</si>
  <si>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</si>
  <si>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</si>
  <si>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</si>
  <si>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</si>
  <si>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</si>
  <si>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</si>
  <si>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</si>
  <si>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</si>
  <si>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</si>
  <si>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</si>
  <si>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</si>
  <si>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</si>
  <si>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</si>
  <si>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</si>
  <si>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</si>
  <si>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</si>
  <si>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</si>
  <si>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</si>
  <si>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</si>
  <si>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</si>
  <si>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</si>
  <si>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</si>
  <si>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</si>
  <si>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</si>
  <si>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</si>
  <si>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</si>
  <si>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</si>
  <si>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</si>
  <si>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</si>
  <si>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</si>
  <si>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</si>
  <si>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</si>
  <si>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</si>
  <si>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</si>
  <si>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</si>
  <si>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</si>
  <si>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</si>
  <si>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</si>
  <si>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</si>
  <si>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</si>
  <si>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</si>
  <si>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</si>
  <si>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</si>
  <si>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</si>
  <si>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</si>
  <si>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</si>
  <si>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</si>
  <si>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</si>
  <si>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</si>
  <si>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</si>
  <si>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</si>
  <si>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</si>
  <si>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</si>
  <si>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</si>
  <si>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</si>
  <si>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</si>
  <si>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</si>
  <si>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</si>
  <si>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</si>
  <si>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</si>
  <si>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</si>
  <si>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</si>
  <si>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</si>
  <si>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</si>
  <si>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</si>
  <si>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</si>
  <si>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</si>
  <si>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</si>
  <si>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</si>
  <si>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</si>
  <si>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</si>
  <si>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</si>
  <si>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</si>
  <si>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</si>
  <si>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</si>
  <si>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</si>
  <si>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</si>
  <si>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</si>
  <si>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</si>
  <si>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</si>
  <si>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</si>
  <si>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</si>
  <si>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</si>
  <si>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</si>
  <si>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</si>
  <si>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</si>
  <si>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</si>
  <si>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</si>
  <si>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</si>
  <si>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</si>
  <si>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</si>
  <si>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</si>
  <si>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</si>
  <si>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</si>
  <si>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</si>
  <si>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</si>
  <si>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</si>
  <si>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</si>
  <si>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</si>
  <si>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</si>
  <si>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</si>
  <si>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</si>
  <si>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</si>
  <si>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</si>
  <si>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</si>
  <si>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</si>
  <si>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</si>
  <si>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</si>
  <si>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</si>
  <si>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</si>
  <si>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</si>
  <si>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</si>
  <si>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</si>
  <si>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</si>
  <si>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</si>
  <si>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</si>
  <si>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</si>
  <si>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</si>
  <si>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</si>
  <si>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</si>
  <si>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</si>
  <si>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</si>
  <si>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</si>
  <si>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</si>
  <si>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</si>
  <si>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</si>
  <si>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</si>
  <si>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</si>
  <si>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</si>
  <si>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</si>
  <si>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</si>
  <si>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</si>
  <si>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</si>
  <si>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</si>
  <si>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</si>
  <si>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</si>
  <si>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</si>
  <si>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</si>
  <si>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</si>
  <si>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</si>
  <si>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</si>
  <si>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</si>
  <si>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</si>
  <si>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</si>
  <si>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</si>
  <si>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</si>
  <si>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</si>
  <si>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</si>
  <si>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</si>
  <si>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</si>
  <si>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</si>
  <si>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</si>
  <si>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</si>
  <si>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</si>
  <si>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</si>
  <si>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</si>
  <si>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</si>
  <si>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</si>
  <si>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</si>
  <si>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</si>
  <si>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</si>
  <si>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</si>
  <si>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</si>
  <si>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</si>
  <si>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</si>
  <si>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</si>
  <si>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</si>
  <si>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</si>
  <si>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</si>
  <si>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</si>
  <si>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</si>
  <si>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</si>
  <si>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</si>
  <si>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</si>
  <si>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</si>
  <si>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</si>
  <si>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</si>
  <si>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</si>
  <si>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</si>
  <si>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</si>
  <si>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</si>
  <si>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</si>
  <si>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</si>
  <si>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</si>
  <si>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</si>
  <si>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</si>
  <si>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</si>
  <si>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</si>
  <si>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</si>
  <si>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</si>
  <si>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</si>
  <si>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</si>
  <si>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</si>
  <si>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</si>
  <si>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</si>
  <si>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</si>
  <si>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</si>
  <si>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</si>
  <si>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</si>
  <si>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</si>
  <si>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</si>
  <si>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</si>
  <si>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</si>
  <si>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</si>
  <si>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</si>
  <si>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</si>
  <si>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</si>
  <si>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</si>
  <si>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</si>
  <si>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</si>
  <si>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</si>
  <si>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</si>
  <si>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</si>
  <si>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</si>
  <si>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</si>
  <si>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</si>
  <si>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</si>
  <si>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</si>
  <si>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</si>
  <si>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</si>
  <si>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</si>
  <si>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</si>
  <si>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</si>
  <si>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</si>
  <si>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</si>
  <si>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</si>
  <si>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</si>
  <si>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</si>
  <si>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</si>
  <si>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</si>
  <si>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</si>
  <si>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</si>
  <si>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</si>
  <si>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</si>
  <si>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</si>
  <si>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</si>
  <si>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</si>
  <si>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</si>
  <si>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</si>
  <si>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</si>
  <si>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</si>
  <si>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</si>
  <si>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</si>
  <si>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</si>
  <si>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</si>
  <si>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</si>
  <si>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</si>
  <si>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</si>
  <si>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</si>
  <si>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</si>
  <si>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</si>
  <si>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</si>
  <si>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</si>
  <si>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</si>
  <si>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</si>
  <si>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</si>
  <si>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</si>
  <si>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</si>
  <si>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</si>
  <si>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</si>
  <si>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</si>
  <si>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</si>
  <si>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</si>
  <si>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</si>
  <si>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</si>
  <si>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</si>
  <si>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</si>
  <si>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</si>
  <si>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</si>
  <si>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</si>
  <si>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</si>
  <si>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</si>
  <si>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</si>
  <si>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</si>
  <si>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</si>
  <si>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</si>
  <si>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</si>
  <si>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</si>
  <si>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</si>
  <si>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</si>
  <si>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</si>
  <si>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</si>
  <si>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</si>
  <si>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</si>
  <si>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</si>
  <si>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</si>
  <si>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</si>
  <si>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</si>
  <si>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</si>
  <si>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</si>
  <si>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</si>
  <si>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</si>
  <si>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</si>
  <si>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</si>
  <si>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</si>
  <si>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</si>
  <si>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</si>
  <si>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</si>
  <si>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</si>
  <si>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</si>
  <si>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</si>
  <si>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</si>
  <si>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</si>
  <si>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</si>
  <si>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</si>
  <si>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</si>
  <si>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</si>
  <si>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</si>
  <si>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</si>
  <si>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</si>
  <si>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</si>
  <si>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</si>
  <si>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</si>
  <si>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</si>
  <si>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</si>
  <si>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</si>
  <si>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</si>
  <si>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</si>
  <si>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</si>
  <si>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</si>
  <si>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</si>
  <si>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</si>
  <si>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</si>
  <si>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</si>
  <si>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</si>
  <si>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</si>
  <si>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</si>
  <si>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</si>
  <si>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</si>
  <si>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</si>
  <si>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</si>
  <si>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</si>
  <si>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</si>
  <si>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</si>
  <si>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</si>
  <si>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</si>
  <si>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</si>
  <si>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</si>
  <si>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</si>
  <si>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</si>
  <si>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</si>
  <si>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</si>
  <si>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</si>
  <si>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</si>
  <si>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</si>
  <si>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</si>
  <si>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</si>
  <si>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</si>
  <si>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</si>
  <si>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</si>
  <si>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</si>
  <si>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</si>
  <si>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</si>
  <si>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</si>
  <si>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</si>
  <si>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</si>
  <si>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</si>
  <si>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</si>
  <si>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</si>
  <si>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</si>
  <si>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</si>
  <si>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</si>
  <si>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</si>
  <si>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</si>
  <si>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</si>
  <si>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</si>
  <si>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</si>
  <si>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</si>
  <si>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</si>
  <si>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</si>
  <si>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</si>
  <si>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</si>
  <si>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</si>
  <si>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</si>
  <si>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</si>
  <si>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</si>
  <si>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</si>
  <si>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</si>
  <si>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</si>
  <si>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</si>
  <si>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</si>
  <si>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</si>
  <si>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</si>
  <si>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</si>
  <si>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</si>
  <si>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</si>
  <si>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</si>
  <si>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</si>
  <si>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</si>
  <si>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</si>
  <si>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</si>
  <si>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</si>
  <si>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</si>
  <si>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</si>
  <si>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</si>
  <si>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</si>
  <si>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</si>
  <si>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</si>
  <si>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</si>
  <si>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</si>
  <si>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</si>
  <si>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</si>
  <si>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</si>
  <si>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</si>
  <si>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</si>
  <si>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</si>
  <si>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</si>
  <si>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</si>
  <si>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</si>
  <si>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</si>
  <si>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</si>
  <si>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</si>
  <si>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</si>
  <si>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</si>
  <si>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</si>
  <si>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</si>
  <si>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</si>
  <si>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</si>
  <si>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</si>
  <si>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</si>
  <si>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</si>
  <si>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</si>
  <si>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</si>
  <si>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</si>
  <si>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</si>
  <si>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</si>
  <si>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</si>
  <si>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</si>
  <si>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</si>
  <si>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</si>
  <si>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</si>
  <si>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</si>
  <si>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</si>
  <si>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</si>
  <si>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</si>
  <si>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</si>
  <si>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</si>
  <si>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</si>
  <si>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</si>
  <si>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</si>
  <si>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</si>
  <si>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</si>
  <si>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</si>
  <si>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</si>
  <si>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</si>
  <si>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</si>
  <si>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</si>
  <si>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</si>
  <si>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</si>
  <si>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</si>
  <si>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</si>
  <si>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</si>
  <si>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</si>
  <si>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</si>
  <si>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</si>
  <si>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</si>
  <si>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</si>
  <si>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</si>
  <si>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</si>
  <si>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</si>
  <si>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</si>
  <si>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</si>
  <si>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</si>
  <si>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</si>
  <si>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</si>
  <si>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</si>
  <si>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</si>
  <si>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</si>
  <si>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</si>
  <si>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</si>
  <si>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</si>
  <si>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</si>
  <si>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</si>
  <si>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</si>
  <si>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</si>
  <si>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</si>
  <si>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</si>
  <si>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</si>
  <si>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</si>
  <si>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</si>
  <si>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</si>
  <si>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</si>
  <si>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</si>
  <si>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</si>
  <si>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</si>
  <si>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</si>
  <si>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</si>
  <si>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</si>
  <si>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</si>
  <si>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</si>
  <si>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</si>
  <si>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</si>
  <si>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</si>
  <si>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</si>
  <si>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</si>
  <si>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</si>
  <si>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</si>
  <si>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</si>
  <si>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</si>
  <si>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</si>
  <si>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</si>
  <si>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</si>
  <si>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</si>
  <si>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</si>
  <si>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</si>
  <si>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</si>
  <si>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</si>
  <si>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</si>
  <si>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</si>
  <si>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</si>
  <si>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</si>
  <si>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</si>
  <si>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</si>
  <si>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</si>
  <si>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</si>
  <si>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</si>
  <si>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</si>
  <si>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</si>
  <si>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</si>
  <si>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</si>
  <si>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</si>
  <si>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</si>
  <si>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</si>
  <si>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</si>
  <si>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</si>
  <si>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</si>
  <si>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</si>
  <si>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</si>
  <si>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</si>
  <si>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</si>
  <si>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</si>
  <si>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</si>
  <si>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</si>
  <si>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</si>
  <si>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</si>
  <si>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</si>
  <si>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</si>
  <si>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</si>
  <si>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</si>
  <si>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</si>
  <si>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</si>
  <si>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</si>
  <si>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</si>
  <si>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</si>
  <si>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</si>
  <si>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</si>
  <si>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</si>
  <si>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</si>
  <si>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</si>
  <si>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</si>
  <si>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</si>
  <si>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</si>
  <si>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</si>
  <si>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</si>
  <si>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</si>
  <si>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</si>
  <si>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</si>
  <si>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</si>
  <si>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</si>
  <si>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</si>
  <si>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</si>
  <si>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</si>
  <si>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</si>
  <si>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</si>
  <si>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</si>
  <si>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</si>
  <si>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</si>
  <si>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</si>
  <si>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</si>
  <si>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</si>
  <si>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</si>
  <si>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</si>
  <si>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</si>
  <si>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</si>
  <si>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</si>
  <si>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</si>
  <si>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</si>
  <si>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</si>
  <si>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</si>
  <si>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</si>
  <si>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</si>
  <si>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</si>
  <si>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</si>
  <si>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</si>
  <si>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</si>
  <si>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</si>
  <si>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</si>
  <si>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</si>
  <si>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</si>
  <si>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</si>
  <si>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</si>
  <si>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</si>
  <si>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</si>
  <si>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</si>
  <si>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</si>
  <si>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</si>
  <si>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</si>
  <si>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</si>
  <si>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</si>
  <si>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</si>
  <si>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</si>
  <si>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</si>
  <si>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</si>
  <si>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</si>
  <si>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</si>
  <si>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</si>
  <si>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</si>
  <si>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</si>
  <si>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</si>
  <si>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</si>
  <si>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</si>
  <si>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</si>
  <si>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</si>
  <si>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</si>
  <si>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</si>
  <si>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</si>
  <si>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</si>
  <si>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</si>
  <si>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</si>
  <si>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</si>
  <si>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</si>
  <si>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</si>
  <si>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</si>
  <si>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</si>
  <si>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</si>
  <si>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</si>
  <si>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</si>
  <si>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</si>
  <si>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</si>
  <si>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</si>
  <si>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</si>
  <si>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</si>
  <si>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</si>
  <si>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</si>
  <si>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</si>
  <si>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</si>
  <si>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</si>
  <si>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</si>
  <si>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</si>
  <si>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</si>
  <si>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</si>
  <si>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</si>
  <si>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</si>
  <si>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</si>
  <si>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</si>
  <si>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</si>
  <si>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</si>
  <si>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</si>
  <si>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</si>
  <si>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</si>
  <si>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</si>
  <si>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</si>
  <si>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</si>
  <si>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</si>
  <si>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</si>
  <si>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</si>
  <si>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</si>
  <si>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</si>
  <si>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</si>
  <si>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</si>
  <si>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</si>
  <si>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</si>
  <si>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</si>
  <si>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</si>
  <si>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</si>
  <si>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</si>
  <si>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</si>
  <si>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</si>
  <si>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</si>
  <si>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</si>
  <si>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</si>
  <si>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</si>
  <si>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</si>
  <si>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</si>
  <si>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</si>
  <si>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</si>
  <si>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</si>
  <si>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</si>
  <si>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</si>
  <si>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</si>
  <si>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</si>
  <si>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</si>
  <si>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</si>
  <si>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</si>
  <si>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</si>
  <si>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</si>
  <si>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</si>
  <si>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</si>
  <si>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</si>
  <si>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</si>
  <si>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</si>
  <si>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</si>
  <si>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</si>
  <si>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</si>
  <si>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</si>
  <si>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</si>
  <si>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</si>
  <si>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</si>
  <si>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</si>
  <si>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</si>
  <si>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</si>
  <si>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</si>
  <si>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</si>
  <si>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</si>
  <si>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</si>
  <si>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</si>
  <si>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</si>
  <si>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</si>
  <si>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</si>
  <si>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</si>
  <si>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</si>
  <si>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</si>
  <si>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</si>
  <si>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</si>
  <si>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</si>
  <si>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</si>
  <si>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</si>
  <si>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</si>
  <si>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</si>
  <si>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</si>
  <si>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</si>
  <si>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</si>
  <si>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</si>
  <si>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</si>
  <si>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</si>
  <si>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</si>
  <si>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</si>
  <si>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</si>
  <si>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</si>
  <si>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</si>
  <si>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</si>
  <si>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</si>
  <si>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</si>
  <si>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</si>
  <si>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</si>
  <si>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</si>
  <si>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</si>
  <si>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</si>
  <si>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</si>
  <si>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</si>
  <si>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</si>
  <si>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</si>
  <si>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</si>
  <si>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</si>
  <si>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</si>
  <si>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</si>
  <si>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</si>
  <si>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</si>
  <si>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</si>
  <si>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</si>
  <si>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</si>
  <si>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</si>
  <si>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</si>
  <si>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</si>
  <si>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</si>
  <si>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</si>
  <si>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</si>
  <si>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</si>
  <si>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</si>
  <si>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</si>
  <si>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</si>
  <si>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</si>
  <si>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</si>
  <si>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</si>
  <si>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</si>
  <si>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</si>
  <si>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</si>
  <si>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</si>
  <si>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</si>
  <si>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</si>
  <si>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</si>
  <si>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</si>
  <si>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</si>
  <si>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</si>
  <si>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</si>
  <si>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</si>
  <si>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</si>
  <si>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</si>
  <si>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</si>
  <si>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</si>
  <si>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</si>
  <si>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</si>
  <si>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</si>
  <si>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</si>
  <si>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</si>
  <si>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</si>
  <si>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</si>
  <si>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</si>
  <si>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</si>
  <si>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</si>
  <si>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</si>
  <si>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</si>
  <si>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</si>
  <si>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</si>
  <si>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</si>
  <si>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</si>
  <si>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</si>
  <si>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</si>
  <si>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</si>
  <si>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</si>
  <si>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</si>
  <si>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</si>
  <si>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</si>
  <si>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</si>
  <si>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</si>
  <si>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</si>
  <si>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</si>
  <si>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</si>
  <si>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</si>
  <si>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</si>
  <si>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</si>
  <si>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</si>
  <si>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</si>
  <si>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</si>
  <si>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</si>
  <si>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</si>
  <si>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</si>
  <si>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</si>
  <si>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</si>
  <si>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</si>
  <si>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</si>
  <si>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</si>
  <si>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</si>
  <si>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</si>
  <si>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</si>
  <si>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</si>
  <si>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</si>
  <si>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</si>
  <si>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</si>
  <si>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</si>
  <si>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</si>
  <si>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</si>
  <si>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</si>
  <si>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</si>
  <si>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</si>
  <si>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</si>
  <si>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</si>
  <si>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</si>
  <si>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</si>
  <si>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</si>
  <si>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</si>
  <si>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</si>
  <si>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</si>
  <si>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</si>
  <si>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</si>
  <si>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</si>
  <si>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</si>
  <si>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</si>
  <si>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</si>
  <si>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</si>
  <si>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</si>
  <si>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</si>
  <si>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</si>
  <si>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</si>
  <si>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</si>
  <si>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</si>
  <si>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</si>
  <si>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</si>
  <si>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</si>
  <si>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</si>
  <si>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</si>
  <si>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</si>
  <si>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</si>
  <si>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</si>
  <si>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</si>
  <si>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</si>
  <si>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</si>
  <si>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</si>
  <si>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</si>
  <si>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</si>
  <si>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</si>
  <si>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</si>
  <si>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</si>
  <si>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</si>
  <si>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</si>
  <si>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</si>
  <si>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</si>
  <si>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</si>
  <si>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</si>
  <si>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</si>
  <si>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</si>
  <si>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</si>
  <si>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</si>
  <si>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</si>
  <si>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</si>
  <si>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</si>
  <si>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</si>
  <si>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</si>
  <si>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</si>
  <si>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</si>
  <si>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</si>
  <si>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</si>
  <si>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</si>
  <si>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</si>
  <si>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</si>
  <si>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</si>
  <si>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</si>
  <si>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</si>
  <si>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</si>
  <si>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</si>
  <si>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</si>
  <si>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</si>
  <si>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</si>
  <si>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</si>
  <si>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</si>
  <si>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</si>
  <si>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</si>
  <si>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</si>
  <si>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</si>
  <si>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</si>
  <si>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</si>
  <si>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</si>
  <si>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</si>
  <si>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</si>
  <si>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</si>
  <si>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</si>
  <si>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</si>
  <si>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</si>
  <si>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</si>
  <si>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</si>
  <si>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</si>
  <si>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</si>
  <si>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</si>
  <si>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</si>
  <si>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</si>
  <si>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</si>
  <si>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</si>
  <si>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</si>
  <si>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</si>
  <si>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</si>
  <si>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</si>
  <si>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</si>
  <si>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</si>
  <si>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</si>
  <si>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</si>
  <si>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</si>
  <si>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</si>
  <si>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</si>
  <si>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</si>
  <si>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</si>
  <si>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</si>
  <si>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</si>
  <si>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</si>
  <si>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</si>
  <si>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</si>
  <si>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</si>
  <si>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</si>
  <si>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</si>
  <si>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</si>
  <si>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</si>
  <si>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</si>
  <si>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</si>
  <si>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</si>
  <si>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</si>
  <si>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</si>
  <si>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</si>
  <si>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</si>
  <si>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</si>
  <si>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</si>
  <si>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</si>
  <si>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</si>
  <si>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</si>
  <si>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</si>
  <si>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</si>
  <si>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</si>
  <si>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</si>
  <si>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</si>
  <si>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</si>
  <si>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</si>
  <si>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</si>
  <si>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</si>
  <si>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</si>
  <si>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</si>
  <si>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</si>
  <si>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</si>
  <si>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</si>
  <si>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</si>
  <si>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</si>
  <si>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</si>
  <si>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</si>
  <si>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</si>
  <si>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</si>
  <si>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</si>
  <si>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</si>
  <si>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</si>
  <si>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</si>
  <si>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</si>
  <si>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</si>
  <si>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</si>
  <si>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</si>
  <si>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</si>
  <si>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</si>
  <si>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</si>
  <si>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</si>
  <si>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</si>
  <si>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</si>
  <si>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</si>
  <si>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</si>
  <si>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</si>
  <si>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</si>
  <si>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</si>
  <si>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</si>
  <si>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</si>
  <si>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</si>
  <si>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</si>
  <si>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</si>
  <si>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</si>
  <si>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</si>
  <si>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</si>
  <si>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</si>
  <si>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</si>
  <si>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</si>
  <si>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</si>
  <si>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</si>
  <si>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</si>
  <si>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</si>
  <si>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</si>
  <si>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</si>
  <si>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</si>
  <si>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</si>
  <si>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</si>
  <si>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</si>
  <si>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</si>
  <si>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</si>
  <si>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</si>
  <si>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</si>
  <si>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</si>
  <si>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</si>
  <si>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</si>
  <si>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</si>
  <si>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</si>
  <si>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</si>
  <si>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</si>
  <si>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</si>
  <si>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</si>
  <si>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</si>
  <si>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</si>
  <si>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</si>
  <si>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</si>
  <si>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</si>
  <si>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</si>
  <si>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</si>
  <si>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</si>
  <si>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</si>
  <si>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</si>
  <si>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</si>
  <si>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</si>
  <si>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</si>
  <si>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</si>
  <si>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</si>
  <si>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</si>
  <si>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</si>
  <si>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</si>
  <si>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</si>
  <si>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</si>
  <si>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</si>
  <si>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</si>
  <si>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</si>
  <si>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</si>
  <si>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</si>
  <si>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</si>
  <si>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</si>
  <si>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</si>
  <si>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</si>
  <si>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</si>
  <si>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</si>
  <si>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</si>
  <si>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</si>
  <si>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</si>
  <si>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</si>
  <si>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</si>
  <si>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</si>
  <si>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</si>
  <si>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</si>
  <si>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</si>
  <si>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</si>
  <si>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</si>
  <si>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</si>
  <si>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</si>
  <si>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</si>
  <si>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</si>
  <si>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</si>
  <si>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</si>
  <si>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</si>
  <si>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</si>
  <si>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</si>
  <si>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</si>
  <si>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</si>
  <si>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</si>
  <si>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</si>
  <si>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</si>
  <si>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</si>
  <si>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</si>
  <si>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</si>
  <si>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</si>
  <si>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</si>
  <si>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</si>
  <si>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</si>
  <si>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</si>
  <si>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</si>
  <si>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</si>
  <si>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</si>
  <si>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</si>
  <si>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</si>
  <si>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</si>
  <si>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</si>
  <si>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</si>
  <si>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</si>
  <si>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</si>
  <si>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</si>
  <si>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</si>
  <si>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</si>
  <si>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</si>
  <si>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</si>
  <si>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</si>
  <si>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</si>
  <si>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</si>
  <si>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</si>
  <si>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</si>
  <si>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</si>
  <si>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</si>
  <si>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</si>
  <si>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</si>
  <si>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</si>
  <si>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</si>
  <si>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</si>
  <si>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</si>
  <si>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</si>
  <si>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</si>
  <si>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</si>
  <si>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</si>
  <si>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</si>
  <si>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</si>
  <si>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</si>
  <si>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</si>
  <si>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</si>
  <si>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</si>
  <si>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</si>
  <si>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</si>
  <si>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</si>
  <si>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</si>
  <si>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</si>
  <si>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</si>
  <si>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</si>
  <si>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</si>
  <si>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</si>
  <si>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</si>
  <si>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</si>
  <si>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</si>
  <si>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</si>
  <si>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</si>
  <si>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</si>
  <si>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</si>
  <si>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</si>
  <si>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</si>
  <si>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</si>
  <si>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</si>
  <si>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</si>
  <si>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</si>
  <si>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</si>
  <si>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</si>
  <si>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</si>
  <si>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</si>
  <si>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</si>
  <si>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</si>
  <si>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</si>
  <si>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</si>
  <si>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</si>
  <si>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</si>
  <si>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</si>
  <si>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</si>
  <si>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</si>
  <si>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</si>
  <si>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</si>
  <si>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</si>
  <si>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</si>
  <si>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</si>
  <si>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</si>
  <si>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</si>
  <si>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</si>
  <si>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</si>
  <si>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</si>
  <si>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</si>
  <si>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</si>
  <si>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</si>
  <si>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</si>
  <si>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</si>
  <si>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</si>
  <si>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</si>
  <si>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</si>
  <si>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</si>
  <si>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</si>
  <si>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</si>
  <si>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</si>
  <si>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</si>
  <si>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</si>
  <si>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</si>
  <si>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</si>
  <si>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</si>
  <si>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</si>
  <si>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</si>
  <si>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</si>
  <si>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</si>
  <si>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</si>
  <si>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</si>
  <si>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</si>
  <si>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</si>
  <si>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</si>
  <si>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</si>
  <si>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</si>
  <si>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</si>
  <si>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</si>
  <si>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</si>
  <si>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</si>
  <si>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</si>
  <si>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</si>
  <si>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</si>
  <si>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</si>
  <si>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</si>
  <si>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</si>
  <si>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</si>
  <si>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</si>
  <si>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</si>
  <si>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</si>
  <si>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</si>
  <si>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</si>
  <si>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</si>
  <si>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</si>
  <si>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</si>
  <si>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</si>
  <si>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</si>
  <si>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</si>
  <si>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</si>
  <si>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</si>
  <si>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</si>
  <si>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</si>
  <si>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</si>
  <si>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</si>
  <si>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</si>
  <si>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</si>
  <si>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</si>
  <si>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</si>
  <si>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</si>
  <si>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</si>
  <si>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</si>
  <si>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</si>
  <si>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</si>
  <si>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</si>
  <si>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</si>
  <si>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</si>
  <si>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</si>
  <si>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</si>
  <si>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</si>
  <si>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</si>
  <si>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</si>
  <si>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</si>
  <si>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</si>
  <si>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</si>
  <si>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</si>
  <si>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</si>
  <si>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</si>
  <si>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</si>
  <si>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</si>
  <si>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</si>
  <si>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</si>
  <si>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</si>
  <si>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</si>
  <si>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</si>
  <si>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企业</t>
  </si>
  <si>
    <t>出让</t>
  </si>
  <si>
    <t>正常</t>
  </si>
  <si>
    <t>押一</t>
  </si>
  <si>
    <t>北京龙熙房地产开发有限责任公司</t>
    <phoneticPr fontId="6" type="noConversion"/>
  </si>
  <si>
    <t>北京市</t>
  </si>
  <si>
    <r>
      <rPr>
        <sz val="12"/>
        <color theme="9" tint="-0.249977111117893"/>
        <rFont val="宋体"/>
        <family val="3"/>
        <charset val="134"/>
      </rPr>
      <t>大兴区黄村镇兴华中路</t>
    </r>
    <r>
      <rPr>
        <sz val="12"/>
        <color theme="9" tint="-0.249977111117893"/>
        <rFont val="Arial"/>
        <family val="2"/>
      </rPr>
      <t>13</t>
    </r>
    <r>
      <rPr>
        <sz val="12"/>
        <color theme="9" tint="-0.249977111117893"/>
        <rFont val="宋体"/>
        <family val="3"/>
        <charset val="134"/>
      </rPr>
      <t>号，商业娱乐</t>
    </r>
    <phoneticPr fontId="6" type="noConversion"/>
  </si>
  <si>
    <r>
      <rPr>
        <sz val="12"/>
        <color theme="9" tint="-0.249977111117893"/>
        <rFont val="宋体"/>
        <family val="3"/>
        <charset val="134"/>
      </rPr>
      <t>商业</t>
    </r>
    <r>
      <rPr>
        <sz val="12"/>
        <color theme="9" tint="-0.249977111117893"/>
        <rFont val="Arial"/>
        <family val="2"/>
      </rPr>
      <t>24.31</t>
    </r>
    <r>
      <rPr>
        <sz val="12"/>
        <color theme="9" tint="-0.249977111117893"/>
        <rFont val="宋体"/>
        <family val="3"/>
        <charset val="134"/>
      </rPr>
      <t>年，办公</t>
    </r>
    <r>
      <rPr>
        <sz val="12"/>
        <color theme="9" tint="-0.249977111117893"/>
        <rFont val="Arial"/>
        <family val="2"/>
      </rPr>
      <t>34.32</t>
    </r>
    <r>
      <rPr>
        <sz val="12"/>
        <color theme="9" tint="-0.249977111117893"/>
        <rFont val="宋体"/>
        <family val="3"/>
        <charset val="134"/>
      </rPr>
      <t>年，车库</t>
    </r>
    <r>
      <rPr>
        <sz val="12"/>
        <color theme="9" tint="-0.249977111117893"/>
        <rFont val="Arial"/>
        <family val="2"/>
      </rPr>
      <t>34.32</t>
    </r>
    <r>
      <rPr>
        <sz val="12"/>
        <color theme="9" tint="-0.249977111117893"/>
        <rFont val="宋体"/>
        <family val="3"/>
        <charset val="134"/>
      </rPr>
      <t>年</t>
    </r>
    <phoneticPr fontId="6" type="noConversion"/>
  </si>
  <si>
    <t>否</t>
  </si>
  <si>
    <t>序号</t>
    <phoneticPr fontId="143" type="noConversion"/>
  </si>
  <si>
    <t>名称</t>
    <phoneticPr fontId="143" type="noConversion"/>
  </si>
  <si>
    <t>建筑面积</t>
    <phoneticPr fontId="143" type="noConversion"/>
  </si>
  <si>
    <t>层数</t>
    <phoneticPr fontId="143" type="noConversion"/>
  </si>
  <si>
    <t>合计</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</si>
  <si>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</si>
  <si>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</si>
  <si>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</si>
  <si>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</si>
  <si>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#-A办公楼</t>
    </r>
    <phoneticPr fontId="143" type="noConversion"/>
  </si>
  <si>
    <t>1#-B办公楼</t>
    <phoneticPr fontId="143" type="noConversion"/>
  </si>
  <si>
    <t>1#-C办公楼</t>
    <phoneticPr fontId="143" type="noConversion"/>
  </si>
  <si>
    <t>2#-商业1</t>
    <phoneticPr fontId="143" type="noConversion"/>
  </si>
  <si>
    <t>2#-商业2</t>
  </si>
  <si>
    <t>2#-商业3</t>
  </si>
  <si>
    <t>地下建筑</t>
    <phoneticPr fontId="143" type="noConversion"/>
  </si>
  <si>
    <t>独立商业</t>
  </si>
  <si>
    <t>办公楼</t>
  </si>
  <si>
    <t>车库</t>
  </si>
  <si>
    <t>商业</t>
    <phoneticPr fontId="7" type="noConversion"/>
  </si>
  <si>
    <t>工程进度</t>
  </si>
  <si>
    <t>收益法</t>
  </si>
  <si>
    <t>在建（套用方法）</t>
  </si>
  <si>
    <t>商务金融用地（商业类）</t>
  </si>
  <si>
    <t>六通一平</t>
  </si>
  <si>
    <t>缺少</t>
  </si>
  <si>
    <t>通热</t>
  </si>
  <si>
    <t>Ⅶ-兴1</t>
  </si>
  <si>
    <t>通路</t>
  </si>
  <si>
    <t>通电</t>
  </si>
  <si>
    <t>通讯</t>
  </si>
  <si>
    <t>通上水</t>
  </si>
  <si>
    <t>通下水</t>
  </si>
  <si>
    <t>燃气</t>
  </si>
  <si>
    <t>在建</t>
  </si>
  <si>
    <t>商业项目</t>
  </si>
  <si>
    <t>商场</t>
  </si>
  <si>
    <t>较好</t>
  </si>
  <si>
    <t>好</t>
  </si>
  <si>
    <t>无</t>
  </si>
  <si>
    <t>500米范围内</t>
  </si>
  <si>
    <t>未包含在土地购买价格中</t>
  </si>
  <si>
    <t>全部缴纳</t>
  </si>
  <si>
    <t>已包含在土地取得成本中</t>
  </si>
  <si>
    <t>钢混</t>
  </si>
  <si>
    <t>非生产用房</t>
  </si>
  <si>
    <t>是</t>
  </si>
  <si>
    <t>层数</t>
    <phoneticPr fontId="3" type="noConversion"/>
  </si>
  <si>
    <t>面积</t>
    <phoneticPr fontId="3" type="noConversion"/>
  </si>
  <si>
    <t>系数</t>
    <phoneticPr fontId="3" type="noConversion"/>
  </si>
  <si>
    <t>租金</t>
    <phoneticPr fontId="3" type="noConversion"/>
  </si>
  <si>
    <t>面积占比</t>
    <phoneticPr fontId="3" type="noConversion"/>
  </si>
  <si>
    <t>成本法</t>
  </si>
  <si>
    <t>假设开发法</t>
  </si>
  <si>
    <t>楼层修正</t>
  </si>
  <si>
    <t>项目局部</t>
  </si>
  <si>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</si>
  <si>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phoneticPr fontId="6" type="noConversion"/>
  </si>
  <si>
    <t>成本比率</t>
  </si>
  <si>
    <t>兴华大街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</si>
  <si>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</si>
  <si>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</si>
  <si>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</si>
  <si>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</si>
  <si>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</si>
  <si>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</si>
  <si>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</si>
  <si>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</si>
  <si>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</si>
  <si>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</si>
  <si>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</si>
  <si>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</si>
  <si>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</si>
  <si>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北京经济技术开发区路东区C14C-1、C14C-2、C14S-1地块B4综合性商业金融服务业用地及S41公用停车场用地</t>
  </si>
  <si>
    <t>商业/办公用地</t>
  </si>
  <si>
    <t>挂牌</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</si>
  <si>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</si>
  <si>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</si>
  <si>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</si>
  <si>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</si>
  <si>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</si>
  <si>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</si>
  <si>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</si>
  <si>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</si>
  <si>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</si>
  <si>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</si>
  <si>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</si>
  <si>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</si>
  <si>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</si>
  <si>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</si>
  <si>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</si>
  <si>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</si>
  <si>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</si>
  <si>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</si>
  <si>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</si>
  <si>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</si>
  <si>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</si>
  <si>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</si>
  <si>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</si>
  <si>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</si>
  <si>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</si>
  <si>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</si>
  <si>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</si>
  <si>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</si>
  <si>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</si>
  <si>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</si>
  <si>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</si>
  <si>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</si>
  <si>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</si>
  <si>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</si>
  <si>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</si>
  <si>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</si>
  <si>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</si>
  <si>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</si>
  <si>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推出楼面价(元/㎡)</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</si>
  <si>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</si>
  <si>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</si>
  <si>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</si>
  <si>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</si>
  <si>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</si>
  <si>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</si>
  <si>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</si>
  <si>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</si>
  <si>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</si>
  <si>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</si>
  <si>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</si>
  <si>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</si>
  <si>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</si>
  <si>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</si>
  <si>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</si>
  <si>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</si>
  <si>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</si>
  <si>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</si>
  <si>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</si>
  <si>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</si>
  <si>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</si>
  <si>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</si>
  <si>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</si>
  <si>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</si>
  <si>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</si>
  <si>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</si>
  <si>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</si>
  <si>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</si>
  <si>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</si>
  <si>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</si>
  <si>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</si>
  <si>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</si>
  <si>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</si>
  <si>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</si>
  <si>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</si>
  <si>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</si>
  <si>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</si>
  <si>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</si>
  <si>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</si>
  <si>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房山</t>
    <phoneticPr fontId="143" type="noConversion"/>
  </si>
  <si>
    <t>大兴</t>
    <phoneticPr fontId="143" type="noConversion"/>
  </si>
  <si>
    <t>大兴区黄村镇兴华大街DX00-0202-0307地块</t>
    <phoneticPr fontId="143" type="noConversion"/>
  </si>
  <si>
    <t>正常</t>
    <phoneticPr fontId="31" type="noConversion"/>
  </si>
  <si>
    <r>
      <rPr>
        <sz val="11"/>
        <rFont val="宋体"/>
        <family val="3"/>
        <charset val="134"/>
      </rPr>
      <t>商业</t>
    </r>
    <r>
      <rPr>
        <sz val="11"/>
        <rFont val="Arial"/>
        <family val="2"/>
      </rPr>
      <t>/</t>
    </r>
    <r>
      <rPr>
        <sz val="11"/>
        <rFont val="宋体"/>
        <family val="3"/>
        <charset val="134"/>
      </rPr>
      <t>办公</t>
    </r>
    <phoneticPr fontId="31" type="noConversion"/>
  </si>
  <si>
    <t>商业/办公</t>
  </si>
  <si>
    <t>20-30</t>
    <phoneticPr fontId="31" type="noConversion"/>
  </si>
  <si>
    <t>30-40</t>
    <phoneticPr fontId="31" type="noConversion"/>
  </si>
  <si>
    <t>七通</t>
  </si>
  <si>
    <t>一般</t>
  </si>
  <si>
    <t>较好</t>
    <phoneticPr fontId="31" type="noConversion"/>
  </si>
  <si>
    <t>双面临街</t>
  </si>
  <si>
    <t>七通</t>
    <phoneticPr fontId="31" type="noConversion"/>
  </si>
  <si>
    <t>六通</t>
  </si>
  <si>
    <t>六通</t>
    <phoneticPr fontId="31" type="noConversion"/>
  </si>
  <si>
    <t>五通</t>
    <phoneticPr fontId="31" type="noConversion"/>
  </si>
  <si>
    <t>四通</t>
    <phoneticPr fontId="31" type="noConversion"/>
  </si>
  <si>
    <t>单面临街</t>
  </si>
  <si>
    <t>主干道</t>
  </si>
  <si>
    <t>主干道</t>
    <phoneticPr fontId="31" type="noConversion"/>
  </si>
  <si>
    <t>次干道</t>
    <phoneticPr fontId="31" type="noConversion"/>
  </si>
  <si>
    <t>支路</t>
    <phoneticPr fontId="31" type="noConversion"/>
  </si>
  <si>
    <t>七级</t>
    <phoneticPr fontId="31" type="noConversion"/>
  </si>
  <si>
    <t>八级</t>
    <phoneticPr fontId="31" type="noConversion"/>
  </si>
  <si>
    <t>九级</t>
    <phoneticPr fontId="31" type="noConversion"/>
  </si>
  <si>
    <t>较规则</t>
  </si>
  <si>
    <t>较规则</t>
    <phoneticPr fontId="31" type="noConversion"/>
  </si>
  <si>
    <t>兴华大街</t>
    <phoneticPr fontId="31" type="noConversion"/>
  </si>
  <si>
    <t>兴华大街</t>
    <phoneticPr fontId="31" type="noConversion"/>
  </si>
  <si>
    <t>良乡西路</t>
    <phoneticPr fontId="31" type="noConversion"/>
  </si>
  <si>
    <t>良乡西路</t>
    <phoneticPr fontId="31" type="noConversion"/>
  </si>
  <si>
    <t>三通</t>
  </si>
  <si>
    <t>三通</t>
    <phoneticPr fontId="31" type="noConversion"/>
  </si>
  <si>
    <t>楼层</t>
    <phoneticPr fontId="143" type="noConversion"/>
  </si>
  <si>
    <t>名称</t>
    <phoneticPr fontId="143" type="noConversion"/>
  </si>
  <si>
    <t>面积</t>
    <phoneticPr fontId="143" type="noConversion"/>
  </si>
  <si>
    <t>租金</t>
    <phoneticPr fontId="143" type="noConversion"/>
  </si>
  <si>
    <t>绿地中央广场</t>
    <phoneticPr fontId="143" type="noConversion"/>
  </si>
  <si>
    <t>大兴区枣园</t>
    <phoneticPr fontId="143" type="noConversion"/>
  </si>
  <si>
    <t>中海国际港</t>
    <phoneticPr fontId="143" type="noConversion"/>
  </si>
  <si>
    <r>
      <t>1至</t>
    </r>
    <r>
      <rPr>
        <sz val="11"/>
        <color theme="1"/>
        <rFont val="宋体"/>
        <family val="3"/>
        <charset val="134"/>
        <scheme val="minor"/>
      </rPr>
      <t>2</t>
    </r>
    <phoneticPr fontId="143" type="noConversion"/>
  </si>
  <si>
    <t>中海国际港</t>
    <phoneticPr fontId="143" type="noConversion"/>
  </si>
  <si>
    <t>地价指数</t>
  </si>
  <si>
    <t>地上</t>
    <phoneticPr fontId="8" type="noConversion"/>
  </si>
  <si>
    <t>地下</t>
    <phoneticPr fontId="8" type="noConversion"/>
  </si>
  <si>
    <t>仅含出让金</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</si>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</sst>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101" fillId="0" borderId="0" xfId="0" applyFont="1">
      <alignment vertical="center"/>
    </xf>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0" fillId="5" borderId="0" xfId="0" applyFill="1" applyAlignment="1"/>
    <xf numFmtId="0" fontId="99" fillId="5" borderId="0" xfId="0" applyFont="1" applyFill="1" applyAlignment="1"/>
    <xf numFmtId="0" fontId="0" fillId="0" borderId="0" xfId="0" applyFill="1" applyAlignment="1"/>
    <xf numFmtId="49" fontId="137" fillId="2" borderId="26"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58" fontId="99" fillId="0" borderId="0" xfId="0" applyNumberFormat="1" applyFont="1">
      <alignment vertical="center"/>
    </xf>
    <xf numFmtId="179" fontId="56" fillId="0" borderId="1" xfId="1" applyNumberFormat="1" applyFont="1" applyFill="1" applyBorder="1" applyAlignment="1" applyProtection="1">
      <alignment horizontal="center"/>
    </xf>
    <xf numFmtId="176" fontId="50" fillId="0" borderId="1" xfId="0" applyNumberFormat="1" applyFont="1" applyFill="1" applyBorder="1" applyAlignment="1" applyProtection="1">
      <alignment vertical="center" wrapText="1"/>
      <protection locked="0"/>
    </xf>
    <xf numFmtId="0" fontId="50" fillId="0" borderId="24" xfId="0" applyFont="1" applyFill="1" applyBorder="1" applyProtection="1">
      <alignment vertical="center"/>
      <protection locked="0"/>
    </xf>
    <xf numFmtId="0" fontId="50" fillId="5"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2" fillId="7" borderId="0" xfId="0"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3</xdr:col>
      <xdr:colOff>523875</xdr:colOff>
      <xdr:row>19</xdr:row>
      <xdr:rowOff>160862</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57150"/>
          <a:ext cx="3190875" cy="3361262"/>
        </a:xfrm>
        <a:prstGeom prst="rect">
          <a:avLst/>
        </a:prstGeom>
      </xdr:spPr>
    </xdr:pic>
    <xdr:clientData/>
  </xdr:twoCellAnchor>
  <xdr:twoCellAnchor editAs="oneCell">
    <xdr:from>
      <xdr:col>4</xdr:col>
      <xdr:colOff>447675</xdr:colOff>
      <xdr:row>14</xdr:row>
      <xdr:rowOff>19051</xdr:rowOff>
    </xdr:from>
    <xdr:to>
      <xdr:col>9</xdr:col>
      <xdr:colOff>190500</xdr:colOff>
      <xdr:row>24</xdr:row>
      <xdr:rowOff>169305</xdr:rowOff>
    </xdr:to>
    <xdr:pic>
      <xdr:nvPicPr>
        <xdr:cNvPr id="4" name="图片 3"/>
        <xdr:cNvPicPr>
          <a:picLocks noChangeAspect="1"/>
        </xdr:cNvPicPr>
      </xdr:nvPicPr>
      <xdr:blipFill>
        <a:blip xmlns:r="http://schemas.openxmlformats.org/officeDocument/2006/relationships" r:embed="rId2"/>
        <a:stretch>
          <a:fillRect/>
        </a:stretch>
      </xdr:blipFill>
      <xdr:spPr>
        <a:xfrm>
          <a:off x="3190875" y="2419351"/>
          <a:ext cx="3171825" cy="1864754"/>
        </a:xfrm>
        <a:prstGeom prst="rect">
          <a:avLst/>
        </a:prstGeom>
      </xdr:spPr>
    </xdr:pic>
    <xdr:clientData/>
  </xdr:twoCellAnchor>
  <xdr:twoCellAnchor editAs="oneCell">
    <xdr:from>
      <xdr:col>4</xdr:col>
      <xdr:colOff>466725</xdr:colOff>
      <xdr:row>0</xdr:row>
      <xdr:rowOff>28575</xdr:rowOff>
    </xdr:from>
    <xdr:to>
      <xdr:col>9</xdr:col>
      <xdr:colOff>251840</xdr:colOff>
      <xdr:row>14</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3209925" y="28575"/>
          <a:ext cx="3214115" cy="2466975"/>
        </a:xfrm>
        <a:prstGeom prst="rect">
          <a:avLst/>
        </a:prstGeom>
      </xdr:spPr>
    </xdr:pic>
    <xdr:clientData/>
  </xdr:twoCellAnchor>
  <xdr:twoCellAnchor editAs="oneCell">
    <xdr:from>
      <xdr:col>9</xdr:col>
      <xdr:colOff>238125</xdr:colOff>
      <xdr:row>0</xdr:row>
      <xdr:rowOff>0</xdr:rowOff>
    </xdr:from>
    <xdr:to>
      <xdr:col>15</xdr:col>
      <xdr:colOff>638175</xdr:colOff>
      <xdr:row>25</xdr:row>
      <xdr:rowOff>13877</xdr:rowOff>
    </xdr:to>
    <xdr:pic>
      <xdr:nvPicPr>
        <xdr:cNvPr id="6" name="图片 5"/>
        <xdr:cNvPicPr>
          <a:picLocks noChangeAspect="1"/>
        </xdr:cNvPicPr>
      </xdr:nvPicPr>
      <xdr:blipFill>
        <a:blip xmlns:r="http://schemas.openxmlformats.org/officeDocument/2006/relationships" r:embed="rId4"/>
        <a:stretch>
          <a:fillRect/>
        </a:stretch>
      </xdr:blipFill>
      <xdr:spPr>
        <a:xfrm>
          <a:off x="6410325" y="0"/>
          <a:ext cx="4514850" cy="4300127"/>
        </a:xfrm>
        <a:prstGeom prst="rect">
          <a:avLst/>
        </a:prstGeom>
      </xdr:spPr>
    </xdr:pic>
    <xdr:clientData/>
  </xdr:twoCellAnchor>
  <xdr:twoCellAnchor editAs="oneCell">
    <xdr:from>
      <xdr:col>0</xdr:col>
      <xdr:colOff>0</xdr:colOff>
      <xdr:row>18</xdr:row>
      <xdr:rowOff>152401</xdr:rowOff>
    </xdr:from>
    <xdr:to>
      <xdr:col>4</xdr:col>
      <xdr:colOff>576738</xdr:colOff>
      <xdr:row>40</xdr:row>
      <xdr:rowOff>133351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38501"/>
          <a:ext cx="4005738" cy="3752850"/>
        </a:xfrm>
        <a:prstGeom prst="rect">
          <a:avLst/>
        </a:prstGeom>
      </xdr:spPr>
    </xdr:pic>
    <xdr:clientData/>
  </xdr:twoCellAnchor>
  <xdr:twoCellAnchor editAs="oneCell">
    <xdr:from>
      <xdr:col>5</xdr:col>
      <xdr:colOff>9525</xdr:colOff>
      <xdr:row>20</xdr:row>
      <xdr:rowOff>0</xdr:rowOff>
    </xdr:from>
    <xdr:to>
      <xdr:col>10</xdr:col>
      <xdr:colOff>518014</xdr:colOff>
      <xdr:row>41</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4124325" y="3429000"/>
          <a:ext cx="3937489" cy="3667125"/>
        </a:xfrm>
        <a:prstGeom prst="rect">
          <a:avLst/>
        </a:prstGeom>
      </xdr:spPr>
    </xdr:pic>
    <xdr:clientData/>
  </xdr:twoCellAnchor>
  <xdr:twoCellAnchor editAs="oneCell">
    <xdr:from>
      <xdr:col>0</xdr:col>
      <xdr:colOff>0</xdr:colOff>
      <xdr:row>49</xdr:row>
      <xdr:rowOff>0</xdr:rowOff>
    </xdr:from>
    <xdr:to>
      <xdr:col>6</xdr:col>
      <xdr:colOff>323850</xdr:colOff>
      <xdr:row>69</xdr:row>
      <xdr:rowOff>74618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01050"/>
          <a:ext cx="5124450" cy="35036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北京市大兴区黄村镇兴华中路13号，商业娱乐出让国有建设用地使用权及在建建筑物房地产抵押价值预评估</v>
      </c>
    </row>
    <row r="3" spans="1:2" s="1596" customFormat="1">
      <c r="A3" s="1594" t="s">
        <v>1222</v>
      </c>
      <c r="B3" s="1595">
        <f>'预评函-封皮'!B40</f>
        <v>0</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受贵公司委托，我公司对北京市大兴区黄村镇兴华中路13号，商业娱乐出让国有建设用地使用权及在建建筑物房地产抵押价值进行了预评估。</v>
      </c>
    </row>
    <row r="7" spans="1:2" s="1596" customFormat="1">
      <c r="A7" s="1594" t="s">
        <v>1265</v>
      </c>
      <c r="B7" s="1595" t="str">
        <f>'预评函-1'!A7</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1227</v>
      </c>
      <c r="B12" s="1595" t="str">
        <f>'预评函-1'!A15</f>
        <v>2018年1月5日（评估专业人员实地查勘之日）</v>
      </c>
    </row>
    <row r="13" spans="1:2" s="1596" customFormat="1">
      <c r="A13" s="1594" t="s">
        <v>1228</v>
      </c>
      <c r="B13" s="1595" t="str">
        <f>'预评函-1'!A18</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本次评估采用的主估价方法为成本法和假设开发法。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14195</v>
      </c>
    </row>
    <row r="21" spans="1:2" s="1596" customFormat="1">
      <c r="A21" s="1594" t="s">
        <v>1236</v>
      </c>
      <c r="B21" s="1595">
        <f ca="1">'预评函-2'!D7</f>
        <v>25260</v>
      </c>
    </row>
    <row r="22" spans="1:2" s="1596" customFormat="1">
      <c r="A22" s="1594" t="s">
        <v>1237</v>
      </c>
      <c r="B22" s="1595" t="str">
        <f ca="1">'预评函-2'!D6</f>
        <v>壹亿肆仟壹佰玖拾伍万元整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14195</v>
      </c>
    </row>
    <row r="31" spans="1:2" s="1596" customFormat="1">
      <c r="A31" s="1594" t="s">
        <v>1275</v>
      </c>
      <c r="B31" s="1595">
        <f ca="1">'预评函-2'!D15</f>
        <v>25260</v>
      </c>
    </row>
    <row r="32" spans="1:2" s="1596" customFormat="1">
      <c r="A32" s="1594" t="s">
        <v>1242</v>
      </c>
      <c r="B32" s="1595" t="str">
        <f ca="1">'预评函-2'!D14</f>
        <v>壹亿肆仟壹佰玖拾伍万元整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4.抵押净值</v>
      </c>
    </row>
    <row r="38" spans="1:2" s="1596" customFormat="1">
      <c r="A38" s="1594" t="s">
        <v>1296</v>
      </c>
      <c r="B38" s="1595">
        <f ca="1">'预评函-2'!D19</f>
        <v>11538</v>
      </c>
    </row>
    <row r="39" spans="1:2" s="1596" customFormat="1">
      <c r="A39" s="1594" t="s">
        <v>1244</v>
      </c>
      <c r="B39" s="1595">
        <f ca="1">'预评函-2'!D21</f>
        <v>20532</v>
      </c>
    </row>
    <row r="40" spans="1:2" s="1596" customFormat="1">
      <c r="A40" s="1594" t="s">
        <v>1245</v>
      </c>
      <c r="B40" s="1595" t="str">
        <f ca="1">'预评函-2'!D20</f>
        <v>壹亿壹仟伍佰叁拾捌万元整</v>
      </c>
    </row>
    <row r="41" spans="1:2" s="1596" customFormat="1">
      <c r="A41" s="1594" t="s">
        <v>1291</v>
      </c>
      <c r="B41" s="1595" t="str">
        <f>'预评函-3'!A4</f>
        <v>北京市大兴区黄村镇兴华中路13号，商业娱乐出让国有建设用地使用权及在建建筑物房地产</v>
      </c>
    </row>
    <row r="42" spans="1:2" s="1596" customFormat="1">
      <c r="A42" s="1594" t="s">
        <v>1289</v>
      </c>
      <c r="B42" s="1595" t="str">
        <f>'预评函-3'!B2</f>
        <v>建筑面积</v>
      </c>
    </row>
    <row r="43" spans="1:2" s="1596" customFormat="1">
      <c r="A43" s="1594" t="s">
        <v>1290</v>
      </c>
      <c r="B43" s="1595">
        <f>'预评函-3'!B4</f>
        <v>5619.58</v>
      </c>
    </row>
    <row r="44" spans="1:2" s="1596" customFormat="1">
      <c r="A44" s="1594" t="s">
        <v>1274</v>
      </c>
      <c r="B44" s="1595" t="str">
        <f>'预评函-3'!C2</f>
        <v>(分摊)土地面积</v>
      </c>
    </row>
    <row r="45" spans="1:2" s="1596" customFormat="1">
      <c r="A45" s="1594" t="s">
        <v>1246</v>
      </c>
      <c r="B45" s="1595">
        <f>'预评函-3'!C4</f>
        <v>1220.22</v>
      </c>
    </row>
    <row r="46" spans="1:2" s="1596" customFormat="1">
      <c r="A46" s="1594" t="s">
        <v>1272</v>
      </c>
      <c r="B46" s="1595" t="str">
        <f>'预评函-3'!D2</f>
        <v>出让国有建设用地使用权价值</v>
      </c>
    </row>
    <row r="47" spans="1:2" s="1596" customFormat="1">
      <c r="A47" s="1594" t="s">
        <v>1247</v>
      </c>
      <c r="B47" s="1595">
        <f ca="1">'预评函-3'!D4</f>
        <v>11995</v>
      </c>
    </row>
    <row r="48" spans="1:2" s="1596" customFormat="1">
      <c r="A48" s="1594" t="s">
        <v>1248</v>
      </c>
      <c r="B48" s="1595">
        <f ca="1">'预评函-3'!E4</f>
        <v>21345</v>
      </c>
    </row>
    <row r="49" spans="1:2" s="1596" customFormat="1">
      <c r="A49" s="1594" t="s">
        <v>1249</v>
      </c>
      <c r="B49" s="1595" t="str">
        <f ca="1">'预评函-3'!D5</f>
        <v>壹亿壹仟玖佰玖拾伍万元整</v>
      </c>
    </row>
    <row r="50" spans="1:2" s="1596" customFormat="1">
      <c r="A50" s="1594" t="s">
        <v>1273</v>
      </c>
      <c r="B50" s="1595" t="str">
        <f>'预评函-3'!F2</f>
        <v>在建建筑物价值</v>
      </c>
    </row>
    <row r="51" spans="1:2" s="1596" customFormat="1">
      <c r="A51" s="1594" t="s">
        <v>1250</v>
      </c>
      <c r="B51" s="1595">
        <f ca="1">'预评函-3'!F4</f>
        <v>2200</v>
      </c>
    </row>
    <row r="52" spans="1:2" s="1596" customFormat="1">
      <c r="A52" s="1594" t="s">
        <v>1251</v>
      </c>
      <c r="B52" s="1595">
        <f ca="1">'预评函-3'!G4</f>
        <v>3915</v>
      </c>
    </row>
    <row r="53" spans="1:2" s="1596" customFormat="1">
      <c r="A53" s="1594" t="s">
        <v>1279</v>
      </c>
      <c r="B53" s="1595" t="str">
        <f ca="1">'预评函-3'!F5</f>
        <v>贰仟贰佰万元整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抵押净值</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1282</v>
      </c>
    </row>
    <row r="55" spans="1:4">
      <c r="A55" s="3016"/>
      <c r="B55" s="2025" t="s">
        <v>865</v>
      </c>
      <c r="C55" s="2022" t="s">
        <v>1283</v>
      </c>
    </row>
    <row r="56" spans="1:4">
      <c r="A56" s="3016"/>
      <c r="B56" s="2025" t="s">
        <v>866</v>
      </c>
      <c r="C56" s="2022" t="s">
        <v>1287</v>
      </c>
    </row>
    <row r="57" spans="1:4">
      <c r="A57" s="3016"/>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25" t="str">
        <f>IF(B10="北京市","北京市",C10)&amp;F10&amp;IF(结果表!G1="在建","出让国有建设用地使用权及在建建筑物",IF(结果表!G1="土地","出让国有建设用地使用权",))&amp;B9&amp;"预评估"</f>
        <v>北京市大兴区黄村镇兴华中路13号，商业娱乐出让国有建设用地使用权及在建建筑物房地产抵押价值预评估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北京市大兴区黄村镇兴华中路13号，商业娱乐出让国有建设用地使用权及在建建筑物房地产抵押价值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北京市大兴区黄村镇兴华中路13号，商业娱乐出让国有建设用地使用权及在建建筑物房地产</v>
      </c>
    </row>
    <row r="3" spans="1:19" ht="18" customHeight="1">
      <c r="A3" s="2038" t="s">
        <v>1780</v>
      </c>
      <c r="B3" s="2039">
        <v>43105</v>
      </c>
      <c r="C3" s="2040" t="s">
        <v>1781</v>
      </c>
      <c r="D3" s="2039">
        <v>43105</v>
      </c>
      <c r="E3" s="2029"/>
      <c r="F3" s="2029"/>
      <c r="G3" s="2029"/>
      <c r="H3" s="2029"/>
      <c r="I3" s="2029"/>
      <c r="J3" s="2029"/>
      <c r="K3" s="2030"/>
      <c r="L3" s="2031"/>
      <c r="M3" s="2031"/>
      <c r="N3" s="2032"/>
      <c r="O3" s="2033"/>
      <c r="P3" s="2032"/>
      <c r="Q3" s="2032"/>
      <c r="R3" s="2032"/>
      <c r="S3" s="2034"/>
    </row>
    <row r="4" spans="1:19" ht="18" customHeight="1" thickBot="1">
      <c r="A4" s="2041" t="s">
        <v>1782</v>
      </c>
      <c r="B4" s="2042" t="s">
        <v>3042</v>
      </c>
      <c r="C4" s="1039">
        <f ca="1">SUMIF(注册房地产估价师,B4,估价师及机构信息!B3:B24)</f>
        <v>1120140022</v>
      </c>
      <c r="D4" s="2042" t="s">
        <v>3043</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t="s">
        <v>3044</v>
      </c>
      <c r="C8" s="2059"/>
      <c r="D8" s="3028" t="s">
        <v>1787</v>
      </c>
      <c r="E8" s="2060" t="s">
        <v>3045</v>
      </c>
      <c r="F8" s="2061"/>
      <c r="G8" s="2029"/>
      <c r="H8" s="2029"/>
      <c r="I8" s="2029"/>
      <c r="J8" s="2045"/>
      <c r="K8" s="2046"/>
      <c r="L8" s="2031"/>
      <c r="M8" s="2031"/>
      <c r="N8" s="2032"/>
      <c r="O8" s="2033"/>
      <c r="P8" s="2032"/>
      <c r="Q8" s="2032"/>
      <c r="R8" s="2032"/>
    </row>
    <row r="9" spans="1:19" ht="18" customHeight="1" thickBot="1">
      <c r="A9" s="2043" t="s">
        <v>1788</v>
      </c>
      <c r="B9" s="2062" t="s">
        <v>3045</v>
      </c>
      <c r="C9" s="2063"/>
      <c r="D9" s="3029"/>
      <c r="E9" s="2062" t="s">
        <v>1286</v>
      </c>
      <c r="F9" s="2064"/>
      <c r="G9" s="2065"/>
      <c r="H9" s="2065"/>
      <c r="I9" s="2065"/>
      <c r="J9" s="2045"/>
      <c r="K9" s="2057"/>
      <c r="L9" s="2031"/>
      <c r="M9" s="2031"/>
      <c r="N9" s="2032"/>
      <c r="O9" s="2033"/>
      <c r="P9" s="2032"/>
      <c r="Q9" s="2032"/>
      <c r="R9" s="2032"/>
    </row>
    <row r="10" spans="1:19" ht="18" customHeight="1" thickTop="1">
      <c r="A10" s="2066" t="s">
        <v>1789</v>
      </c>
      <c r="B10" s="2067" t="s">
        <v>3051</v>
      </c>
      <c r="C10" s="2068"/>
      <c r="D10" s="2050"/>
      <c r="E10" s="2069" t="s">
        <v>1790</v>
      </c>
      <c r="F10" s="2070" t="s">
        <v>3052</v>
      </c>
      <c r="G10" s="2071"/>
      <c r="H10" s="2072"/>
      <c r="I10" s="2050"/>
      <c r="J10" s="2045"/>
      <c r="K10" s="2057"/>
      <c r="L10" s="2031"/>
      <c r="M10" s="2031"/>
      <c r="N10" s="2032"/>
      <c r="O10" s="2033"/>
      <c r="P10" s="2032"/>
      <c r="Q10" s="2032"/>
      <c r="R10" s="2032"/>
    </row>
    <row r="11" spans="1:19" ht="18" customHeight="1">
      <c r="A11" s="2073" t="s">
        <v>1791</v>
      </c>
      <c r="B11" s="2074" t="s">
        <v>3046</v>
      </c>
      <c r="C11" s="2951" t="s">
        <v>3050</v>
      </c>
      <c r="D11" s="2075"/>
      <c r="E11" s="2045"/>
      <c r="F11" s="2045"/>
      <c r="G11" s="2045"/>
      <c r="H11" s="2045"/>
      <c r="I11" s="2045"/>
      <c r="J11" s="2045"/>
      <c r="K11" s="2057"/>
      <c r="L11" s="2031"/>
      <c r="M11" s="2031"/>
      <c r="N11" s="2032"/>
      <c r="O11" s="2033"/>
      <c r="P11" s="2032"/>
      <c r="Q11" s="2032"/>
      <c r="R11" s="2032"/>
    </row>
    <row r="12" spans="1:19" ht="18" customHeight="1">
      <c r="A12" s="2076" t="s">
        <v>1792</v>
      </c>
      <c r="B12" s="2074" t="s">
        <v>3047</v>
      </c>
      <c r="C12" s="2077" t="s">
        <v>1793</v>
      </c>
      <c r="D12" s="2078" t="s">
        <v>1794</v>
      </c>
      <c r="E12" s="2078" t="s">
        <v>1795</v>
      </c>
      <c r="F12" s="2078" t="s">
        <v>1796</v>
      </c>
      <c r="G12" s="2078" t="s">
        <v>1797</v>
      </c>
      <c r="H12" s="2078" t="s">
        <v>1798</v>
      </c>
      <c r="I12" s="2078" t="s">
        <v>1799</v>
      </c>
      <c r="J12" s="2045"/>
      <c r="K12" s="2057"/>
      <c r="L12" s="2031"/>
      <c r="M12" s="2031"/>
      <c r="N12" s="2032"/>
      <c r="O12" s="2033"/>
      <c r="P12" s="2032"/>
      <c r="Q12" s="2032"/>
      <c r="R12" s="2032"/>
    </row>
    <row r="13" spans="1:19" ht="18" customHeight="1">
      <c r="A13" s="2079"/>
      <c r="B13" s="2080"/>
      <c r="C13" s="2081" t="s">
        <v>1800</v>
      </c>
      <c r="D13" s="2082"/>
      <c r="E13" s="2082">
        <v>51972</v>
      </c>
      <c r="F13" s="2082">
        <v>55625</v>
      </c>
      <c r="G13" s="2082">
        <v>55625</v>
      </c>
      <c r="H13" s="2082"/>
      <c r="I13" s="1049"/>
      <c r="J13" s="2045"/>
      <c r="K13" s="2057"/>
      <c r="L13" s="2031"/>
      <c r="M13" s="2031"/>
      <c r="N13" s="2032"/>
      <c r="O13" s="2033"/>
      <c r="P13" s="2032"/>
      <c r="Q13" s="2032"/>
      <c r="R13" s="2032"/>
    </row>
    <row r="14" spans="1:19" ht="18" customHeight="1">
      <c r="A14" s="2079"/>
      <c r="B14" s="2080"/>
      <c r="C14" s="2081" t="s">
        <v>1801</v>
      </c>
      <c r="D14" s="1052"/>
      <c r="E14" s="1052">
        <v>40</v>
      </c>
      <c r="F14" s="1052">
        <v>50</v>
      </c>
      <c r="G14" s="1052">
        <v>50</v>
      </c>
      <c r="H14" s="1052"/>
      <c r="I14" s="1052"/>
      <c r="J14" s="2045"/>
      <c r="K14" s="2083"/>
      <c r="L14" s="2031"/>
      <c r="M14" s="2031"/>
      <c r="N14" s="2032"/>
      <c r="O14" s="2033"/>
      <c r="P14" s="2032"/>
      <c r="Q14" s="2032"/>
      <c r="R14" s="2032"/>
    </row>
    <row r="15" spans="1:19" ht="18" customHeight="1">
      <c r="A15" s="2066"/>
      <c r="B15" s="2084"/>
      <c r="C15" s="2081" t="s">
        <v>1802</v>
      </c>
      <c r="D15" s="1051" t="str">
        <f>IF(B12="出让",IF(D13="","",ROUNDDOWN(MIN((D13-$D$3)/365,D14),2)),D14)</f>
        <v/>
      </c>
      <c r="E15" s="1051">
        <f>IF(B12="出让",IF(E13="","",ROUNDDOWN(MIN((E13-$D$3)/365,E14),2)),E14)</f>
        <v>24.29</v>
      </c>
      <c r="F15" s="1051">
        <f>IF(B12="出让",IF(F13="","",ROUNDDOWN(MIN((F13-$D$3)/365,F14),2)),F14)</f>
        <v>34.299999999999997</v>
      </c>
      <c r="G15" s="1051">
        <f>IF(B12="出让",IF(G13="","",ROUNDDOWN(MIN((G13-$D$3)/365,G14),2)),G14)</f>
        <v>34.299999999999997</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9" t="s">
        <v>1803</v>
      </c>
      <c r="B16" s="3035"/>
      <c r="C16" s="3036"/>
      <c r="D16" s="3037"/>
      <c r="E16" s="2088" t="s">
        <v>1804</v>
      </c>
      <c r="F16" s="3038" t="s">
        <v>3053</v>
      </c>
      <c r="G16" s="3039"/>
      <c r="H16" s="3039"/>
      <c r="I16" s="3040"/>
      <c r="J16" s="2032"/>
      <c r="K16" s="2085"/>
      <c r="L16" s="2086"/>
      <c r="M16" s="2086"/>
      <c r="N16" s="2087"/>
      <c r="O16" s="2086"/>
      <c r="P16" s="2087"/>
      <c r="Q16" s="2032"/>
      <c r="R16" s="2032"/>
    </row>
    <row r="17" spans="1:22" ht="18" customHeight="1">
      <c r="A17" s="2089" t="s">
        <v>1805</v>
      </c>
      <c r="B17" s="2038" t="s">
        <v>1806</v>
      </c>
      <c r="C17" s="1056">
        <f>'数据-汇总表'!E3</f>
        <v>5619.58</v>
      </c>
      <c r="D17" s="2090" t="s">
        <v>1807</v>
      </c>
      <c r="E17" s="3041" t="s">
        <v>3111</v>
      </c>
      <c r="F17" s="3042"/>
      <c r="G17" s="3042"/>
      <c r="H17" s="3042"/>
      <c r="I17" s="3043"/>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1220.22</v>
      </c>
      <c r="D18" s="2093" t="s">
        <v>1807</v>
      </c>
      <c r="E18" s="3044" t="s">
        <v>3112</v>
      </c>
      <c r="F18" s="3045"/>
      <c r="G18" s="3045"/>
      <c r="H18" s="3045"/>
      <c r="I18" s="3046"/>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3054</v>
      </c>
      <c r="D19" s="2095" t="s">
        <v>1811</v>
      </c>
      <c r="E19" s="2096" t="s">
        <v>3054</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1812</v>
      </c>
      <c r="B20" s="3031" t="s">
        <v>1813</v>
      </c>
      <c r="C20" s="3032"/>
      <c r="D20" s="3033" t="s">
        <v>1814</v>
      </c>
      <c r="E20" s="3034"/>
      <c r="F20" s="2100" t="s">
        <v>1815</v>
      </c>
      <c r="G20" s="2045"/>
      <c r="H20" s="2045"/>
      <c r="I20" s="2045"/>
      <c r="J20" s="2045"/>
      <c r="K20" s="3030"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18" t="s">
        <v>1828</v>
      </c>
      <c r="B27" s="2066" t="s">
        <v>1829</v>
      </c>
      <c r="C27" s="2122" t="s">
        <v>3090</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8"/>
      <c r="B28" s="2038" t="s">
        <v>1830</v>
      </c>
      <c r="C28" s="2124" t="s">
        <v>3091</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8"/>
      <c r="B29" s="2038" t="s">
        <v>1831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9"/>
      <c r="B30" s="2038" t="s">
        <v>1832</v>
      </c>
      <c r="C30" s="3020"/>
      <c r="D30" s="3021"/>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2" t="s">
        <v>1833</v>
      </c>
      <c r="B31" s="2129" t="s">
        <v>3089</v>
      </c>
      <c r="C31" s="2130" t="str">
        <f>IF(B31="现房","成新及维护状况正常否",IF(B31="在建","工程状态是否正常",IF(B31="土地","是否闲置","-")))</f>
        <v>工程状态是否正常</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6" t="s">
        <v>3083</v>
      </c>
      <c r="C34" s="2136" t="s">
        <v>3084</v>
      </c>
      <c r="D34" s="2136" t="s">
        <v>3085</v>
      </c>
      <c r="E34" s="2136" t="s">
        <v>3086</v>
      </c>
      <c r="F34" s="2136" t="s">
        <v>3087</v>
      </c>
      <c r="G34" s="2136" t="s">
        <v>3081</v>
      </c>
      <c r="H34" s="2136" t="s">
        <v>3088</v>
      </c>
      <c r="I34" s="2045"/>
      <c r="J34" s="2045"/>
      <c r="K34" s="1798">
        <f>COUNTIF(B34:H34,"——")</f>
        <v>0</v>
      </c>
      <c r="L34" s="2077" t="s">
        <v>1835</v>
      </c>
      <c r="M34" s="2077" t="s">
        <v>1836</v>
      </c>
      <c r="N34" s="2077" t="s">
        <v>1837</v>
      </c>
      <c r="O34" s="2077" t="s">
        <v>1838</v>
      </c>
      <c r="P34" s="2077" t="s">
        <v>1839</v>
      </c>
      <c r="Q34" s="2077" t="s">
        <v>1840</v>
      </c>
      <c r="R34" s="2077" t="s">
        <v>1841</v>
      </c>
      <c r="S34" s="3017" t="s">
        <v>1842</v>
      </c>
      <c r="T34" s="2137" t="str">
        <f>NUMBERSTRING(7-K34,1)&amp;"通"</f>
        <v>七通</v>
      </c>
      <c r="U34" s="2032"/>
      <c r="V34" s="2032"/>
    </row>
    <row r="35" spans="1:22" ht="18" customHeight="1">
      <c r="A35" s="2138"/>
      <c r="B35" s="3024" t="s">
        <v>1843</v>
      </c>
      <c r="C35" s="3024"/>
      <c r="D35" s="3024"/>
      <c r="E35" s="3024"/>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32"/>
      <c r="V35" s="2032"/>
    </row>
    <row r="36" spans="1:22" ht="18" customHeight="1">
      <c r="A36" s="2140"/>
      <c r="B36" s="2139" t="s">
        <v>1844</v>
      </c>
      <c r="C36" s="2139" t="s">
        <v>1845</v>
      </c>
      <c r="D36" s="2139" t="s">
        <v>1846</v>
      </c>
      <c r="E36" s="2139" t="s">
        <v>1847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1848</v>
      </c>
      <c r="B37" s="2143" t="s">
        <v>526</v>
      </c>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1849</v>
      </c>
      <c r="B38" s="2145" t="s">
        <v>3082</v>
      </c>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 sqref="I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3"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10435.99</v>
      </c>
      <c r="B3" s="14">
        <f>IF(C3="否",G5-AT5,G5)</f>
        <v>48061.719999999994</v>
      </c>
      <c r="C3" s="2972" t="s">
        <v>3101</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5" customFormat="1" ht="13.5" thickBot="1">
      <c r="A4" s="2171"/>
      <c r="B4" s="2172"/>
      <c r="C4" s="2173"/>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4"/>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48061.719999999994</v>
      </c>
      <c r="H5" s="16">
        <f t="shared" ref="H5:AT5" si="0">SUM(H13:H656)</f>
        <v>37859.56</v>
      </c>
      <c r="I5" s="16">
        <f t="shared" si="0"/>
        <v>3416.9</v>
      </c>
      <c r="J5" s="16">
        <f t="shared" si="0"/>
        <v>0</v>
      </c>
      <c r="K5" s="16">
        <f t="shared" si="0"/>
        <v>2202.6799999999998</v>
      </c>
      <c r="L5" s="16">
        <f t="shared" si="0"/>
        <v>0</v>
      </c>
      <c r="M5" s="16">
        <f t="shared" si="0"/>
        <v>25861.15</v>
      </c>
      <c r="N5" s="16">
        <f t="shared" si="0"/>
        <v>0</v>
      </c>
      <c r="O5" s="16">
        <f t="shared" si="0"/>
        <v>6378.83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6153.16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6153.16</v>
      </c>
      <c r="AO5" s="16">
        <f t="shared" si="0"/>
        <v>0</v>
      </c>
      <c r="AP5" s="16">
        <f t="shared" si="0"/>
        <v>0</v>
      </c>
      <c r="AQ5" s="16">
        <f t="shared" si="0"/>
        <v>0</v>
      </c>
      <c r="AR5" s="16">
        <f t="shared" si="0"/>
        <v>0</v>
      </c>
      <c r="AS5" s="16">
        <f t="shared" si="0"/>
        <v>0</v>
      </c>
      <c r="AT5" s="16">
        <f t="shared" si="0"/>
        <v>4049</v>
      </c>
      <c r="AU5" s="1805"/>
      <c r="AV5" s="15" t="s">
        <v>1878</v>
      </c>
      <c r="AW5" s="1806"/>
      <c r="AX5" s="1806"/>
      <c r="AY5" s="17" t="s">
        <v>3</v>
      </c>
      <c r="AZ5" s="18">
        <f t="shared" ref="AZ5:BT5" si="1">SUM(AZ13:AZ656)</f>
        <v>5619.58</v>
      </c>
      <c r="BA5" s="18">
        <f t="shared" si="1"/>
        <v>5619.58</v>
      </c>
      <c r="BB5" s="18">
        <f t="shared" si="1"/>
        <v>3416.9</v>
      </c>
      <c r="BC5" s="18">
        <f t="shared" si="1"/>
        <v>2202.6799999999998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10435.990000000002</v>
      </c>
      <c r="F6" s="16" t="s">
        <v>1</v>
      </c>
      <c r="G6" s="16" t="s">
        <v>2</v>
      </c>
      <c r="H6" s="20">
        <f>SUMIF(I$12:AB$12,"总值",I6:AB6)</f>
        <v>8220.7200000000012</v>
      </c>
      <c r="I6" s="16">
        <f t="shared" ref="I6:AB6" si="2">ROUND($A$3*I5/$B$3,2)</f>
        <v>741.94</v>
      </c>
      <c r="J6" s="16">
        <f t="shared" si="2"/>
        <v>0</v>
      </c>
      <c r="K6" s="16">
        <f t="shared" si="2"/>
        <v>478.28</v>
      </c>
      <c r="L6" s="16">
        <f t="shared" si="2"/>
        <v>0</v>
      </c>
      <c r="M6" s="16">
        <f t="shared" si="2"/>
        <v>5615.42</v>
      </c>
      <c r="N6" s="16">
        <f t="shared" si="2"/>
        <v>0</v>
      </c>
      <c r="O6" s="16">
        <f t="shared" si="2"/>
        <v>1385.08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1336.08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1336.08</v>
      </c>
      <c r="AO6" s="16">
        <f t="shared" si="3"/>
        <v>0</v>
      </c>
      <c r="AP6" s="16">
        <f t="shared" si="3"/>
        <v>0</v>
      </c>
      <c r="AQ6" s="16">
        <f t="shared" si="3"/>
        <v>0</v>
      </c>
      <c r="AR6" s="16">
        <f t="shared" si="3"/>
        <v>0</v>
      </c>
      <c r="AS6" s="16">
        <f t="shared" si="3"/>
        <v>0</v>
      </c>
      <c r="AT6" s="20">
        <f>IF(C3="是",ROUND($A$3*AT5/$B$3,2),0)</f>
        <v>879.19</v>
      </c>
      <c r="AU6" s="2178"/>
      <c r="AV6" s="15" t="s">
        <v>1879</v>
      </c>
      <c r="AW6" s="2176"/>
      <c r="AX6" s="2176"/>
      <c r="AY6" s="21">
        <f>IF(AY3&gt;0,AY3,ROUND($A$3*AZ5/$B$3,2))</f>
        <v>1220.22</v>
      </c>
      <c r="AZ6" s="16" t="s">
        <v>3</v>
      </c>
      <c r="BA6" s="16">
        <f>ROUND($AY$6*BA5/$AZ$5,2)</f>
        <v>1220.22</v>
      </c>
      <c r="BB6" s="16">
        <f>ROUND($AY$6*BB5/$AZ$5,2)</f>
        <v>741.94</v>
      </c>
      <c r="BC6" s="16">
        <f t="shared" ref="BC6:BH6" si="4">ROUND($AY$6*BC5/$AZ$5,2)</f>
        <v>478.28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1887</v>
      </c>
      <c r="AV7" s="23" t="s">
        <v>1888</v>
      </c>
      <c r="AW7" s="2169" t="s">
        <v>1889</v>
      </c>
      <c r="AX7" s="23" t="s">
        <v>1882</v>
      </c>
      <c r="AY7" s="1806"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1"/>
      <c r="K8" s="1821"/>
      <c r="L8" s="1821"/>
      <c r="M8" s="1821"/>
      <c r="N8" s="1821"/>
      <c r="O8" s="1821"/>
      <c r="P8" s="1821"/>
      <c r="Q8" s="1821"/>
      <c r="R8" s="1821"/>
      <c r="S8" s="1821"/>
      <c r="T8" s="1821"/>
      <c r="U8" s="1821"/>
      <c r="V8" s="2188"/>
      <c r="W8" s="1821"/>
      <c r="X8" s="1821"/>
      <c r="Y8" s="1821"/>
      <c r="Z8" s="1821"/>
      <c r="AA8" s="2188"/>
      <c r="AB8" s="2189"/>
      <c r="AC8" s="983" t="s">
        <v>1893</v>
      </c>
      <c r="AD8" s="2190"/>
      <c r="AE8" s="2182"/>
      <c r="AF8" s="1821"/>
      <c r="AG8" s="1821"/>
      <c r="AH8" s="1821"/>
      <c r="AI8" s="1821"/>
      <c r="AJ8" s="1821"/>
      <c r="AK8" s="1821"/>
      <c r="AL8" s="1821"/>
      <c r="AM8" s="1821"/>
      <c r="AN8" s="1821"/>
      <c r="AO8" s="1821"/>
      <c r="AP8" s="1821"/>
      <c r="AQ8" s="1821"/>
      <c r="AR8" s="1821"/>
      <c r="AS8" s="1821"/>
      <c r="AT8" s="1294" t="s">
        <v>1894</v>
      </c>
      <c r="AU8" s="2184"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1898</v>
      </c>
      <c r="I9" s="2193" t="s">
        <v>3060</v>
      </c>
      <c r="J9" s="983"/>
      <c r="K9" s="2193" t="s">
        <v>3062</v>
      </c>
      <c r="L9" s="983"/>
      <c r="M9" s="2193" t="s">
        <v>3060</v>
      </c>
      <c r="N9" s="983"/>
      <c r="O9" s="2193" t="s">
        <v>3062</v>
      </c>
      <c r="P9" s="983"/>
      <c r="Q9" s="2193"/>
      <c r="R9" s="983"/>
      <c r="S9" s="2193"/>
      <c r="T9" s="983"/>
      <c r="U9" s="2193"/>
      <c r="V9" s="983"/>
      <c r="W9" s="2193"/>
      <c r="X9" s="2194"/>
      <c r="Y9" s="2193"/>
      <c r="Z9" s="983"/>
      <c r="AA9" s="2193"/>
      <c r="AB9" s="983"/>
      <c r="AC9" s="2185"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5"/>
      <c r="AT9" s="2184"/>
      <c r="AU9" s="2184" t="s">
        <v>1901</v>
      </c>
      <c r="AV9" s="1294"/>
      <c r="AW9" s="2168"/>
      <c r="AX9" s="1294"/>
      <c r="AY9" s="28"/>
      <c r="AZ9" s="28" t="s">
        <v>1891</v>
      </c>
      <c r="BA9" s="2196" t="s">
        <v>1902</v>
      </c>
      <c r="BB9" s="2197"/>
      <c r="BC9" s="1340"/>
      <c r="BD9" s="1340"/>
      <c r="BE9" s="1340"/>
      <c r="BF9" s="1340"/>
      <c r="BG9" s="1340"/>
      <c r="BH9" s="1340"/>
      <c r="BI9" s="1340"/>
      <c r="BJ9" s="1340"/>
      <c r="BK9" s="2198"/>
      <c r="BL9" s="15" t="s">
        <v>1903</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1378</v>
      </c>
      <c r="L10" s="983"/>
      <c r="M10" s="2199" t="s">
        <v>27</v>
      </c>
      <c r="N10" s="983"/>
      <c r="O10" s="2199" t="s">
        <v>3073</v>
      </c>
      <c r="P10" s="983"/>
      <c r="Q10" s="2199"/>
      <c r="R10" s="983"/>
      <c r="S10" s="2199"/>
      <c r="T10" s="983"/>
      <c r="U10" s="2199"/>
      <c r="V10" s="983"/>
      <c r="W10" s="2199"/>
      <c r="X10" s="983"/>
      <c r="Y10" s="2199"/>
      <c r="Z10" s="983"/>
      <c r="AA10" s="2199"/>
      <c r="AB10" s="983"/>
      <c r="AC10" s="1294"/>
      <c r="AD10" s="15" t="s">
        <v>1904</v>
      </c>
      <c r="AE10" s="2200"/>
      <c r="AF10" s="15" t="s">
        <v>1904</v>
      </c>
      <c r="AG10" s="2200"/>
      <c r="AH10" s="15" t="s">
        <v>1905</v>
      </c>
      <c r="AI10" s="2200"/>
      <c r="AJ10" s="15" t="s">
        <v>1905</v>
      </c>
      <c r="AK10" s="2200"/>
      <c r="AL10" s="15" t="s">
        <v>1906</v>
      </c>
      <c r="AM10" s="1300"/>
      <c r="AN10" s="15" t="s">
        <v>1906</v>
      </c>
      <c r="AO10" s="1300"/>
      <c r="AP10" s="15" t="s">
        <v>1907</v>
      </c>
      <c r="AQ10" s="1300"/>
      <c r="AR10" s="15" t="s">
        <v>1907</v>
      </c>
      <c r="AS10" s="1300"/>
      <c r="AT10" s="2184"/>
      <c r="AU10" s="2184"/>
      <c r="AV10" s="1294"/>
      <c r="AW10" s="2168"/>
      <c r="AX10" s="1294"/>
      <c r="AY10" s="28"/>
      <c r="AZ10" s="28"/>
      <c r="BA10" s="2201" t="s">
        <v>1898</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3071</v>
      </c>
      <c r="J11" s="2205"/>
      <c r="K11" s="2204" t="s">
        <v>3071</v>
      </c>
      <c r="L11" s="2205"/>
      <c r="M11" s="2204" t="s">
        <v>3072</v>
      </c>
      <c r="N11" s="2205"/>
      <c r="O11" s="2204" t="s">
        <v>3073</v>
      </c>
      <c r="P11" s="2205"/>
      <c r="Q11" s="2204"/>
      <c r="R11" s="2205"/>
      <c r="S11" s="2204"/>
      <c r="T11" s="2205"/>
      <c r="U11" s="2204"/>
      <c r="V11" s="2205"/>
      <c r="W11" s="2204"/>
      <c r="X11" s="2205"/>
      <c r="Y11" s="2204"/>
      <c r="Z11" s="2205"/>
      <c r="AA11" s="2204"/>
      <c r="AB11" s="2205"/>
      <c r="AC11" s="1294"/>
      <c r="AD11" s="2206" t="s">
        <v>1908</v>
      </c>
      <c r="AE11" s="1822"/>
      <c r="AF11" s="2206" t="s">
        <v>1908</v>
      </c>
      <c r="AG11" s="1822"/>
      <c r="AH11" s="2206" t="s">
        <v>1909</v>
      </c>
      <c r="AI11" s="2207"/>
      <c r="AJ11" s="2206" t="s">
        <v>1909</v>
      </c>
      <c r="AK11" s="1822"/>
      <c r="AL11" s="1820"/>
      <c r="AM11" s="1822"/>
      <c r="AN11" s="1820"/>
      <c r="AO11" s="1822"/>
      <c r="AP11" s="1820"/>
      <c r="AQ11" s="1822"/>
      <c r="AR11" s="1820"/>
      <c r="AS11" s="1822"/>
      <c r="AT11" s="2168"/>
      <c r="AU11" s="2184"/>
      <c r="AV11" s="1294"/>
      <c r="AW11" s="2168"/>
      <c r="AX11" s="1294"/>
      <c r="AY11" s="28"/>
      <c r="AZ11" s="28"/>
      <c r="BA11" s="28"/>
      <c r="BB11" s="2189" t="str">
        <f>I10</f>
        <v>商业</v>
      </c>
      <c r="BC11" s="2189" t="str">
        <f>K10</f>
        <v>商业</v>
      </c>
      <c r="BD11" s="2189" t="str">
        <f>M10</f>
        <v>办公</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0" customFormat="1" ht="12.75">
      <c r="A12" s="2209"/>
      <c r="B12" s="2209"/>
      <c r="C12" s="2209"/>
      <c r="D12" s="2209"/>
      <c r="E12" s="2209"/>
      <c r="F12" s="2209"/>
      <c r="G12" s="30"/>
      <c r="H12" s="2210"/>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1"/>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9"/>
      <c r="AX12" s="31"/>
      <c r="AY12" s="2213"/>
      <c r="AZ12" s="28"/>
      <c r="BA12" s="2201"/>
      <c r="BB12" s="24" t="str">
        <f>I11</f>
        <v>独立商业</v>
      </c>
      <c r="BC12" s="2214" t="str">
        <f>K11</f>
        <v>独立商业</v>
      </c>
      <c r="BD12" s="2214" t="str">
        <f>M11</f>
        <v>办公楼</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0" customFormat="1" ht="12.75">
      <c r="A13" s="1274"/>
      <c r="B13" s="1274"/>
      <c r="C13" s="1274" t="str">
        <f>面积指标!B6</f>
        <v>2#-商业1</v>
      </c>
      <c r="D13" s="2950" t="s">
        <v>3041</v>
      </c>
      <c r="E13" s="16">
        <f>IF($C$3="是",ROUND($A$3*G13/$B$3,2),ROUND($A$3*(G13-AT13)/$B$3,2))</f>
        <v>301.12</v>
      </c>
      <c r="F13" s="32"/>
      <c r="G13" s="33">
        <f>H13+AC13+AT13</f>
        <v>1386.77</v>
      </c>
      <c r="H13" s="20">
        <f>SUMIF(I$12:AB$12,"总值",I13:AB13)</f>
        <v>1386.77</v>
      </c>
      <c r="I13" s="2946">
        <f>面积指标!D6</f>
        <v>966.36</v>
      </c>
      <c r="J13" s="2215"/>
      <c r="K13" s="2970">
        <f>面积指标!E6</f>
        <v>420.41</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2#-商业1</v>
      </c>
      <c r="AY13" s="1809">
        <f>ROUND($AY$6*AZ13/$AZ$5,2)</f>
        <v>301.12</v>
      </c>
      <c r="AZ13" s="16">
        <f>BA13+BL13</f>
        <v>1386.77</v>
      </c>
      <c r="BA13" s="16">
        <f>SUM(BB13:BK13)</f>
        <v>1386.77</v>
      </c>
      <c r="BB13" s="16">
        <f>IF($D13="是",I13-J13,0)</f>
        <v>966.36</v>
      </c>
      <c r="BC13" s="16">
        <f>IF($D13="是",K13-L13,0)</f>
        <v>420.41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tr">
        <f>面积指标!B7</f>
        <v>2#-商业2</v>
      </c>
      <c r="D14" s="2950" t="s">
        <v>3041</v>
      </c>
      <c r="E14" s="16">
        <f>IF($C$3="是",ROUND($A$3*G14/$B$3,2),ROUND($A$3*(G14-AT14)/$B$3,2))</f>
        <v>441.22</v>
      </c>
      <c r="F14" s="32"/>
      <c r="G14" s="33">
        <f>H14+AC14+AT14</f>
        <v>2031.9699999999998</v>
      </c>
      <c r="H14" s="20">
        <f>SUMIF(I$12:AB$12,"总值",I14:AB14)</f>
        <v>2031.9699999999998</v>
      </c>
      <c r="I14" s="2946">
        <f>面积指标!D7</f>
        <v>1083.3499999999999</v>
      </c>
      <c r="J14" s="2215"/>
      <c r="K14" s="2970">
        <f>面积指标!E7</f>
        <v>948.62</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2#-商业2</v>
      </c>
      <c r="AY14" s="1809">
        <f>ROUND($AY$6*AZ14/$AZ$5,2)</f>
        <v>441.22</v>
      </c>
      <c r="AZ14" s="16">
        <f>BA14+BL14</f>
        <v>2031.9699999999998</v>
      </c>
      <c r="BA14" s="16">
        <f>SUM(BB14:BK14)</f>
        <v>2031.9699999999998</v>
      </c>
      <c r="BB14" s="16">
        <f>IF($D14="是",I14-J14,0)</f>
        <v>1083.3499999999999</v>
      </c>
      <c r="BC14" s="16">
        <f>IF($D14="是",K14-L14,0)</f>
        <v>948.62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tr">
        <f>面积指标!B8</f>
        <v>2#-商业3</v>
      </c>
      <c r="D15" s="2950" t="s">
        <v>3041</v>
      </c>
      <c r="E15" s="16">
        <f>IF($C$3="是",ROUND($A$3*G15/$B$3,2),ROUND($A$3*(G15-AT15)/$B$3,2))</f>
        <v>477.88</v>
      </c>
      <c r="F15" s="32"/>
      <c r="G15" s="33">
        <f>H15+AC15+AT15</f>
        <v>2200.84</v>
      </c>
      <c r="H15" s="20">
        <f>SUMIF(I$12:AB$12,"总值",I15:AB15)</f>
        <v>2200.84</v>
      </c>
      <c r="I15" s="2946">
        <f>面积指标!D8</f>
        <v>1367.19</v>
      </c>
      <c r="J15" s="2215"/>
      <c r="K15" s="2970">
        <f>面积指标!E8</f>
        <v>833.65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2#-商业3</v>
      </c>
      <c r="AY15" s="1809">
        <f>ROUND($AY$6*AZ15/$AZ$5,2)</f>
        <v>477.88</v>
      </c>
      <c r="AZ15" s="16">
        <f>BA15+BL15</f>
        <v>2200.84</v>
      </c>
      <c r="BA15" s="16">
        <f>SUM(BB15:BK15)</f>
        <v>2200.84</v>
      </c>
      <c r="BB15" s="16">
        <f>IF($D15="是",I15-J15,0)</f>
        <v>1367.19</v>
      </c>
      <c r="BC15" s="16">
        <f>IF($D15="是",K15-L15,0)</f>
        <v>833.65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tr">
        <f>面积指标!B3</f>
        <v>1#-A办公楼</v>
      </c>
      <c r="D16" s="2950" t="s">
        <v>3054</v>
      </c>
      <c r="E16" s="16">
        <f>IF($C$3="是",ROUND($A$3*G16/$B$3,2),ROUND($A$3*(G16-AT16)/$B$3,2))</f>
        <v>1454.36</v>
      </c>
      <c r="F16" s="32"/>
      <c r="G16" s="33">
        <f>H16+AC16+AT16</f>
        <v>6697.9</v>
      </c>
      <c r="H16" s="20">
        <f>SUMIF(I$12:AB$12,"总值",I16:AB16)</f>
        <v>6286.32</v>
      </c>
      <c r="I16" s="2946"/>
      <c r="J16" s="2215"/>
      <c r="K16" s="2215"/>
      <c r="L16" s="2215"/>
      <c r="M16" s="2215">
        <f>面积指标!D3</f>
        <v>6286.32</v>
      </c>
      <c r="N16" s="2215"/>
      <c r="O16" s="2215"/>
      <c r="P16" s="2215"/>
      <c r="Q16" s="2215"/>
      <c r="R16" s="2215"/>
      <c r="S16" s="2215"/>
      <c r="T16" s="2215"/>
      <c r="U16" s="2215"/>
      <c r="V16" s="2215"/>
      <c r="W16" s="2215"/>
      <c r="X16" s="2215"/>
      <c r="Y16" s="2215"/>
      <c r="Z16" s="2215"/>
      <c r="AA16" s="2215"/>
      <c r="AB16" s="2215"/>
      <c r="AC16" s="16">
        <f>SUMIF(AD$12:AS$12,"总值",AD16:AS16)</f>
        <v>411.58</v>
      </c>
      <c r="AD16" s="2216"/>
      <c r="AE16" s="2216"/>
      <c r="AF16" s="2216"/>
      <c r="AG16" s="2216"/>
      <c r="AH16" s="2216"/>
      <c r="AI16" s="2216"/>
      <c r="AJ16" s="2216"/>
      <c r="AK16" s="2216"/>
      <c r="AL16" s="2216"/>
      <c r="AM16" s="2216"/>
      <c r="AN16" s="2216">
        <f>面积指标!E3</f>
        <v>411.58</v>
      </c>
      <c r="AO16" s="2216"/>
      <c r="AP16" s="2216"/>
      <c r="AQ16" s="2216"/>
      <c r="AR16" s="2216"/>
      <c r="AS16" s="2216"/>
      <c r="AT16" s="2217"/>
      <c r="AU16" s="2218"/>
      <c r="AV16" s="11">
        <f t="shared" si="6"/>
        <v>0</v>
      </c>
      <c r="AW16" s="11">
        <f t="shared" si="6"/>
        <v>0</v>
      </c>
      <c r="AX16" s="11" t="str">
        <f t="shared" si="6"/>
        <v>1#-A办公楼</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t="str">
        <f>面积指标!B4</f>
        <v>1#-B办公楼</v>
      </c>
      <c r="D17" s="2950" t="s">
        <v>3054</v>
      </c>
      <c r="E17" s="16">
        <f>IF($C$3="是",ROUND($A$3*G17/$B$3,2),ROUND($A$3*(G17-AT17)/$B$3,2))</f>
        <v>1999.01</v>
      </c>
      <c r="F17" s="32"/>
      <c r="G17" s="33">
        <f>H17+AC17+AT17</f>
        <v>9206.2199999999993</v>
      </c>
      <c r="H17" s="20">
        <f>SUMIF(I$12:AB$12,"总值",I17:AB17)</f>
        <v>7370.66</v>
      </c>
      <c r="I17" s="2947"/>
      <c r="J17" s="2215"/>
      <c r="K17" s="2215"/>
      <c r="L17" s="2215"/>
      <c r="M17" s="2215">
        <f>面积指标!D4</f>
        <v>7370.66</v>
      </c>
      <c r="N17" s="2215"/>
      <c r="O17" s="2215"/>
      <c r="P17" s="2215"/>
      <c r="Q17" s="2215"/>
      <c r="R17" s="2215"/>
      <c r="S17" s="2215"/>
      <c r="T17" s="2215"/>
      <c r="U17" s="2215"/>
      <c r="V17" s="2215"/>
      <c r="W17" s="2215"/>
      <c r="X17" s="2215"/>
      <c r="Y17" s="2215"/>
      <c r="Z17" s="2215"/>
      <c r="AA17" s="2215"/>
      <c r="AB17" s="2215"/>
      <c r="AC17" s="16">
        <f>SUMIF(AD$12:AS$12,"总值",AD17:AS17)</f>
        <v>1835.56</v>
      </c>
      <c r="AD17" s="2216"/>
      <c r="AE17" s="2216"/>
      <c r="AF17" s="2216"/>
      <c r="AG17" s="2216"/>
      <c r="AH17" s="2216"/>
      <c r="AI17" s="2216"/>
      <c r="AJ17" s="2216"/>
      <c r="AK17" s="2216"/>
      <c r="AL17" s="2216"/>
      <c r="AM17" s="2216"/>
      <c r="AN17" s="2216">
        <f>面积指标!E4</f>
        <v>1835.56</v>
      </c>
      <c r="AO17" s="2216"/>
      <c r="AP17" s="2216"/>
      <c r="AQ17" s="2216"/>
      <c r="AR17" s="2216"/>
      <c r="AS17" s="2216"/>
      <c r="AT17" s="2217"/>
      <c r="AU17" s="2218"/>
      <c r="AV17" s="11">
        <f t="shared" si="6"/>
        <v>0</v>
      </c>
      <c r="AW17" s="11">
        <f t="shared" si="6"/>
        <v>0</v>
      </c>
      <c r="AX17" s="11" t="str">
        <f t="shared" si="6"/>
        <v>1#-B办公楼</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34" t="str">
        <f>面积指标!B5</f>
        <v>1#-C办公楼</v>
      </c>
      <c r="D18" s="2950" t="s">
        <v>3054</v>
      </c>
      <c r="E18" s="35">
        <f t="shared" ref="E18:E112" si="7">IF($C$3="是",ROUND($A$3*G18/$B$3,2),ROUND($A$3*(G18-AT18)/$B$3,2))</f>
        <v>2986.19</v>
      </c>
      <c r="F18" s="36"/>
      <c r="G18" s="37">
        <f t="shared" ref="G18:G109" si="8">H18+AC18+AT18</f>
        <v>13752.53</v>
      </c>
      <c r="H18" s="38">
        <f t="shared" ref="H18:H109" si="9">SUMIF(I$12:AB$12,"总值",I18:AB18)</f>
        <v>12204.17</v>
      </c>
      <c r="I18" s="2947"/>
      <c r="J18" s="39"/>
      <c r="K18" s="39"/>
      <c r="L18" s="39"/>
      <c r="M18" s="39">
        <f>面积指标!D5</f>
        <v>12204.17</v>
      </c>
      <c r="N18" s="39"/>
      <c r="O18" s="39"/>
      <c r="P18" s="39"/>
      <c r="Q18" s="39"/>
      <c r="R18" s="39"/>
      <c r="S18" s="39"/>
      <c r="T18" s="39"/>
      <c r="U18" s="39"/>
      <c r="V18" s="39"/>
      <c r="W18" s="39"/>
      <c r="X18" s="39"/>
      <c r="Y18" s="39"/>
      <c r="Z18" s="39"/>
      <c r="AA18" s="39"/>
      <c r="AB18" s="39"/>
      <c r="AC18" s="35">
        <f t="shared" ref="AC18:AC109" si="10">SUMIF(AD$12:AS$12,"总值",AD18:AS18)</f>
        <v>1548.36</v>
      </c>
      <c r="AD18" s="40"/>
      <c r="AE18" s="40"/>
      <c r="AF18" s="40"/>
      <c r="AG18" s="40"/>
      <c r="AH18" s="40"/>
      <c r="AI18" s="40"/>
      <c r="AJ18" s="40"/>
      <c r="AK18" s="40"/>
      <c r="AL18" s="40"/>
      <c r="AM18" s="40"/>
      <c r="AN18" s="40">
        <f>面积指标!E5</f>
        <v>1548.36</v>
      </c>
      <c r="AO18" s="40"/>
      <c r="AP18" s="40"/>
      <c r="AQ18" s="40"/>
      <c r="AR18" s="40"/>
      <c r="AS18" s="40"/>
      <c r="AT18" s="41"/>
      <c r="AU18" s="2220"/>
      <c r="AV18" s="1798">
        <f t="shared" ref="AV18:AV112" si="11">A18</f>
        <v>0</v>
      </c>
      <c r="AW18" s="1798">
        <f t="shared" ref="AW18:AW112" si="12">B18</f>
        <v>0</v>
      </c>
      <c r="AX18" s="1798" t="str">
        <f t="shared" ref="AX18:AX112" si="13">C18</f>
        <v>1#-C办公楼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4" t="str">
        <f>面积指标!B9</f>
        <v>地下建筑</v>
      </c>
      <c r="D19" s="2950" t="s">
        <v>3054</v>
      </c>
      <c r="E19" s="35">
        <f t="shared" si="7"/>
        <v>2776.21</v>
      </c>
      <c r="F19" s="36"/>
      <c r="G19" s="37">
        <f t="shared" si="8"/>
        <v>12785.49</v>
      </c>
      <c r="H19" s="38">
        <f t="shared" si="9"/>
        <v>6378.83</v>
      </c>
      <c r="I19" s="2946"/>
      <c r="J19" s="39"/>
      <c r="K19" s="39"/>
      <c r="L19" s="39"/>
      <c r="M19" s="39"/>
      <c r="N19" s="39"/>
      <c r="O19" s="39">
        <f>4899.66+1479.17</f>
        <v>6378.83</v>
      </c>
      <c r="P19" s="39"/>
      <c r="Q19" s="39"/>
      <c r="R19" s="39"/>
      <c r="S19" s="39"/>
      <c r="T19" s="39"/>
      <c r="U19" s="39"/>
      <c r="V19" s="39"/>
      <c r="W19" s="39"/>
      <c r="X19" s="39"/>
      <c r="Y19" s="39"/>
      <c r="Z19" s="39"/>
      <c r="AA19" s="39"/>
      <c r="AB19" s="39"/>
      <c r="AC19" s="35">
        <f t="shared" si="10"/>
        <v>2357.66</v>
      </c>
      <c r="AD19" s="40"/>
      <c r="AE19" s="40"/>
      <c r="AF19" s="40"/>
      <c r="AG19" s="40"/>
      <c r="AH19" s="40"/>
      <c r="AI19" s="40"/>
      <c r="AJ19" s="40"/>
      <c r="AK19" s="40"/>
      <c r="AL19" s="40"/>
      <c r="AM19" s="40"/>
      <c r="AN19" s="40">
        <f>2357.66</f>
        <v>2357.66</v>
      </c>
      <c r="AO19" s="40"/>
      <c r="AP19" s="40"/>
      <c r="AQ19" s="40"/>
      <c r="AR19" s="40"/>
      <c r="AS19" s="40"/>
      <c r="AT19" s="41">
        <f>44.45+3952+52.55</f>
        <v>4049</v>
      </c>
      <c r="AU19" s="2220"/>
      <c r="AV19" s="1798">
        <f t="shared" si="11"/>
        <v>0</v>
      </c>
      <c r="AW19" s="1798">
        <f t="shared" si="12"/>
        <v>0</v>
      </c>
      <c r="AX19" s="1798" t="str">
        <f t="shared" si="13"/>
        <v>地下建筑</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3041</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3041</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3041</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3041</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3041</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3041</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3041</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3041</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3041</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3041</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3041</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3041</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3041</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3041</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I8" sqref="I8"/>
    </sheetView>
  </sheetViews>
  <sheetFormatPr defaultRowHeight="13.5"/>
  <cols>
    <col min="2" max="2" width="11.375" customWidth="1"/>
    <col min="3" max="4" width="12.875" customWidth="1"/>
    <col min="5" max="5" width="12.125" customWidth="1"/>
  </cols>
  <sheetData>
    <row r="1" spans="1:7">
      <c r="A1" s="3049" t="s">
        <v>3055</v>
      </c>
      <c r="B1" s="3049" t="s">
        <v>3056</v>
      </c>
      <c r="C1" s="3049" t="s">
        <v>3057</v>
      </c>
      <c r="D1" s="3049"/>
      <c r="E1" s="3049"/>
      <c r="F1" s="3049" t="s">
        <v>3058</v>
      </c>
      <c r="G1" s="3049"/>
    </row>
    <row r="2" spans="1:7">
      <c r="A2" s="3049"/>
      <c r="B2" s="3049"/>
      <c r="C2" s="2952" t="s">
        <v>3059</v>
      </c>
      <c r="D2" s="2952" t="s">
        <v>3061</v>
      </c>
      <c r="E2" s="2952" t="s">
        <v>3063</v>
      </c>
      <c r="F2" s="2952" t="s">
        <v>3061</v>
      </c>
      <c r="G2" s="2952" t="s">
        <v>3063</v>
      </c>
    </row>
    <row r="3" spans="1:7">
      <c r="A3">
        <v>1</v>
      </c>
      <c r="B3" s="2952" t="s">
        <v>3064</v>
      </c>
      <c r="C3">
        <v>6697.9</v>
      </c>
      <c r="D3">
        <v>6286.32</v>
      </c>
      <c r="E3">
        <v>411.58</v>
      </c>
      <c r="F3">
        <v>13</v>
      </c>
      <c r="G3">
        <v>3</v>
      </c>
    </row>
    <row r="4" spans="1:7">
      <c r="A4">
        <v>2</v>
      </c>
      <c r="B4" s="2952" t="s">
        <v>3065</v>
      </c>
      <c r="C4">
        <v>9206.2199999999993</v>
      </c>
      <c r="D4">
        <v>7370.66</v>
      </c>
      <c r="E4">
        <v>1835.56</v>
      </c>
      <c r="F4">
        <v>5</v>
      </c>
      <c r="G4">
        <v>3</v>
      </c>
    </row>
    <row r="5" spans="1:7">
      <c r="A5">
        <v>3</v>
      </c>
      <c r="B5" s="2952" t="s">
        <v>3066</v>
      </c>
      <c r="C5">
        <v>13752.53</v>
      </c>
      <c r="D5">
        <v>12204.17</v>
      </c>
      <c r="E5">
        <v>1548.36</v>
      </c>
      <c r="F5">
        <v>16</v>
      </c>
      <c r="G5">
        <v>3</v>
      </c>
    </row>
    <row r="6" spans="1:7" s="2953" customFormat="1">
      <c r="A6" s="2953">
        <v>4</v>
      </c>
      <c r="B6" s="2954" t="s">
        <v>3067</v>
      </c>
      <c r="C6" s="2953">
        <v>1386.77</v>
      </c>
      <c r="D6" s="2953">
        <v>966.36</v>
      </c>
      <c r="E6" s="2953">
        <v>420.41</v>
      </c>
      <c r="F6" s="2953">
        <v>3</v>
      </c>
      <c r="G6" s="2953">
        <v>3</v>
      </c>
    </row>
    <row r="7" spans="1:7" s="2953" customFormat="1">
      <c r="A7" s="2953">
        <v>5</v>
      </c>
      <c r="B7" s="2954" t="s">
        <v>3068</v>
      </c>
      <c r="C7" s="2953">
        <v>2031.97</v>
      </c>
      <c r="D7" s="2953">
        <v>1083.3499999999999</v>
      </c>
      <c r="E7" s="2953">
        <v>948.62</v>
      </c>
      <c r="F7" s="2953">
        <v>3</v>
      </c>
      <c r="G7" s="2953">
        <v>3</v>
      </c>
    </row>
    <row r="8" spans="1:7" s="2953" customFormat="1">
      <c r="A8" s="2953">
        <v>6</v>
      </c>
      <c r="B8" s="2954" t="s">
        <v>3069</v>
      </c>
      <c r="C8" s="2953">
        <v>2200.84</v>
      </c>
      <c r="D8" s="2953">
        <v>1367.19</v>
      </c>
      <c r="E8" s="2953">
        <v>833.65</v>
      </c>
      <c r="F8" s="2953">
        <v>3</v>
      </c>
      <c r="G8" s="2953">
        <v>3</v>
      </c>
    </row>
    <row r="9" spans="1:7">
      <c r="A9">
        <v>7</v>
      </c>
      <c r="B9" s="2952" t="s">
        <v>3070</v>
      </c>
      <c r="C9">
        <v>12785.49</v>
      </c>
      <c r="D9">
        <v>44.45</v>
      </c>
      <c r="E9">
        <v>12741.04</v>
      </c>
      <c r="F9">
        <v>1</v>
      </c>
      <c r="G9">
        <v>3</v>
      </c>
    </row>
    <row r="10" spans="1:7">
      <c r="A10" s="2952" t="s">
        <v>3059</v>
      </c>
      <c r="C10">
        <f>SUM(C3:C9)</f>
        <v>48061.719999999994</v>
      </c>
      <c r="D10">
        <f>SUM(D3:D9)</f>
        <v>29322.5</v>
      </c>
      <c r="E10">
        <f>SUM(E3:E9)</f>
        <v>18739.22</v>
      </c>
    </row>
  </sheetData>
  <mergeCells count="4">
    <mergeCell ref="C1:E1"/>
    <mergeCell ref="F1:G1"/>
    <mergeCell ref="A1:A2"/>
    <mergeCell ref="B1:B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4"/>
      <c r="C1" s="1394"/>
      <c r="D1" s="1394"/>
      <c r="E1" s="1394"/>
      <c r="F1" s="1394"/>
      <c r="G1" s="1394"/>
      <c r="H1" s="1394"/>
      <c r="I1" s="1394"/>
      <c r="J1" s="1394"/>
      <c r="K1" s="1394"/>
      <c r="L1" s="1394"/>
      <c r="M1" s="1394"/>
      <c r="N1" s="1394"/>
      <c r="O1" s="1394"/>
      <c r="P1" s="1394"/>
    </row>
    <row r="2" spans="1:16" ht="15">
      <c r="A2" s="3059" t="s">
        <v>1938</v>
      </c>
      <c r="B2" s="3059"/>
      <c r="C2" s="3059"/>
      <c r="D2" s="969" t="s">
        <v>1914</v>
      </c>
      <c r="E2" s="2228" t="s">
        <v>1915</v>
      </c>
      <c r="F2" s="1394"/>
      <c r="G2" s="2229"/>
      <c r="H2" s="2230"/>
      <c r="I2" s="2231" t="s">
        <v>1939</v>
      </c>
      <c r="J2" s="1394"/>
      <c r="K2" s="1394"/>
      <c r="L2" s="1394"/>
      <c r="M2" s="1394"/>
      <c r="N2" s="1429"/>
      <c r="O2" s="1394"/>
      <c r="P2" s="1394"/>
    </row>
    <row r="3" spans="1:16" ht="15.75" thickBot="1">
      <c r="A3" s="3060" t="s">
        <v>1912</v>
      </c>
      <c r="B3" s="3060"/>
      <c r="C3" s="3060"/>
      <c r="D3" s="46">
        <f>'数据-基础表'!AY6</f>
        <v>1220.22</v>
      </c>
      <c r="E3" s="46">
        <f>'数据-基础表'!AZ5</f>
        <v>5619.58</v>
      </c>
      <c r="F3" s="1394"/>
      <c r="G3" s="1401"/>
      <c r="H3" s="1249" t="s">
        <v>1913</v>
      </c>
      <c r="I3" s="55">
        <f>ROUND('数据-基础表'!B3/'数据-基础表'!A3,2)</f>
        <v>4.6100000000000003</v>
      </c>
      <c r="J3" s="1394"/>
      <c r="K3" s="1394"/>
      <c r="L3" s="1394"/>
      <c r="M3" s="1394"/>
      <c r="N3" s="1429"/>
      <c r="O3" s="1394"/>
      <c r="P3" s="1394"/>
    </row>
    <row r="4" spans="1:16" ht="15">
      <c r="A4" s="3061"/>
      <c r="B4" s="3062"/>
      <c r="C4" s="3063"/>
      <c r="D4" s="2232" t="s">
        <v>1914</v>
      </c>
      <c r="E4" s="2233" t="s">
        <v>1915</v>
      </c>
      <c r="F4" s="1394"/>
      <c r="G4" s="2234" t="s">
        <v>1940</v>
      </c>
      <c r="H4" s="1249" t="s">
        <v>1920</v>
      </c>
      <c r="I4" s="55">
        <f>ROUND(SUMIF('数据-基础表'!I9:AS9,"地上",'数据-基础表'!I5:AS5)/'数据-基础表'!A3,2)</f>
        <v>2.81</v>
      </c>
      <c r="J4" s="1394"/>
      <c r="K4" s="1394"/>
      <c r="L4" s="1394"/>
      <c r="M4" s="1394"/>
      <c r="N4" s="1429"/>
      <c r="O4" s="1394"/>
      <c r="P4" s="1394"/>
    </row>
    <row r="5" spans="1:16">
      <c r="A5" s="47" t="s">
        <v>1916</v>
      </c>
      <c r="B5" s="3064" t="s">
        <v>1917</v>
      </c>
      <c r="C5" s="3064"/>
      <c r="D5" s="48">
        <f>ROUND($D$3*E5/$E$3,2)</f>
        <v>0</v>
      </c>
      <c r="E5" s="49">
        <f>SUMIF('数据-基础表'!$11:$11,"住宅",'数据-基础表'!$5:$5)</f>
        <v>0</v>
      </c>
      <c r="F5" s="1394"/>
      <c r="G5" s="1401"/>
      <c r="H5" s="1249" t="s">
        <v>1913</v>
      </c>
      <c r="I5" s="55">
        <f>ROUND(E31/D31,2)</f>
        <v>4.6100000000000003</v>
      </c>
      <c r="J5" s="1394"/>
      <c r="K5" s="1394"/>
      <c r="L5" s="1394"/>
      <c r="M5" s="1394"/>
      <c r="N5" s="1394"/>
      <c r="O5" s="1394"/>
      <c r="P5" s="1394"/>
    </row>
    <row r="6" spans="1:16" ht="15" thickBot="1">
      <c r="A6" s="2235"/>
      <c r="B6" s="3064" t="s">
        <v>1918</v>
      </c>
      <c r="C6" s="3064"/>
      <c r="D6" s="48">
        <f>ROUND($D$3*E6/$E$3,2)</f>
        <v>1220.22</v>
      </c>
      <c r="E6" s="49">
        <f>E3-E5</f>
        <v>5619.58</v>
      </c>
      <c r="F6" s="1394"/>
      <c r="G6" s="2236" t="s">
        <v>1919</v>
      </c>
      <c r="H6" s="1401" t="s">
        <v>1920</v>
      </c>
      <c r="I6" s="941">
        <f>ROUND(F31/D31,2)</f>
        <v>2.8</v>
      </c>
      <c r="J6" s="1394"/>
      <c r="K6" s="1394"/>
      <c r="L6" s="1394"/>
      <c r="M6" s="1394"/>
      <c r="N6" s="1394"/>
      <c r="O6" s="1394"/>
      <c r="P6" s="1394"/>
    </row>
    <row r="7" spans="1:16" ht="15">
      <c r="A7" s="3056"/>
      <c r="B7" s="3057"/>
      <c r="C7" s="3058"/>
      <c r="D7" s="2232" t="s">
        <v>1914</v>
      </c>
      <c r="E7" s="2237" t="s">
        <v>1921</v>
      </c>
      <c r="F7" s="1394"/>
      <c r="G7" s="2229" t="s">
        <v>1922</v>
      </c>
      <c r="H7" s="64"/>
      <c r="I7" s="420"/>
      <c r="J7" s="1394"/>
      <c r="K7" s="1394"/>
      <c r="L7" s="1394"/>
      <c r="M7" s="1394"/>
      <c r="N7" s="1394"/>
      <c r="O7" s="1394"/>
      <c r="P7" s="1394"/>
    </row>
    <row r="8" spans="1:16">
      <c r="A8" s="47" t="s">
        <v>1923</v>
      </c>
      <c r="B8" s="50" t="s">
        <v>1924</v>
      </c>
      <c r="C8" s="48" t="s">
        <v>1925</v>
      </c>
      <c r="D8" s="48">
        <f t="shared" ref="D8:D15" si="0">ROUND($D$3*E8/$E$3,2)</f>
        <v>741.94</v>
      </c>
      <c r="E8" s="51">
        <f>SUMIF('数据-基础表'!BB10:BK10,"地上",'数据-基础表'!BB5:BK5)</f>
        <v>3416.9</v>
      </c>
      <c r="F8" s="1394"/>
      <c r="G8" s="2238"/>
      <c r="H8" s="2238"/>
      <c r="I8" s="1394"/>
      <c r="J8" s="1394"/>
      <c r="K8" s="1394"/>
      <c r="L8" s="1394"/>
      <c r="M8" s="1394"/>
      <c r="N8" s="1394"/>
      <c r="O8" s="1394"/>
      <c r="P8" s="1394"/>
    </row>
    <row r="9" spans="1:16">
      <c r="A9" s="2239"/>
      <c r="B9" s="2240"/>
      <c r="C9" s="48" t="s">
        <v>1926</v>
      </c>
      <c r="D9" s="48">
        <f t="shared" si="0"/>
        <v>0</v>
      </c>
      <c r="E9" s="52">
        <v>0</v>
      </c>
      <c r="F9" s="1394"/>
      <c r="G9" s="2238"/>
      <c r="H9" s="2238"/>
      <c r="I9" s="1394"/>
      <c r="J9" s="1394"/>
      <c r="K9" s="1394"/>
      <c r="L9" s="1394"/>
      <c r="M9" s="1394"/>
      <c r="N9" s="1394"/>
      <c r="O9" s="1394"/>
      <c r="P9" s="1394"/>
    </row>
    <row r="10" spans="1:16">
      <c r="A10" s="2239"/>
      <c r="B10" s="2240"/>
      <c r="C10" s="48" t="s">
        <v>1935</v>
      </c>
      <c r="D10" s="48">
        <f t="shared" si="0"/>
        <v>478.28</v>
      </c>
      <c r="E10" s="51">
        <f>SUMPRODUCT(('数据-基础表'!BB10:BK10="地下")*('数据-基础表'!BB11:BK11="商业")*('数据-基础表'!BB5:BK5))</f>
        <v>2202.6799999999998</v>
      </c>
      <c r="F10" s="1394"/>
      <c r="G10" s="2238"/>
      <c r="H10" s="2238"/>
      <c r="I10" s="1394"/>
      <c r="J10" s="1394"/>
      <c r="K10" s="1394"/>
      <c r="L10" s="1394"/>
      <c r="M10" s="1394"/>
      <c r="N10" s="1394"/>
      <c r="O10" s="1394"/>
      <c r="P10" s="1394"/>
    </row>
    <row r="11" spans="1:16">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1930</v>
      </c>
      <c r="D16" s="50">
        <f>SUM(D8:D15)</f>
        <v>1220.22</v>
      </c>
      <c r="E16" s="53">
        <f>SUM(E8:E15)</f>
        <v>5619.58</v>
      </c>
      <c r="F16" s="1394"/>
      <c r="G16" s="2238"/>
      <c r="H16" s="2241" t="s">
        <v>1942</v>
      </c>
      <c r="I16" s="2242"/>
      <c r="J16" s="1394"/>
      <c r="K16" s="3053" t="s">
        <v>1942</v>
      </c>
      <c r="L16" s="3054"/>
      <c r="M16" s="3054"/>
      <c r="N16" s="3054"/>
      <c r="O16" s="3054"/>
      <c r="P16" s="3055"/>
    </row>
    <row r="17" spans="1:19" ht="15">
      <c r="A17" s="2243" t="s">
        <v>1943</v>
      </c>
      <c r="B17" s="2244" t="s">
        <v>1944</v>
      </c>
      <c r="C17" s="2245" t="s">
        <v>1945</v>
      </c>
      <c r="D17" s="2246" t="s">
        <v>1933</v>
      </c>
      <c r="E17" s="2247" t="s">
        <v>1934</v>
      </c>
      <c r="F17" s="2248"/>
      <c r="G17" s="2249"/>
      <c r="H17" s="2250" t="s">
        <v>1946</v>
      </c>
      <c r="I17" s="2251" t="s">
        <v>1931</v>
      </c>
      <c r="J17" s="1394"/>
      <c r="K17" s="3050" t="s">
        <v>1947</v>
      </c>
      <c r="L17" s="3051"/>
      <c r="M17" s="3052"/>
      <c r="N17" s="3050" t="s">
        <v>1948</v>
      </c>
      <c r="O17" s="3051"/>
      <c r="P17" s="3052"/>
      <c r="R17" s="2229" t="s">
        <v>1949</v>
      </c>
      <c r="S17" s="64"/>
    </row>
    <row r="18" spans="1:19" ht="15">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c r="A19" s="2260"/>
      <c r="B19" s="50" t="s">
        <v>1932</v>
      </c>
      <c r="C19" s="2949" t="s">
        <v>3074</v>
      </c>
      <c r="D19" s="48">
        <f>ROUND($D$3*E19/$E$3,2)</f>
        <v>1220.22</v>
      </c>
      <c r="E19" s="56">
        <f t="shared" ref="E19:E26" si="1">SUM(F19:G19)</f>
        <v>5619.58</v>
      </c>
      <c r="F19" s="57">
        <f>'数据-基础表'!I5</f>
        <v>3416.9</v>
      </c>
      <c r="G19" s="2971">
        <f>'数据-基础表'!K5</f>
        <v>2202.6799999999998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1220.22</v>
      </c>
      <c r="S19" s="1250">
        <f t="shared" si="5"/>
        <v>5619.58</v>
      </c>
    </row>
    <row r="20" spans="1:19">
      <c r="A20" s="2263"/>
      <c r="B20" s="50" t="s">
        <v>1960</v>
      </c>
      <c r="C20" s="2949"/>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1961</v>
      </c>
      <c r="D27" s="1395">
        <f>SUM(D19:D26)</f>
        <v>1220.22</v>
      </c>
      <c r="E27" s="1396">
        <f>IF(SUM(E19:E26)='数据-基础表'!BA5,SUM(E19:E26),IF(F27="地上面积有误","面积有误","地下面积有误"))</f>
        <v>5619.58</v>
      </c>
      <c r="F27" s="1395">
        <f>IF(SUM(F19:F26)=E8,SUM(F19:F26),"地上面积有误")</f>
        <v>3416.9</v>
      </c>
      <c r="G27" s="1397">
        <f>SUM(G19:G26)</f>
        <v>2202.6799999999998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1220.22</v>
      </c>
      <c r="S27" s="1249">
        <f>IF(SUM(S19:S26)=$E$3,SUM(S19:S26),SUM(S19:S26)&amp;"误差"&amp;ROUND(SUM(S19:S26)-E3,2))</f>
        <v>5619.58</v>
      </c>
    </row>
    <row r="28" spans="1:19">
      <c r="A28" s="2263"/>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1962</v>
      </c>
      <c r="C29" s="2267"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1965</v>
      </c>
      <c r="D31" s="729">
        <f>D27+D30</f>
        <v>1220.22</v>
      </c>
      <c r="E31" s="729">
        <f>E27+E30</f>
        <v>5619.58</v>
      </c>
      <c r="F31" s="730">
        <f>F27+F30</f>
        <v>3416.9</v>
      </c>
      <c r="G31" s="731">
        <f>G27+G30</f>
        <v>2202.6799999999998</v>
      </c>
      <c r="H31" s="1394"/>
      <c r="I31" s="1394"/>
      <c r="J31" s="1394"/>
      <c r="K31" s="1394"/>
      <c r="L31" s="1394"/>
      <c r="M31" s="1394"/>
      <c r="N31" s="1394"/>
      <c r="O31" s="1394"/>
      <c r="P31" s="1394"/>
    </row>
    <row r="32" spans="1:19">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1968</v>
      </c>
      <c r="B2" s="1268">
        <f>项目基本情况!D3</f>
        <v>43105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5" t="s">
        <v>1973</v>
      </c>
      <c r="AA4" s="2245"/>
      <c r="AB4" s="2245"/>
      <c r="AC4" s="2245"/>
      <c r="AD4" s="2245"/>
      <c r="AE4" s="2243" t="s">
        <v>1974</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0" t="s">
        <v>1979</v>
      </c>
      <c r="F5" s="2293" t="s">
        <v>1980</v>
      </c>
      <c r="G5" s="1270" t="s">
        <v>1981</v>
      </c>
      <c r="H5" s="1270" t="s">
        <v>1982</v>
      </c>
      <c r="I5" s="1270" t="s">
        <v>1983</v>
      </c>
      <c r="J5" s="2294" t="s">
        <v>1984</v>
      </c>
      <c r="K5" s="2295" t="s">
        <v>1985</v>
      </c>
      <c r="L5" s="2296" t="s">
        <v>1986</v>
      </c>
      <c r="M5" s="2297" t="s">
        <v>1987</v>
      </c>
      <c r="N5" s="2298" t="s">
        <v>3075</v>
      </c>
      <c r="O5" s="2296" t="s">
        <v>1988</v>
      </c>
      <c r="P5" s="2299" t="s">
        <v>1989</v>
      </c>
      <c r="Q5" s="69" t="s">
        <v>1990</v>
      </c>
      <c r="R5" s="2300" t="s">
        <v>1991</v>
      </c>
      <c r="S5" s="2301" t="s">
        <v>1992</v>
      </c>
      <c r="T5" s="2302" t="s">
        <v>1993</v>
      </c>
      <c r="U5" s="1269" t="s">
        <v>1994</v>
      </c>
      <c r="V5" s="1270" t="s">
        <v>1995</v>
      </c>
      <c r="W5" s="1270" t="s">
        <v>1996</v>
      </c>
      <c r="X5" s="71"/>
      <c r="Y5" s="70" t="s">
        <v>1997</v>
      </c>
      <c r="Z5" s="2303" t="s">
        <v>1994</v>
      </c>
      <c r="AA5" s="1270" t="s">
        <v>1995</v>
      </c>
      <c r="AB5" s="1270" t="s">
        <v>1996</v>
      </c>
      <c r="AC5" s="71"/>
      <c r="AD5" s="71" t="s">
        <v>1997</v>
      </c>
      <c r="AE5" s="1269" t="s">
        <v>1998</v>
      </c>
      <c r="AF5" s="1270" t="s">
        <v>1999</v>
      </c>
      <c r="AG5" s="70" t="s">
        <v>2000</v>
      </c>
      <c r="AH5" s="1269" t="s">
        <v>2001</v>
      </c>
      <c r="AI5" s="2303" t="s">
        <v>2002</v>
      </c>
      <c r="AJ5" s="2303" t="s">
        <v>2003</v>
      </c>
      <c r="AK5" s="1270" t="s">
        <v>2004</v>
      </c>
      <c r="AL5" s="1270" t="s">
        <v>2005</v>
      </c>
      <c r="AM5" s="70" t="s">
        <v>2006</v>
      </c>
      <c r="AN5" s="2304" t="s">
        <v>2007</v>
      </c>
      <c r="AO5" s="2077" t="s">
        <v>2008</v>
      </c>
      <c r="AP5" s="1251" t="s">
        <v>2009</v>
      </c>
      <c r="AQ5" s="2305" t="s">
        <v>2010</v>
      </c>
      <c r="AR5" s="2305"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6" t="str">
        <f>'数据-汇总表'!C19</f>
        <v>商业</v>
      </c>
      <c r="B6" s="2307" t="str">
        <f>IF(A6=0,"","经营性")</f>
        <v>经营性</v>
      </c>
      <c r="C6" s="2308" t="s">
        <v>1378</v>
      </c>
      <c r="D6" s="1053">
        <f>SUMIF(项目基本情况!D$12:I$12,C6,项目基本情况!D$14:I$14)</f>
        <v>40</v>
      </c>
      <c r="E6" s="1050">
        <f>IF(B6="","",SUMIF(项目基本情况!D$12:I$12,C6,项目基本情况!D$13:I$13))</f>
        <v>51972</v>
      </c>
      <c r="F6" s="72">
        <f>SUMIF(项目基本情况!D$12:I$12,C6,项目基本情况!D$15:I$15)</f>
        <v>24.29</v>
      </c>
      <c r="G6" s="73">
        <f>IF(ISERROR(ROUND(POWER(1+H6,D6-F6)*(POWER(1+H6,F6)-1)/(POWER(1+H6,D6)-1),3)),0,ROUND(POWER(1+H6,D6-F6)*(POWER(1+H6,F6)-1)/(POWER(1+H6,D6)-1),3))</f>
        <v>0.80900000000000005</v>
      </c>
      <c r="H6" s="802">
        <v>0.05</v>
      </c>
      <c r="I6" s="802">
        <v>5.5E-2</v>
      </c>
      <c r="J6" s="74">
        <v>0.08</v>
      </c>
      <c r="K6" s="1253">
        <f>SUMIF('数据-汇总表'!C$19:C$33,A6,'数据-汇总表'!E$19:E$33)</f>
        <v>5619.58</v>
      </c>
      <c r="L6" s="803">
        <v>2500</v>
      </c>
      <c r="M6" s="75">
        <f t="shared" ref="M6:M14" si="0">ROUND(K6*L6/10000,0)</f>
        <v>1405</v>
      </c>
      <c r="N6" s="801">
        <v>0.92</v>
      </c>
      <c r="O6" s="75">
        <f>IF($N$5="成新度","——",ROUND(M6*N6,0))</f>
        <v>1293</v>
      </c>
      <c r="P6" s="76">
        <f>IF($N$5="成新度","——",M6-O6)</f>
        <v>112</v>
      </c>
      <c r="Q6" s="804">
        <v>0.25</v>
      </c>
      <c r="R6" s="77">
        <f ca="1">SUMIF('数据-汇总表'!C$19:C$33,A6,'数据-汇总表'!R$19:R$27)</f>
        <v>1220.22</v>
      </c>
      <c r="S6" s="54">
        <f>IF('数据-汇总表'!$I$17="按面积比例",SUMIF('数据-汇总表'!C$19:C$33,A6,'数据-汇总表'!K$19:K$33),SUMIF('数据-汇总表'!C$19:C$33,A6,'数据-汇总表'!N$19:N$33))</f>
        <v>0</v>
      </c>
      <c r="T6" s="1445">
        <f>ROUND($L$14*S6/10000,0)</f>
        <v>0</v>
      </c>
      <c r="U6" s="78">
        <f>L25</f>
        <v>6.27</v>
      </c>
      <c r="V6" s="79">
        <v>2.5000000000000001E-2</v>
      </c>
      <c r="W6" s="79">
        <v>0.1</v>
      </c>
      <c r="X6" s="1263"/>
      <c r="Y6" s="80">
        <v>1</v>
      </c>
      <c r="Z6" s="81"/>
      <c r="AA6" s="74"/>
      <c r="AB6" s="74"/>
      <c r="AC6" s="1263"/>
      <c r="AD6" s="82"/>
      <c r="AE6" s="1264">
        <f ca="1">IF(AN6="",0,SUMIF(INDIRECT("'"&amp;AN6&amp;"'"&amp;"!E:E"),$AE$5,INDIRECT("'"&amp;AN6&amp;"'"&amp;"!F:F")))</f>
        <v>24.09</v>
      </c>
      <c r="AF6" s="1807"/>
      <c r="AG6" s="147">
        <f>IF(AF6="",0,AE6-AF6)</f>
        <v>0</v>
      </c>
      <c r="AH6" s="83"/>
      <c r="AI6" s="85">
        <v>365</v>
      </c>
      <c r="AJ6" s="86"/>
      <c r="AK6" s="87">
        <v>1.4999999999999999E-2</v>
      </c>
      <c r="AL6" s="88">
        <v>1.5E-3</v>
      </c>
      <c r="AM6" s="89">
        <v>0.02</v>
      </c>
      <c r="AN6" s="2309" t="s">
        <v>3076</v>
      </c>
      <c r="AO6" s="55">
        <f ca="1">SUMIF(INDIRECT("'"&amp;AN6&amp;"'"&amp;"!A:A"),"总价",INDIRECT("'"&amp;AN6&amp;"'"&amp;"!B:B"))</f>
        <v>16981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7"/>
      <c r="D16" s="2314"/>
      <c r="E16" s="97"/>
      <c r="F16" s="97"/>
      <c r="G16" s="98">
        <f>ROUND(SUMPRODUCT(G6:G13,K6:K13)/SUMPRODUCT((G6:G13&gt;0)*(K6:K13)),3)</f>
        <v>0.80900000000000005</v>
      </c>
      <c r="H16" s="99">
        <f>ROUND(SUMPRODUCT(H6:H13,K6:K13)/SUMPRODUCT((H6:H13&gt;0)*(K6:K13)),3)</f>
        <v>0.05</v>
      </c>
      <c r="I16" s="100"/>
      <c r="J16" s="100"/>
      <c r="K16" s="101">
        <f>SUM(K6:K15)</f>
        <v>5619.58</v>
      </c>
      <c r="L16" s="102">
        <f>ROUND(M16*10000/SUM(K6:K14),0)</f>
        <v>2500</v>
      </c>
      <c r="M16" s="102">
        <f>SUM(M6:M14)</f>
        <v>1405</v>
      </c>
      <c r="N16" s="103">
        <f>ROUND(SUMPRODUCT(M6:M14,N6:N14)/M16,3)</f>
        <v>0.92</v>
      </c>
      <c r="O16" s="102">
        <f>SUM(O6:O14)</f>
        <v>1293</v>
      </c>
      <c r="P16" s="102">
        <f>SUM(P6:P14)</f>
        <v>112</v>
      </c>
      <c r="Q16" s="104">
        <f>ROUND(SUMPRODUCT(Q6:Q13,K6:K13)/SUMPRODUCT((Q6:Q13&gt;0)*(K6:K13)),2)</f>
        <v>0.25</v>
      </c>
      <c r="R16" s="1257">
        <f ca="1">SUM(R6:R13)</f>
        <v>1220.22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2018</v>
      </c>
      <c r="B19" s="112">
        <v>0</v>
      </c>
      <c r="C19" s="2277" t="s">
        <v>2019</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2020</v>
      </c>
      <c r="B20" s="113">
        <v>2.5</v>
      </c>
      <c r="C20" s="2277" t="s">
        <v>2021</v>
      </c>
      <c r="D20" s="2278"/>
      <c r="E20" s="2277"/>
      <c r="F20" s="2277"/>
      <c r="G20" s="2277"/>
      <c r="H20" s="2277"/>
      <c r="I20" s="2956" t="s">
        <v>3102</v>
      </c>
      <c r="J20" s="2956" t="s">
        <v>3103</v>
      </c>
      <c r="K20" s="2957" t="s">
        <v>3104</v>
      </c>
      <c r="L20" s="2957" t="s">
        <v>3105</v>
      </c>
      <c r="M20" s="2958" t="s">
        <v>3106</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2022</v>
      </c>
      <c r="B21" s="113">
        <v>2.2999999999999998</v>
      </c>
      <c r="C21" s="2277"/>
      <c r="D21" s="2278"/>
      <c r="E21" s="2277"/>
      <c r="F21" s="2277"/>
      <c r="G21" s="2277"/>
      <c r="H21" s="2277"/>
      <c r="I21" s="2277">
        <v>1</v>
      </c>
      <c r="J21" s="2277">
        <f>ROUND('数据-汇总表'!F19/3,2)</f>
        <v>1138.97</v>
      </c>
      <c r="K21" s="168">
        <v>1</v>
      </c>
      <c r="L21" s="168">
        <v>9.5</v>
      </c>
      <c r="M21" s="1584">
        <f>ROUND(J21/J25,2)</f>
        <v>0.2</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2023</v>
      </c>
      <c r="B22" s="114">
        <f>B19+B20</f>
        <v>2.5</v>
      </c>
      <c r="C22" s="2277"/>
      <c r="D22" s="2278"/>
      <c r="E22" s="2277"/>
      <c r="F22" s="2277"/>
      <c r="G22" s="2277"/>
      <c r="H22" s="2277"/>
      <c r="I22" s="2277">
        <v>2</v>
      </c>
      <c r="J22" s="2277">
        <v>1138.97</v>
      </c>
      <c r="K22" s="168">
        <v>0.7</v>
      </c>
      <c r="L22" s="168">
        <f>L21*K22</f>
        <v>6.6499999999999995</v>
      </c>
      <c r="M22" s="1584">
        <f>ROUND(J22/J25,2)</f>
        <v>0.2</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2024</v>
      </c>
      <c r="B23" s="114">
        <f>B19+B21</f>
        <v>2.2999999999999998</v>
      </c>
      <c r="C23" s="2277"/>
      <c r="D23" s="2278"/>
      <c r="E23" s="2277"/>
      <c r="F23" s="2277"/>
      <c r="G23" s="2277"/>
      <c r="H23" s="2277"/>
      <c r="I23" s="2277">
        <v>3</v>
      </c>
      <c r="J23" s="2277">
        <v>1138.96</v>
      </c>
      <c r="K23" s="168">
        <v>0.6</v>
      </c>
      <c r="L23" s="168">
        <f>ROUND(L21*K23,2)</f>
        <v>5.7</v>
      </c>
      <c r="M23" s="1584">
        <f>ROUND(J23/J25,2)</f>
        <v>0.2</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2025</v>
      </c>
      <c r="B24" s="115">
        <f>B20-B21</f>
        <v>0.20000000000000018</v>
      </c>
      <c r="C24" s="2277"/>
      <c r="D24" s="2278"/>
      <c r="E24" s="2277"/>
      <c r="F24" s="2277"/>
      <c r="G24" s="2277"/>
      <c r="H24" s="2277"/>
      <c r="I24" s="2277">
        <v>-1</v>
      </c>
      <c r="J24" s="2277">
        <f>'数据-汇总表'!G19</f>
        <v>2202.6799999999998</v>
      </c>
      <c r="K24" s="168">
        <v>0.5</v>
      </c>
      <c r="L24" s="168">
        <f>L21*K24</f>
        <v>4.75</v>
      </c>
      <c r="M24" s="1584">
        <f>1-M21-M22-M23</f>
        <v>0.40000000000000008</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f>J21+J22+J23+J24</f>
        <v>5619.58</v>
      </c>
      <c r="K25" s="168"/>
      <c r="L25" s="168">
        <f>ROUND(L21*M21+L22*M22+L23*M23+L24*M24,2)</f>
        <v>6.27</v>
      </c>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2026</v>
      </c>
      <c r="B26" s="2320" t="s">
        <v>2027</v>
      </c>
      <c r="C26" s="2321" t="s">
        <v>2028</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2029</v>
      </c>
      <c r="B27" s="116"/>
      <c r="C27" s="1767" t="s">
        <v>2030</v>
      </c>
      <c r="D27" s="2323"/>
      <c r="E27" s="1429"/>
      <c r="F27" s="1429"/>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2031</v>
      </c>
      <c r="B28" s="119">
        <v>200</v>
      </c>
      <c r="C28" s="2326"/>
      <c r="D28" s="2323"/>
      <c r="E28" s="1429"/>
      <c r="F28" s="1429"/>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2032</v>
      </c>
      <c r="B29" s="121"/>
      <c r="C29" s="1767" t="s">
        <v>2033</v>
      </c>
      <c r="D29" s="2323"/>
      <c r="E29" s="1429"/>
      <c r="F29" s="1429"/>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2034</v>
      </c>
      <c r="B30" s="724">
        <v>200</v>
      </c>
      <c r="C30" s="2326"/>
      <c r="D30" s="2323"/>
      <c r="E30" s="1429"/>
      <c r="F30" s="1429"/>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2035</v>
      </c>
      <c r="B31" s="120">
        <f>B30-B32</f>
        <v>0</v>
      </c>
      <c r="C31" s="1767"/>
      <c r="D31" s="2323"/>
      <c r="E31" s="1429"/>
      <c r="F31" s="1429"/>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2036</v>
      </c>
      <c r="B32" s="725">
        <v>200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2037</v>
      </c>
      <c r="B33" s="726">
        <v>0.04</v>
      </c>
      <c r="C33" s="1766" t="s">
        <v>2038</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2039</v>
      </c>
      <c r="B34" s="122">
        <v>0.05</v>
      </c>
      <c r="C34" s="1766" t="s">
        <v>2040</v>
      </c>
      <c r="D34" s="2278" t="s">
        <v>2041</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2042</v>
      </c>
      <c r="B35" s="119">
        <v>200</v>
      </c>
      <c r="C35" s="1766" t="s">
        <v>2043</v>
      </c>
      <c r="D35" s="2323"/>
      <c r="E35" s="1429"/>
      <c r="F35" s="1429"/>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2044</v>
      </c>
      <c r="B36" s="123">
        <v>1.4999999999999999E-2</v>
      </c>
      <c r="C36" s="1766" t="s">
        <v>2045</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2046</v>
      </c>
      <c r="B37" s="124">
        <v>0.02</v>
      </c>
      <c r="C37" s="1766" t="s">
        <v>2047</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2048</v>
      </c>
      <c r="B38" s="122">
        <v>0.02</v>
      </c>
      <c r="C38" s="1766" t="s">
        <v>2047</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2049</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2050</v>
      </c>
      <c r="B40" s="1302">
        <f ca="1">存贷款利率!G1</f>
        <v>4.7500000000000001E-2</v>
      </c>
      <c r="C40" s="1766" t="s">
        <v>2051</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2052</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2053</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2054</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2055</v>
      </c>
      <c r="B44" s="128">
        <v>0.05</v>
      </c>
      <c r="C44" s="1766" t="s">
        <v>2056</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2057</v>
      </c>
      <c r="B45" s="126">
        <v>0.03</v>
      </c>
      <c r="C45" s="1767" t="s">
        <v>2058</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2059</v>
      </c>
      <c r="B46" s="126">
        <v>0.02</v>
      </c>
      <c r="C46" s="1767" t="s">
        <v>2060</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2061</v>
      </c>
      <c r="B47" s="129"/>
      <c r="C47" s="1767" t="s">
        <v>2062</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2063</v>
      </c>
      <c r="B48" s="130">
        <v>0.03</v>
      </c>
      <c r="C48" s="1774" t="s">
        <v>2064</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2065</v>
      </c>
      <c r="B49" s="126">
        <v>5.0000000000000001E-4</v>
      </c>
      <c r="C49" s="1774" t="s">
        <v>2066</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2067</v>
      </c>
      <c r="B50" s="131">
        <v>1.2E-2</v>
      </c>
      <c r="C50" s="1429"/>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2068</v>
      </c>
      <c r="B51" s="132">
        <v>0.12</v>
      </c>
      <c r="C51" s="1429"/>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2069</v>
      </c>
      <c r="B52" s="133">
        <f>SUMIF(A54:A63,B53,B54:B63)</f>
        <v>1.5</v>
      </c>
      <c r="C52" s="1429"/>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2070</v>
      </c>
      <c r="B53" s="2336" t="s">
        <v>56</v>
      </c>
      <c r="C53" s="1429" t="s">
        <v>2071</v>
      </c>
      <c r="D53" s="2337" t="s">
        <v>2072</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c r="C54" s="1429">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c r="C55" s="1429">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c r="C56" s="1429">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c r="C57" s="1429">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c r="C58" s="1429">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5" t="s">
        <v>2083</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5619.58</v>
      </c>
      <c r="C1" s="1745"/>
      <c r="D1" s="1745"/>
      <c r="E1" s="1745"/>
      <c r="F1" s="1745"/>
      <c r="G1" s="1743"/>
    </row>
    <row r="2" spans="1:10" ht="16.5">
      <c r="A2" s="1746" t="s">
        <v>1354</v>
      </c>
      <c r="B2" s="1746">
        <f>SUM(C14:C23)</f>
        <v>1220.22</v>
      </c>
      <c r="C2" s="1745"/>
      <c r="D2" s="1745"/>
      <c r="E2" s="1745"/>
      <c r="F2" s="1745"/>
      <c r="G2" s="1743"/>
    </row>
    <row r="3" spans="1:10" ht="16.5">
      <c r="A3" s="1746" t="s">
        <v>1363</v>
      </c>
      <c r="B3" s="1747">
        <f>项目基本情况!D3</f>
        <v>43105</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14195</v>
      </c>
      <c r="C5" s="1746">
        <f ca="1">ROUND(B5*10000/$B$1,0)</f>
        <v>25260</v>
      </c>
      <c r="D5" s="1746">
        <f ca="1">ROUND(B5*10000/$B$2,0)</f>
        <v>116331</v>
      </c>
      <c r="E5" s="1745"/>
      <c r="F5" s="1743"/>
      <c r="G5" s="1743"/>
    </row>
    <row r="6" spans="1:10" ht="16.5">
      <c r="A6" s="1746" t="s">
        <v>1357</v>
      </c>
      <c r="B6" s="1746">
        <f ca="1">SUM(G14:G23)</f>
        <v>14195</v>
      </c>
      <c r="C6" s="1746">
        <f ca="1">ROUND(B6*10000/$B$1,0)</f>
        <v>25260</v>
      </c>
      <c r="D6" s="1746">
        <f ca="1">ROUND(B6*10000/$B$2,0)</f>
        <v>116331</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 ca="1">SUM(I14:I23)</f>
        <v>11538</v>
      </c>
      <c r="C8" s="1746">
        <f ca="1">ROUND(B8*10000/$B$1,0)</f>
        <v>20532</v>
      </c>
      <c r="D8" s="1746">
        <f ca="1">ROUND(B8*10000/$B$2,0)</f>
        <v>94557</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5619.58</v>
      </c>
      <c r="C14" s="1744">
        <f>结果表!C118</f>
        <v>1220.22</v>
      </c>
      <c r="D14" s="1744">
        <f ca="1">结果表!H118</f>
        <v>14195</v>
      </c>
      <c r="E14" s="1744">
        <f ca="1">ROUND(D14*10000/B14,0)</f>
        <v>25260</v>
      </c>
      <c r="F14" s="1744">
        <f ca="1">ROUND(D14*10000/C14,0)</f>
        <v>116331</v>
      </c>
      <c r="G14" s="1744">
        <f ca="1">结果表!D122</f>
        <v>14195</v>
      </c>
      <c r="H14" s="1744" t="str">
        <f>结果表!D124</f>
        <v>——</v>
      </c>
      <c r="I14" s="1744">
        <f ca="1">结果表!D126</f>
        <v>11538</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6" zoomScaleNormal="100" zoomScaleSheetLayoutView="100" zoomScalePageLayoutView="80" workbookViewId="0">
      <selection activeCell="K83" sqref="K8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2120</v>
      </c>
      <c r="B1" s="2419"/>
      <c r="C1" s="2420"/>
      <c r="D1" s="2419"/>
      <c r="E1" s="2419"/>
      <c r="F1" s="2421" t="s">
        <v>2121</v>
      </c>
      <c r="G1" s="2074" t="s">
        <v>2122</v>
      </c>
      <c r="H1" s="2422" t="str">
        <f>IF(G1="现房","——","估价对象范围")</f>
        <v>估价对象范围</v>
      </c>
      <c r="I1" s="2423" t="s">
        <v>3110</v>
      </c>
    </row>
    <row r="2" spans="1:12" ht="21.75" customHeight="1" thickBot="1">
      <c r="A2" s="3100" t="str">
        <f>项目基本情况!S2</f>
        <v>北京市大兴区黄村镇兴华中路13号，商业娱乐出让国有建设用地使用权及在建建筑物房地产</v>
      </c>
      <c r="B2" s="3101"/>
      <c r="C2" s="3101"/>
      <c r="D2" s="3101"/>
      <c r="E2" s="3101"/>
      <c r="F2" s="3101"/>
      <c r="G2" s="3101"/>
      <c r="H2" s="3101"/>
      <c r="I2" s="3102"/>
    </row>
    <row r="3" spans="1:12" ht="12.75">
      <c r="A3" s="3104" t="s">
        <v>2123</v>
      </c>
      <c r="B3" s="3105"/>
      <c r="C3" s="3105"/>
      <c r="D3" s="3105"/>
      <c r="E3" s="3105"/>
      <c r="F3" s="3105"/>
      <c r="G3" s="3105"/>
      <c r="H3" s="3105"/>
      <c r="I3" s="3105"/>
    </row>
    <row r="4" spans="1:12" ht="14.25">
      <c r="A4" s="2426" t="s">
        <v>2124</v>
      </c>
      <c r="B4" s="2427" t="s">
        <v>2125</v>
      </c>
      <c r="C4" s="2428" t="s">
        <v>3107</v>
      </c>
      <c r="D4" s="2428" t="s">
        <v>3108</v>
      </c>
      <c r="E4" s="3097" t="s">
        <v>2126</v>
      </c>
      <c r="F4" s="3098"/>
      <c r="G4" s="3098"/>
      <c r="H4" s="309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2127</v>
      </c>
      <c r="B5" s="3017">
        <v>25</v>
      </c>
      <c r="C5" s="3083"/>
      <c r="D5" s="3103"/>
      <c r="E5" s="140" t="s">
        <v>2128</v>
      </c>
      <c r="F5" s="2430"/>
      <c r="G5" s="2430"/>
      <c r="H5" s="2430"/>
      <c r="I5" s="1834"/>
    </row>
    <row r="6" spans="1:12" ht="12.75">
      <c r="A6" s="3080"/>
      <c r="B6" s="3017"/>
      <c r="C6" s="3084"/>
      <c r="D6" s="3103"/>
      <c r="E6" s="140" t="s">
        <v>2129</v>
      </c>
      <c r="F6" s="2430"/>
      <c r="G6" s="2430"/>
      <c r="H6" s="2430"/>
      <c r="I6" s="1834"/>
    </row>
    <row r="7" spans="1:12" ht="12.75">
      <c r="A7" s="3080"/>
      <c r="B7" s="3017"/>
      <c r="C7" s="3085"/>
      <c r="D7" s="3103"/>
      <c r="E7" s="140" t="s">
        <v>2130</v>
      </c>
      <c r="F7" s="2430"/>
      <c r="G7" s="2430"/>
      <c r="H7" s="2430"/>
      <c r="I7" s="1834"/>
    </row>
    <row r="8" spans="1:12" ht="12.75">
      <c r="A8" s="3080" t="s">
        <v>2131</v>
      </c>
      <c r="B8" s="3017">
        <v>15</v>
      </c>
      <c r="C8" s="3083"/>
      <c r="D8" s="3103"/>
      <c r="E8" s="140" t="s">
        <v>2132</v>
      </c>
      <c r="F8" s="2430"/>
      <c r="G8" s="2430"/>
      <c r="H8" s="2430"/>
      <c r="I8" s="1834"/>
    </row>
    <row r="9" spans="1:12" ht="12.75">
      <c r="A9" s="3080"/>
      <c r="B9" s="3017"/>
      <c r="C9" s="3085"/>
      <c r="D9" s="3103"/>
      <c r="E9" s="140" t="s">
        <v>2133</v>
      </c>
      <c r="F9" s="2430"/>
      <c r="G9" s="2430"/>
      <c r="H9" s="2430"/>
      <c r="I9" s="1834"/>
    </row>
    <row r="10" spans="1:12" ht="12.75">
      <c r="A10" s="3080" t="s">
        <v>2134</v>
      </c>
      <c r="B10" s="3017">
        <v>15</v>
      </c>
      <c r="C10" s="3083"/>
      <c r="D10" s="3103"/>
      <c r="E10" s="140" t="s">
        <v>2135</v>
      </c>
      <c r="F10" s="2430"/>
      <c r="G10" s="2430"/>
      <c r="H10" s="2430"/>
      <c r="I10" s="1834"/>
    </row>
    <row r="11" spans="1:12" ht="12.75">
      <c r="A11" s="3080"/>
      <c r="B11" s="3017"/>
      <c r="C11" s="3085"/>
      <c r="D11" s="3103"/>
      <c r="E11" s="140" t="s">
        <v>2136</v>
      </c>
      <c r="F11" s="2430"/>
      <c r="G11" s="2430"/>
      <c r="H11" s="2430"/>
      <c r="I11" s="1834"/>
    </row>
    <row r="12" spans="1:12" ht="12.75">
      <c r="A12" s="3080" t="s">
        <v>2137</v>
      </c>
      <c r="B12" s="3017">
        <v>15</v>
      </c>
      <c r="C12" s="3083"/>
      <c r="D12" s="3103"/>
      <c r="E12" s="140" t="s">
        <v>2138</v>
      </c>
      <c r="F12" s="2430"/>
      <c r="G12" s="2430"/>
      <c r="H12" s="2430"/>
      <c r="I12" s="1834"/>
    </row>
    <row r="13" spans="1:12" ht="12.75">
      <c r="A13" s="3080"/>
      <c r="B13" s="3017"/>
      <c r="C13" s="3085"/>
      <c r="D13" s="3103"/>
      <c r="E13" s="140" t="s">
        <v>2139</v>
      </c>
      <c r="F13" s="2430"/>
      <c r="G13" s="2430"/>
      <c r="H13" s="2430"/>
      <c r="I13" s="1834"/>
    </row>
    <row r="14" spans="1:12" ht="12.75">
      <c r="A14" s="3080" t="s">
        <v>2140</v>
      </c>
      <c r="B14" s="3017">
        <v>30</v>
      </c>
      <c r="C14" s="3083">
        <v>5</v>
      </c>
      <c r="D14" s="3103">
        <v>5</v>
      </c>
      <c r="E14" s="140" t="s">
        <v>2141</v>
      </c>
      <c r="F14" s="2430"/>
      <c r="G14" s="2430"/>
      <c r="H14" s="2430"/>
      <c r="I14" s="1834"/>
    </row>
    <row r="15" spans="1:12" ht="12.75">
      <c r="A15" s="3080"/>
      <c r="B15" s="3017"/>
      <c r="C15" s="3084"/>
      <c r="D15" s="3103"/>
      <c r="E15" s="140" t="s">
        <v>2142</v>
      </c>
      <c r="F15" s="2430"/>
      <c r="G15" s="2430"/>
      <c r="H15" s="2430"/>
      <c r="I15" s="1834"/>
    </row>
    <row r="16" spans="1:12" ht="12.75">
      <c r="A16" s="3080"/>
      <c r="B16" s="3017"/>
      <c r="C16" s="3085"/>
      <c r="D16" s="3103"/>
      <c r="E16" s="140" t="s">
        <v>2143</v>
      </c>
      <c r="F16" s="2430"/>
      <c r="G16" s="2430"/>
      <c r="H16" s="2430"/>
      <c r="I16" s="1834"/>
    </row>
    <row r="17" spans="1:35" ht="15">
      <c r="A17" s="2431" t="s">
        <v>2144</v>
      </c>
      <c r="B17" s="64"/>
      <c r="C17" s="141">
        <f>SUM(C5:C16)</f>
        <v>5</v>
      </c>
      <c r="D17" s="141">
        <f>SUM(D5:D16)</f>
        <v>5</v>
      </c>
      <c r="E17" s="138"/>
      <c r="F17" s="138"/>
      <c r="G17" s="138"/>
      <c r="H17" s="138"/>
      <c r="I17" s="138"/>
      <c r="K17" s="2429"/>
      <c r="L17" s="2432" t="s">
        <v>2145</v>
      </c>
      <c r="M17" s="2432" t="s">
        <v>2146</v>
      </c>
    </row>
    <row r="18" spans="1:35" ht="15.75" thickBot="1">
      <c r="A18" s="2433" t="s">
        <v>2147</v>
      </c>
      <c r="B18" s="2434"/>
      <c r="C18" s="142">
        <f>ROUND(C17/SUM(C17:D17),2)</f>
        <v>0.5</v>
      </c>
      <c r="D18" s="142">
        <f>1-C18</f>
        <v>0.5</v>
      </c>
      <c r="E18" s="138"/>
      <c r="F18" s="138"/>
      <c r="G18" s="138"/>
      <c r="H18" s="138"/>
      <c r="I18" s="138"/>
      <c r="K18" s="2429" t="s">
        <v>2148</v>
      </c>
      <c r="L18" s="2429">
        <f>IF(C1="",'数据-汇总表'!E3,SUMIF(项目类型,C1,'数据-汇总表'!E17:E26)+SUMIF(项目类型,C1,'数据-汇总表'!I17:I26))</f>
        <v>5619.58</v>
      </c>
      <c r="M18" s="2429">
        <f>IF(C1="",'数据-汇总表'!E3,SUMIF(项目类型,C1,'数据-汇总表'!E17:E26))</f>
        <v>5619.58</v>
      </c>
    </row>
    <row r="19" spans="1:35" ht="15">
      <c r="A19" s="2435" t="s">
        <v>2149</v>
      </c>
      <c r="B19" s="2436" t="s">
        <v>2150</v>
      </c>
      <c r="C19" s="143">
        <f ca="1">SUMIF(INDIRECT("'"&amp;C4&amp;"'"&amp;"!A:A"),结果表!B19,INDIRECT("'"&amp;C4&amp;"'"&amp;"!B:B"))</f>
        <v>13652</v>
      </c>
      <c r="D19" s="144">
        <f ca="1">SUMIF(INDIRECT("'"&amp;D4&amp;"'"&amp;"!A:A"),结果表!B19,INDIRECT("'"&amp;D4&amp;"'"&amp;"!B:B"))</f>
        <v>14737</v>
      </c>
      <c r="E19" s="2435" t="s">
        <v>2151</v>
      </c>
      <c r="F19" s="2436" t="s">
        <v>2150</v>
      </c>
      <c r="G19" s="145">
        <f ca="1">ROUND(C19*$C$18+D19*$D$18,0)</f>
        <v>14195</v>
      </c>
      <c r="H19" s="2437" t="s">
        <v>2152</v>
      </c>
      <c r="I19" s="138"/>
      <c r="K19" s="2429" t="s">
        <v>2153</v>
      </c>
      <c r="L19" s="2429">
        <f>IF(C1="",'数据-汇总表'!D3,SUMIF(项目类型,C1,'数据-汇总表'!D17:D26)+SUMIF(项目类型,C1,'数据-汇总表'!H17:H27))</f>
        <v>1220.22</v>
      </c>
      <c r="M19" s="2429">
        <f>IF(C1="",'数据-汇总表'!D3,SUMIF(项目类型,C1,'数据-汇总表'!D17:D26))</f>
        <v>1220.22</v>
      </c>
    </row>
    <row r="20" spans="1:35" ht="15">
      <c r="A20" s="2438"/>
      <c r="B20" s="1249" t="s">
        <v>2154</v>
      </c>
      <c r="C20" s="146">
        <f ca="1">SUMIF(INDIRECT("'"&amp;C4&amp;"'"&amp;"!A:A"),结果表!B20,INDIRECT("'"&amp;C4&amp;"'"&amp;"!B:B"))</f>
        <v>24294</v>
      </c>
      <c r="D20" s="147">
        <f ca="1">SUMIF(INDIRECT("'"&amp;D4&amp;"'"&amp;"!A:A"),结果表!B20,INDIRECT("'"&amp;D4&amp;"'"&amp;"!B:B"))</f>
        <v>26224</v>
      </c>
      <c r="E20" s="2438"/>
      <c r="F20" s="1249" t="s">
        <v>2154</v>
      </c>
      <c r="G20" s="148">
        <f ca="1">ROUND(C20*$C$18+D20*$D$18,0)</f>
        <v>25259</v>
      </c>
      <c r="H20" s="982" t="s">
        <v>2155</v>
      </c>
      <c r="I20" s="138"/>
    </row>
    <row r="21" spans="1:35" ht="15" customHeight="1" thickBot="1">
      <c r="A21" s="1002"/>
      <c r="B21" s="2439" t="s">
        <v>2156</v>
      </c>
      <c r="C21" s="789">
        <f ca="1">ROUND(C19*10000/L19,0)</f>
        <v>111881</v>
      </c>
      <c r="D21" s="790">
        <f ca="1">ROUND(D19*10000/L19,0)</f>
        <v>120773</v>
      </c>
      <c r="E21" s="1002"/>
      <c r="F21" s="2439" t="s">
        <v>2156</v>
      </c>
      <c r="G21" s="149">
        <f ca="1">ROUND(G19*10000/L19,0)</f>
        <v>116331</v>
      </c>
      <c r="H21" s="2440" t="s">
        <v>2155</v>
      </c>
      <c r="I21" s="138"/>
    </row>
    <row r="22" spans="1:35" ht="15" thickBot="1">
      <c r="A22" s="2281" t="s">
        <v>2157</v>
      </c>
      <c r="B22" s="2441"/>
      <c r="C22" s="2442"/>
      <c r="D22" s="791">
        <f ca="1">IF(C19&lt;D19,D19/C19-1,C19/D19-1)</f>
        <v>7.9475534720187424E-2</v>
      </c>
      <c r="E22" s="138"/>
      <c r="F22" s="138"/>
      <c r="G22" s="138"/>
      <c r="H22" s="138"/>
      <c r="I22" s="138"/>
    </row>
    <row r="23" spans="1:35" ht="13.5" thickBot="1">
      <c r="A23" s="2419"/>
      <c r="B23" s="2419"/>
      <c r="C23" s="2419"/>
      <c r="D23" s="2419"/>
      <c r="E23" s="138"/>
      <c r="F23" s="138"/>
      <c r="G23" s="138"/>
      <c r="H23" s="138"/>
      <c r="I23" s="138"/>
    </row>
    <row r="24" spans="1:35" ht="14.25">
      <c r="A24" s="3074" t="s">
        <v>2158</v>
      </c>
      <c r="B24" s="2436" t="s">
        <v>2150</v>
      </c>
      <c r="C24" s="145">
        <f>IF(B30=0,0,D30)</f>
        <v>0</v>
      </c>
      <c r="D24" s="2443"/>
      <c r="E24" s="138"/>
      <c r="F24" s="138"/>
      <c r="G24" s="138"/>
      <c r="H24" s="138"/>
      <c r="I24" s="138"/>
    </row>
    <row r="25" spans="1:35" ht="14.25">
      <c r="A25" s="3075"/>
      <c r="B25" s="1249" t="s">
        <v>2154</v>
      </c>
      <c r="C25" s="150">
        <f>IF(B30=0,0,C30)</f>
        <v>0</v>
      </c>
      <c r="D25" s="2444"/>
      <c r="E25" s="138"/>
      <c r="F25" s="138"/>
      <c r="G25" s="138"/>
      <c r="H25" s="138"/>
      <c r="I25" s="138"/>
    </row>
    <row r="26" spans="1:35" ht="13.5" customHeight="1">
      <c r="A26" s="2445" t="s">
        <v>2159</v>
      </c>
      <c r="B26" s="151" t="s">
        <v>2160</v>
      </c>
      <c r="C26" s="151" t="s">
        <v>2161</v>
      </c>
      <c r="D26" s="152" t="s">
        <v>2162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2163</v>
      </c>
      <c r="B30" s="151"/>
      <c r="C30" s="151"/>
      <c r="D30" s="151"/>
      <c r="E30" s="2945" t="s">
        <v>3040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2164</v>
      </c>
      <c r="B32" s="2449"/>
      <c r="C32" s="153">
        <f ca="1">IF(D32="总价",G19-C24,G20-C25)</f>
        <v>14195</v>
      </c>
      <c r="D32" s="2450" t="s">
        <v>2165</v>
      </c>
      <c r="E32" s="138"/>
      <c r="F32" s="138"/>
      <c r="G32" s="138"/>
      <c r="H32" s="138"/>
      <c r="I32" s="138"/>
    </row>
    <row r="33" spans="1:15" ht="15">
      <c r="A33" s="959" t="s">
        <v>2166</v>
      </c>
      <c r="B33" s="2451"/>
      <c r="C33" s="2452" t="s">
        <v>3113</v>
      </c>
      <c r="D33" s="2453" t="s">
        <v>3107</v>
      </c>
      <c r="E33" s="2454" t="s">
        <v>2167</v>
      </c>
      <c r="F33" s="2455" t="str">
        <f>IF(D32="楼面单价","取值（单价）","取值（总价）")</f>
        <v>取值（总价）</v>
      </c>
      <c r="G33" s="138"/>
      <c r="H33" s="138"/>
      <c r="I33" s="138"/>
    </row>
    <row r="34" spans="1:15" ht="15">
      <c r="A34" s="2456"/>
      <c r="B34" s="2457" t="s">
        <v>2168</v>
      </c>
      <c r="C34" s="157">
        <f ca="1">IF(C33="自定义",F34,C32-C35)</f>
        <v>11995</v>
      </c>
      <c r="D34" s="1057">
        <f ca="1">IF(C33="自定义",ROUND(C34/C32,3),IF(C33="收益比率",SUMIF(INDIRECT("'"&amp;D33&amp;"'"&amp;"!b:b"),"土地收益比率",INDIRECT("'"&amp;D33&amp;"'"&amp;"!c:c")),SUMIF(INDIRECT("'"&amp;D33&amp;"'"&amp;"!b:b"),"土地成本比率",INDIRECT("'"&amp;D33&amp;"'"&amp;"!c:c"))))</f>
        <v>0.84499999999999997</v>
      </c>
      <c r="E34" s="2458" t="s">
        <v>2169</v>
      </c>
      <c r="F34" s="1739"/>
      <c r="G34" s="138"/>
      <c r="H34" s="138"/>
      <c r="I34" s="138"/>
    </row>
    <row r="35" spans="1:15" ht="15.75" thickBot="1">
      <c r="A35" s="2459"/>
      <c r="B35" s="2460" t="s">
        <v>2170</v>
      </c>
      <c r="C35" s="1443">
        <f ca="1">IF(C33="自定义",F35,ROUND(C32*D35,0))</f>
        <v>2200</v>
      </c>
      <c r="D35" s="1444">
        <f ca="1">IF(C33="自定义",ROUND(C35/C32,3),IF(C33="收益比率",SUMIF(INDIRECT("'"&amp;D33&amp;"'"&amp;"!b:b"),"建筑物收益比率",INDIRECT("'"&amp;D33&amp;"'"&amp;"!c:c")),SUMIF(INDIRECT("'"&amp;D33&amp;"'"&amp;"!b:b"),"建筑物成本比率",INDIRECT("'"&amp;D33&amp;"'"&amp;"!c:c"))))</f>
        <v>0.155</v>
      </c>
      <c r="E35" s="2461" t="s">
        <v>2171</v>
      </c>
      <c r="F35" s="163"/>
      <c r="G35" s="138"/>
      <c r="H35" s="138"/>
      <c r="I35" s="138"/>
    </row>
    <row r="36" spans="1:15" ht="15.75" thickBot="1">
      <c r="A36" s="3092" t="s">
        <v>2172</v>
      </c>
      <c r="B36" s="2462" t="s">
        <v>2173</v>
      </c>
      <c r="C36" s="154"/>
      <c r="D36" s="2463"/>
      <c r="E36" s="2464"/>
      <c r="F36" s="2465"/>
      <c r="G36" s="138"/>
      <c r="H36" s="138"/>
      <c r="I36" s="138"/>
    </row>
    <row r="37" spans="1:15" ht="15.75" thickBot="1">
      <c r="A37" s="3093"/>
      <c r="B37" s="2267" t="s">
        <v>2174</v>
      </c>
      <c r="C37" s="156"/>
      <c r="D37" s="1394"/>
      <c r="E37" s="1394"/>
      <c r="F37" s="2465"/>
      <c r="G37" s="138"/>
      <c r="H37" s="138"/>
      <c r="I37" s="138"/>
    </row>
    <row r="38" spans="1:15" ht="15.75" thickBot="1">
      <c r="A38" s="3094"/>
      <c r="B38" s="2466" t="s">
        <v>2175</v>
      </c>
      <c r="C38" s="727"/>
      <c r="D38" s="2467" t="s">
        <v>2176</v>
      </c>
      <c r="E38" s="1394"/>
      <c r="F38" s="2465"/>
      <c r="G38" s="138"/>
      <c r="H38" s="138"/>
      <c r="I38" s="138"/>
    </row>
    <row r="39" spans="1:15" ht="15">
      <c r="A39" s="2438" t="s">
        <v>2177</v>
      </c>
      <c r="B39" s="2468" t="s">
        <v>2178</v>
      </c>
      <c r="C39" s="2469" t="s">
        <v>2179</v>
      </c>
      <c r="D39" s="2469" t="s">
        <v>2180</v>
      </c>
      <c r="E39" s="2470" t="s">
        <v>2181</v>
      </c>
      <c r="F39" s="2465"/>
      <c r="G39" s="138"/>
      <c r="H39" s="138"/>
      <c r="I39" s="138"/>
    </row>
    <row r="40" spans="1:15" ht="14.25">
      <c r="A40" s="2471" t="s">
        <v>2182</v>
      </c>
      <c r="B40" s="158"/>
      <c r="C40" s="159"/>
      <c r="D40" s="159"/>
      <c r="E40" s="160"/>
      <c r="F40" s="2465"/>
      <c r="G40" s="138"/>
      <c r="H40" s="138"/>
      <c r="I40" s="138"/>
    </row>
    <row r="41" spans="1:15" ht="14.25">
      <c r="A41" s="2471" t="s">
        <v>2183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071" t="s">
        <v>2186</v>
      </c>
      <c r="B45" s="3072"/>
      <c r="C45" s="3073"/>
      <c r="D45" s="164">
        <f ca="1">ROUND(H101*F45,0)</f>
        <v>8517</v>
      </c>
      <c r="E45" s="165" t="s">
        <v>2187</v>
      </c>
      <c r="F45" s="166">
        <v>0.6</v>
      </c>
      <c r="G45" s="167" t="s">
        <v>2188</v>
      </c>
      <c r="H45" s="138"/>
      <c r="I45" s="138"/>
      <c r="J45" s="3131" t="s">
        <v>2189</v>
      </c>
      <c r="K45" s="3131"/>
      <c r="L45" s="3131"/>
      <c r="M45" s="3131"/>
      <c r="N45" s="3131"/>
      <c r="O45" s="3131"/>
    </row>
    <row r="46" spans="1:15" ht="14.25" customHeight="1">
      <c r="A46" s="3068" t="s">
        <v>2190</v>
      </c>
      <c r="B46" s="3069"/>
      <c r="C46" s="3069"/>
      <c r="D46" s="3069"/>
      <c r="E46" s="3069"/>
      <c r="F46" s="3069"/>
      <c r="G46" s="3070"/>
      <c r="H46" s="2481"/>
      <c r="I46" s="168"/>
      <c r="J46" s="1812">
        <v>1</v>
      </c>
      <c r="K46" s="3131" t="s">
        <v>2191</v>
      </c>
      <c r="L46" s="3131"/>
      <c r="M46" s="3151"/>
      <c r="N46" s="3151"/>
      <c r="O46" s="3151"/>
    </row>
    <row r="47" spans="1:15" ht="12" customHeight="1">
      <c r="A47" s="169" t="s">
        <v>2192</v>
      </c>
      <c r="B47" s="170"/>
      <c r="C47" s="171"/>
      <c r="D47" s="172" t="s">
        <v>2193</v>
      </c>
      <c r="E47" s="24" t="s">
        <v>2194</v>
      </c>
      <c r="F47" s="173" t="s">
        <v>2195</v>
      </c>
      <c r="G47" s="174" t="s">
        <v>2196</v>
      </c>
      <c r="H47" s="2481"/>
      <c r="I47" s="168"/>
      <c r="J47" s="1812">
        <v>2</v>
      </c>
      <c r="K47" s="3131" t="s">
        <v>2197</v>
      </c>
      <c r="L47" s="3131"/>
      <c r="M47" s="3152">
        <f>'数据-取费表'!B2</f>
        <v>43105</v>
      </c>
      <c r="N47" s="3152"/>
      <c r="O47" s="3152"/>
    </row>
    <row r="48" spans="1:15" ht="25.5">
      <c r="A48" s="3099" t="s">
        <v>2198</v>
      </c>
      <c r="B48" s="3082"/>
      <c r="C48" s="3082"/>
      <c r="D48" s="140">
        <f ca="1">IF(H48="情况1",0,IF(H48="情况2",D52,IF(H48="情况3",D53,IF(H48="情况4",D54))))</f>
        <v>446</v>
      </c>
      <c r="E48" s="1801" t="str">
        <f>IF(H48="情况4","(销售额-原购置价)×税（费）率","销售额×税（费）率")</f>
        <v>销售额×税（费）率</v>
      </c>
      <c r="F48" s="175">
        <f>IF(H48="情况1","免征",'数据-取费表'!B41)</f>
        <v>5.5000000000000007E-2</v>
      </c>
      <c r="G48" s="2482" t="s">
        <v>2199</v>
      </c>
      <c r="H48" s="2483" t="s">
        <v>3255</v>
      </c>
      <c r="I48" s="2481"/>
      <c r="J48" s="1812">
        <v>3</v>
      </c>
      <c r="K48" s="3131" t="s">
        <v>2200</v>
      </c>
      <c r="L48" s="3131"/>
      <c r="M48" s="3153">
        <f ca="1">H101</f>
        <v>14195</v>
      </c>
      <c r="N48" s="3153"/>
      <c r="O48" s="3153"/>
    </row>
    <row r="49" spans="1:35" ht="25.5" customHeight="1">
      <c r="A49" s="176" t="s">
        <v>2201</v>
      </c>
      <c r="B49" s="3067" t="s">
        <v>2202</v>
      </c>
      <c r="C49" s="3067"/>
      <c r="D49" s="177">
        <v>0</v>
      </c>
      <c r="E49" s="23" t="s">
        <v>2203</v>
      </c>
      <c r="F49" s="28" t="s">
        <v>34</v>
      </c>
      <c r="G49" s="3137"/>
      <c r="H49" s="138"/>
      <c r="I49" s="2484"/>
      <c r="J49" s="1812">
        <v>4</v>
      </c>
      <c r="K49" s="3131" t="str">
        <f>IF(项目基本情况!E8="房地产抵押价值","房地产抵押价值","抵押担保权已注销时的房地产抵押价值")</f>
        <v>房地产抵押价值</v>
      </c>
      <c r="L49" s="3131"/>
      <c r="M49" s="3153">
        <f ca="1">IF(项目基本情况!E8="房地产抵押价值",H107,H109)</f>
        <v>14195</v>
      </c>
      <c r="N49" s="3153"/>
      <c r="O49" s="3153"/>
    </row>
    <row r="50" spans="1:35" ht="25.5" customHeight="1">
      <c r="A50" s="178"/>
      <c r="B50" s="3067" t="s">
        <v>2204</v>
      </c>
      <c r="C50" s="3067"/>
      <c r="D50" s="179"/>
      <c r="E50" s="31"/>
      <c r="F50" s="180"/>
      <c r="G50" s="3138"/>
      <c r="H50" s="138"/>
      <c r="I50" s="2484"/>
      <c r="J50" s="3131" t="s">
        <v>2205</v>
      </c>
      <c r="K50" s="3131"/>
      <c r="L50" s="3131"/>
      <c r="M50" s="3131"/>
      <c r="N50" s="3131"/>
      <c r="O50" s="3131"/>
    </row>
    <row r="51" spans="1:35" ht="12" customHeight="1">
      <c r="A51" s="181"/>
      <c r="B51" s="3067" t="s">
        <v>2206</v>
      </c>
      <c r="C51" s="3067"/>
      <c r="D51" s="182"/>
      <c r="E51" s="30"/>
      <c r="F51" s="180"/>
      <c r="G51" s="3139"/>
      <c r="H51" s="138"/>
      <c r="I51" s="2484"/>
      <c r="J51" s="2485" t="s">
        <v>2207</v>
      </c>
      <c r="K51" s="3131" t="s">
        <v>2208</v>
      </c>
      <c r="L51" s="3131"/>
      <c r="M51" s="2485" t="s">
        <v>2209</v>
      </c>
      <c r="N51" s="2485" t="s">
        <v>2210</v>
      </c>
      <c r="O51" s="2485" t="s">
        <v>2211</v>
      </c>
    </row>
    <row r="52" spans="1:35" ht="24" customHeight="1">
      <c r="A52" s="183" t="s">
        <v>2212</v>
      </c>
      <c r="B52" s="3067" t="s">
        <v>2213</v>
      </c>
      <c r="C52" s="3067"/>
      <c r="D52" s="182">
        <f ca="1">ROUND(D45*'数据-取费表'!B41/(1+'数据-取费表'!C42),0)</f>
        <v>446</v>
      </c>
      <c r="E52" s="11" t="s">
        <v>2214</v>
      </c>
      <c r="F52" s="184">
        <f>'数据-取费表'!B41</f>
        <v>5.5000000000000007E-2</v>
      </c>
      <c r="G52" s="2486"/>
      <c r="H52" s="138"/>
      <c r="I52" s="2484"/>
      <c r="J52" s="1812">
        <v>1</v>
      </c>
      <c r="K52" s="3132" t="s">
        <v>2215</v>
      </c>
      <c r="L52" s="3132"/>
      <c r="M52" s="1754">
        <f ca="1">D48</f>
        <v>446</v>
      </c>
      <c r="N52" s="1812" t="str">
        <f>E48</f>
        <v>销售额×税（费）率</v>
      </c>
      <c r="O52" s="1755">
        <f>F48</f>
        <v>5.5000000000000007E-2</v>
      </c>
    </row>
    <row r="53" spans="1:35" ht="12" customHeight="1">
      <c r="A53" s="183" t="s">
        <v>2216</v>
      </c>
      <c r="B53" s="3090" t="s">
        <v>2217</v>
      </c>
      <c r="C53" s="3091"/>
      <c r="D53" s="182">
        <f ca="1">ROUND(D45*'数据-取费表'!B41/(1+'数据-取费表'!C42),0)</f>
        <v>446</v>
      </c>
      <c r="E53" s="11" t="s">
        <v>2214</v>
      </c>
      <c r="F53" s="184">
        <f>'数据-取费表'!B41</f>
        <v>5.5000000000000007E-2</v>
      </c>
      <c r="G53" s="2486"/>
      <c r="H53" s="138"/>
      <c r="I53" s="2484"/>
      <c r="J53" s="1812">
        <v>2</v>
      </c>
      <c r="K53" s="3132" t="s">
        <v>2218</v>
      </c>
      <c r="L53" s="3132"/>
      <c r="M53" s="1754">
        <f t="shared" ref="M53:O54" ca="1" si="0">D55</f>
        <v>4</v>
      </c>
      <c r="N53" s="1812" t="str">
        <f t="shared" si="0"/>
        <v>销售额×税（费）率</v>
      </c>
      <c r="O53" s="1755">
        <f t="shared" si="0"/>
        <v>5.0000000000000001E-4</v>
      </c>
    </row>
    <row r="54" spans="1:35" ht="12" customHeight="1">
      <c r="A54" s="183" t="s">
        <v>2219</v>
      </c>
      <c r="B54" s="3090" t="s">
        <v>2220</v>
      </c>
      <c r="C54" s="3091"/>
      <c r="D54" s="182">
        <f ca="1">C68</f>
        <v>446</v>
      </c>
      <c r="E54" s="30" t="s">
        <v>2221</v>
      </c>
      <c r="F54" s="184">
        <f>'数据-取费表'!B41</f>
        <v>5.5000000000000007E-2</v>
      </c>
      <c r="G54" s="2486"/>
      <c r="H54" s="2487"/>
      <c r="I54" s="2484"/>
      <c r="J54" s="1812">
        <v>3</v>
      </c>
      <c r="K54" s="3132" t="s">
        <v>2222</v>
      </c>
      <c r="L54" s="3132"/>
      <c r="M54" s="1754">
        <f t="shared" ca="1" si="0"/>
        <v>2207</v>
      </c>
      <c r="N54" s="1812" t="str">
        <f t="shared" si="0"/>
        <v>增值额×税（费）率</v>
      </c>
      <c r="O54" s="1756" t="str">
        <f t="shared" si="0"/>
        <v>——</v>
      </c>
    </row>
    <row r="55" spans="1:35" ht="24" customHeight="1">
      <c r="A55" s="3081" t="s">
        <v>2223</v>
      </c>
      <c r="B55" s="3082"/>
      <c r="C55" s="3082"/>
      <c r="D55" s="185">
        <f ca="1">IF(H55="个人住宅",0,ROUND(D45*I55,0))</f>
        <v>4</v>
      </c>
      <c r="E55" s="11" t="s">
        <v>2224</v>
      </c>
      <c r="F55" s="184">
        <f>IF(H55="正常",I55,"免征")</f>
        <v>5.0000000000000001E-4</v>
      </c>
      <c r="G55" s="2486"/>
      <c r="H55" s="2483" t="s">
        <v>2225</v>
      </c>
      <c r="I55" s="186">
        <f>'数据-取费表'!B49</f>
        <v>5.0000000000000001E-4</v>
      </c>
      <c r="J55" s="1812" t="str">
        <f>IF(H59="非个人房产","",4)</f>
        <v/>
      </c>
      <c r="K55" s="3132" t="str">
        <f>IF(H59="非个人房产","——","个人所得税")</f>
        <v>——</v>
      </c>
      <c r="L55" s="3132"/>
      <c r="M55" s="1757" t="str">
        <f>D59</f>
        <v>——</v>
      </c>
      <c r="N55" s="1810" t="str">
        <f>E59</f>
        <v>——</v>
      </c>
      <c r="O55" s="1758" t="str">
        <f>F59</f>
        <v>——</v>
      </c>
    </row>
    <row r="56" spans="1:35" ht="24.75">
      <c r="A56" s="3081" t="s">
        <v>2226</v>
      </c>
      <c r="B56" s="3082"/>
      <c r="C56" s="3082"/>
      <c r="D56" s="185">
        <f ca="1">IF(H56="个人住宅",D57,D58)</f>
        <v>2207</v>
      </c>
      <c r="E56" s="11" t="s">
        <v>2227</v>
      </c>
      <c r="F56" s="184" t="str">
        <f>IF(H56="正常",F58,"免征")</f>
        <v>——</v>
      </c>
      <c r="G56" s="2488" t="s">
        <v>2228</v>
      </c>
      <c r="H56" s="2489" t="s">
        <v>2225</v>
      </c>
      <c r="I56" s="2490"/>
      <c r="J56" s="1812"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2201</v>
      </c>
      <c r="B57" s="3097" t="s">
        <v>2229</v>
      </c>
      <c r="C57" s="3106"/>
      <c r="D57" s="187">
        <v>0</v>
      </c>
      <c r="E57" s="23" t="s">
        <v>2203</v>
      </c>
      <c r="F57" s="155"/>
      <c r="G57" s="2486"/>
      <c r="H57" s="2490"/>
      <c r="I57" s="2490"/>
      <c r="J57" s="3132">
        <f>IF(AND(J55="",J56=""),4,IF(项目基本情况!K6="上海银行",结果表!J56+1,结果表!J55+1))</f>
        <v>4</v>
      </c>
      <c r="K57" s="3132" t="s">
        <v>2230</v>
      </c>
      <c r="L57" s="2491" t="s">
        <v>2231</v>
      </c>
      <c r="M57" s="1759"/>
      <c r="N57" s="1760">
        <f ca="1">SUMIF(M52:M56,"&lt;9e307")</f>
        <v>2657</v>
      </c>
      <c r="O57" s="2492"/>
      <c r="P57" s="1753">
        <f ca="1">N57/M49</f>
        <v>0.18717858400845369</v>
      </c>
    </row>
    <row r="58" spans="1:35" ht="24.75">
      <c r="A58" s="183" t="s">
        <v>2212</v>
      </c>
      <c r="B58" s="3097" t="s">
        <v>2232</v>
      </c>
      <c r="C58" s="3098"/>
      <c r="D58" s="185">
        <f ca="1">IF(H58="转让取得",C81,C97)</f>
        <v>2207</v>
      </c>
      <c r="E58" s="11" t="s">
        <v>2227</v>
      </c>
      <c r="F58" s="24" t="s">
        <v>34</v>
      </c>
      <c r="G58" s="2486"/>
      <c r="H58" s="2489" t="s">
        <v>2233</v>
      </c>
      <c r="I58" s="2490"/>
      <c r="J58" s="3132"/>
      <c r="K58" s="3132"/>
      <c r="L58" s="2491" t="s">
        <v>2234</v>
      </c>
      <c r="M58" s="1761"/>
      <c r="N58" s="2493" t="str">
        <f ca="1">NUMBERSTRING(INT(N57*10000),2)&amp;"元整"</f>
        <v>贰仟陆佰伍拾柒万元整</v>
      </c>
      <c r="O58" s="2494"/>
    </row>
    <row r="59" spans="1:35" ht="24.75" thickBot="1">
      <c r="A59" s="3135" t="s">
        <v>2235</v>
      </c>
      <c r="B59" s="3136"/>
      <c r="C59" s="3136"/>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33">
        <f>J57+1</f>
        <v>5</v>
      </c>
      <c r="K59" s="3132" t="s">
        <v>2237</v>
      </c>
      <c r="L59" s="1812" t="s">
        <v>2231</v>
      </c>
      <c r="M59" s="1762"/>
      <c r="N59" s="1763">
        <f ca="1">M49-N57</f>
        <v>11538</v>
      </c>
      <c r="O59" s="2496"/>
    </row>
    <row r="60" spans="1:35" ht="12" customHeight="1">
      <c r="A60" s="2497"/>
      <c r="B60" s="2419"/>
      <c r="C60" s="2419"/>
      <c r="D60" s="2419"/>
      <c r="E60" s="2169"/>
      <c r="F60" s="2490"/>
      <c r="G60" s="2490"/>
      <c r="H60" s="2498"/>
      <c r="I60" s="138"/>
      <c r="J60" s="3134"/>
      <c r="K60" s="3132"/>
      <c r="L60" s="2491" t="s">
        <v>2234</v>
      </c>
      <c r="M60" s="1761"/>
      <c r="N60" s="2493" t="str">
        <f ca="1">NUMBERSTRING(INT(N59*10000),2)&amp;"元整"</f>
        <v>壹亿壹仟伍佰叁拾捌万元整</v>
      </c>
      <c r="O60" s="2494"/>
    </row>
    <row r="61" spans="1:35" ht="13.5" thickBot="1">
      <c r="A61" s="3079" t="s">
        <v>2238</v>
      </c>
      <c r="B61" s="3079"/>
      <c r="C61" s="3079"/>
      <c r="D61" s="3079"/>
      <c r="E61" s="3079"/>
      <c r="F61" s="2490"/>
      <c r="G61" s="2490"/>
      <c r="H61" s="2498"/>
      <c r="I61" s="138"/>
      <c r="J61" s="1812">
        <f>J59+1</f>
        <v>6</v>
      </c>
      <c r="K61" s="3132" t="s">
        <v>2239</v>
      </c>
      <c r="L61" s="3132"/>
      <c r="M61" s="1764"/>
      <c r="N61" s="1765">
        <f ca="1">ROUND(N59*10000/'数据-汇总表'!E3,0)</f>
        <v>20532</v>
      </c>
      <c r="O61" s="2499"/>
    </row>
    <row r="62" spans="1:35" ht="12.75">
      <c r="A62" s="3095" t="s">
        <v>2240</v>
      </c>
      <c r="B62" s="3096"/>
      <c r="C62" s="1804"/>
      <c r="D62" s="1804" t="s">
        <v>2241</v>
      </c>
      <c r="E62" s="192" t="s">
        <v>2242</v>
      </c>
      <c r="F62" s="2490"/>
      <c r="G62" s="2490"/>
      <c r="H62" s="2498"/>
      <c r="I62" s="138"/>
    </row>
    <row r="63" spans="1:35" ht="12.75">
      <c r="A63" s="203" t="s">
        <v>775</v>
      </c>
      <c r="B63" s="193" t="s">
        <v>2243</v>
      </c>
      <c r="C63" s="194">
        <f ca="1">ROUND((C64+C65)/(1+'数据-取费表'!C42),0)</f>
        <v>8111</v>
      </c>
      <c r="D63" s="195"/>
      <c r="E63" s="196"/>
      <c r="F63" s="2490"/>
      <c r="G63" s="2490"/>
      <c r="H63" s="2498"/>
      <c r="I63" s="138"/>
      <c r="J63" s="3157" t="s">
        <v>2244</v>
      </c>
      <c r="K63" s="2500" t="s">
        <v>2245</v>
      </c>
      <c r="L63" s="1752">
        <f ca="1">IF(M49&gt;10000,M49*0.5%,IF(AND(M49&gt;1000,M49&lt;=10000),M49*1%,IF(AND(M49&gt;100,M49&lt;=1000),M49*3%,IF(AND(M49&gt;10,M49&lt;=100),M49*5%,M49*8%))))</f>
        <v>70.975000000000009</v>
      </c>
      <c r="M63" s="24">
        <f ca="1">ROUND(L63,1)</f>
        <v>71</v>
      </c>
      <c r="Z63" s="2424"/>
      <c r="AI63" s="2425"/>
    </row>
    <row r="64" spans="1:35" ht="14.25" customHeight="1">
      <c r="A64" s="197" t="s">
        <v>770</v>
      </c>
      <c r="B64" s="198" t="s">
        <v>2246</v>
      </c>
      <c r="C64" s="199">
        <f ca="1">D45</f>
        <v>8517</v>
      </c>
      <c r="D64" s="200" t="s">
        <v>32</v>
      </c>
      <c r="E64" s="201"/>
      <c r="F64" s="2490"/>
      <c r="G64" s="2490"/>
      <c r="H64" s="2498"/>
      <c r="I64" s="138"/>
      <c r="J64" s="3157"/>
      <c r="K64" s="2500" t="s">
        <v>2247</v>
      </c>
      <c r="L64" s="1752">
        <f ca="1">IF(M49&gt;2000,M49*0.5%,IF(AND(M49&gt;1000,M49&lt;=2000),M49*0.6%,IF(AND(M49&gt;500,M49&lt;=1000),M49*0.7%,IF(AND(M49&gt;200,M49&lt;=500),M49*0.8%,IF(AND(M49&gt;100,M49&lt;=200),M49*0.9%,IF(AND(M49&gt;50,M49&lt;=100),M49*1%,IF(AND(M49&gt;20,M49&lt;=50),M49*1.5%,IF(AND(M49&gt;10,M49&lt;=20),M49*2%,IF(AND(M49&gt;1,M49&lt;=10),M49*2.5%)))))))))</f>
        <v>70.975000000000009</v>
      </c>
      <c r="M64" s="24">
        <f t="shared" ref="M64:M65" ca="1" si="1">ROUND(L64,1)</f>
        <v>71</v>
      </c>
      <c r="N64" s="138" t="s">
        <v>2248</v>
      </c>
      <c r="Z64" s="2424"/>
      <c r="AI64" s="2425"/>
    </row>
    <row r="65" spans="1:35" ht="14.25" customHeight="1">
      <c r="A65" s="197" t="s">
        <v>771</v>
      </c>
      <c r="B65" s="198" t="s">
        <v>2249</v>
      </c>
      <c r="C65" s="202"/>
      <c r="D65" s="200"/>
      <c r="E65" s="201"/>
      <c r="F65" s="2490"/>
      <c r="G65" s="2490"/>
      <c r="H65" s="2498"/>
      <c r="I65" s="138"/>
      <c r="J65" s="3157"/>
      <c r="K65" s="2500" t="s">
        <v>2250</v>
      </c>
      <c r="L65" s="1752">
        <f ca="1">IF(M49&gt;1000,M49*0.1%,IF(AND(M49&gt;500,M49&lt;=1000),M49*0.5%,IF(AND(M49&gt;50,M49&lt;=500),M49*1%,IF(AND(M49&gt;1,M49&lt;=50),M49*1.5%))))</f>
        <v>14.195</v>
      </c>
      <c r="M65" s="24">
        <f t="shared" ca="1" si="1"/>
        <v>14.2</v>
      </c>
      <c r="N65" s="138" t="s">
        <v>2248</v>
      </c>
      <c r="Z65" s="2424"/>
      <c r="AI65" s="2425"/>
    </row>
    <row r="66" spans="1:35" ht="14.25" customHeight="1">
      <c r="A66" s="203" t="s">
        <v>772</v>
      </c>
      <c r="B66" s="204" t="s">
        <v>2251</v>
      </c>
      <c r="C66" s="205"/>
      <c r="D66" s="206" t="s">
        <v>32</v>
      </c>
      <c r="E66" s="1776" t="s">
        <v>1372</v>
      </c>
      <c r="F66" s="2490"/>
      <c r="G66" s="2490"/>
      <c r="H66" s="2498"/>
      <c r="I66" s="138"/>
      <c r="J66" s="3157"/>
      <c r="K66" s="2500" t="s">
        <v>2252</v>
      </c>
      <c r="L66" s="1752">
        <f ca="1">M49*0.5%</f>
        <v>70.975000000000009</v>
      </c>
      <c r="M66" s="24">
        <f ca="1">IF(L66&gt;0.5,0.5,ROUND(L66,0))</f>
        <v>0.5</v>
      </c>
      <c r="N66" s="138" t="s">
        <v>2253</v>
      </c>
      <c r="Z66" s="2424"/>
      <c r="AI66" s="2425"/>
    </row>
    <row r="67" spans="1:35" ht="14.25" customHeight="1">
      <c r="A67" s="203" t="s">
        <v>773</v>
      </c>
      <c r="B67" s="204" t="s">
        <v>2254</v>
      </c>
      <c r="C67" s="207">
        <f ca="1">C63-C66</f>
        <v>8111</v>
      </c>
      <c r="D67" s="200" t="s">
        <v>32</v>
      </c>
      <c r="E67" s="201"/>
      <c r="F67" s="2490"/>
      <c r="G67" s="2490"/>
      <c r="H67" s="2498"/>
      <c r="I67" s="138"/>
      <c r="J67" s="3157"/>
      <c r="K67" s="2500" t="s">
        <v>2255</v>
      </c>
      <c r="L67" s="1752">
        <f ca="1">IF(M49&gt;=10000,(8.25+(M49-10000)*0.01%),IF(AND(M49&gt;=8000,M49&lt;10000),(7.85+(M49-8000)*0.02%),IF(AND(M49&gt;=5000,M49&lt;8000),(6.65+(M49-5000)*0.04%),IF(AND(M49&gt;=2000,M49&lt;5000),(4.25+(PM49-2000)*0.08%),IF(AND(M49&gt;=1000,M49&lt;2000),(2.75+(M49-1000)*0.15%),IF(AND(M49&gt;=100,M49&lt;1000),(0.5+(M49-100)*0.25%),IF(AND(M49&gt;0,M49&lt;100),M49*0.5%)))))))</f>
        <v>8.6694999999999993</v>
      </c>
      <c r="M67" s="24">
        <f ca="1">ROUND(L67*0.9,1)</f>
        <v>7.8</v>
      </c>
      <c r="Z67" s="2424"/>
      <c r="AI67" s="2425"/>
    </row>
    <row r="68" spans="1:35" ht="14.25" customHeight="1" thickBot="1">
      <c r="A68" s="208" t="s">
        <v>774</v>
      </c>
      <c r="B68" s="209" t="s">
        <v>2256</v>
      </c>
      <c r="C68" s="210">
        <f ca="1">IF(C67&lt;=0,0,ROUND(C67*D68,0))</f>
        <v>446</v>
      </c>
      <c r="D68" s="211">
        <f>'数据-取费表'!B41</f>
        <v>5.5000000000000007E-2</v>
      </c>
      <c r="E68" s="212"/>
      <c r="F68" s="2490"/>
      <c r="G68" s="2490"/>
      <c r="H68" s="2498"/>
      <c r="I68" s="138"/>
      <c r="J68" s="3157"/>
      <c r="K68" s="2500" t="s">
        <v>2257</v>
      </c>
      <c r="L68" s="1752">
        <f ca="1">IF(M49&gt;10000,M49*0.5%,IF(AND(M49&gt;5000,M49&lt;=10000),M49*1%,IF(AND(M49&gt;1000,M49&lt;=5000),M49*2%,IF(AND(M49&gt;200,M49&lt;=1000),M49*3%,M49*5%))))</f>
        <v>70.975000000000009</v>
      </c>
      <c r="M68" s="24">
        <f ca="1">ROUND(L68,1)</f>
        <v>71</v>
      </c>
      <c r="Z68" s="2424"/>
      <c r="AI68" s="2425"/>
    </row>
    <row r="69" spans="1:35" s="2447" customFormat="1" ht="16.5" customHeight="1">
      <c r="A69" s="2501"/>
      <c r="B69" s="2502"/>
      <c r="C69" s="2503"/>
      <c r="D69" s="2504"/>
      <c r="E69" s="2505"/>
      <c r="F69" s="2169"/>
      <c r="G69" s="2169"/>
      <c r="H69" s="2168"/>
      <c r="I69" s="2419"/>
      <c r="J69" s="3157"/>
      <c r="K69" s="2500" t="s">
        <v>2258</v>
      </c>
      <c r="L69" s="2506"/>
      <c r="M69" s="24">
        <f ca="1">ROUND(SUM(M63:M68),0)</f>
        <v>236</v>
      </c>
      <c r="N69" s="1753">
        <f ca="1">M69/M49</f>
        <v>1.6625572384642479E-2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6" t="s">
        <v>2259</v>
      </c>
      <c r="B70" s="3117"/>
      <c r="C70" s="3117"/>
      <c r="D70" s="3117"/>
      <c r="E70" s="3117"/>
      <c r="F70" s="3117"/>
      <c r="G70" s="3117"/>
      <c r="H70" s="311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2240</v>
      </c>
      <c r="B71" s="3096"/>
      <c r="C71" s="1804"/>
      <c r="D71" s="1804"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8111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41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3"/>
      <c r="F74" s="1797"/>
      <c r="G74" s="1797"/>
      <c r="H74" s="216"/>
      <c r="I74" s="2511"/>
      <c r="J74" s="3299" t="s">
        <v>3252</v>
      </c>
      <c r="K74" s="3299">
        <v>884</v>
      </c>
      <c r="L74" s="2509">
        <f>'数据-汇总表'!F19</f>
        <v>3416.9</v>
      </c>
      <c r="M74" s="2509">
        <f>ROUND(K74*L74/10000,0)</f>
        <v>302</v>
      </c>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3299" t="s">
        <v>3253</v>
      </c>
      <c r="K75" s="2509">
        <v>1665</v>
      </c>
      <c r="L75" s="2509">
        <f>'数据-汇总表'!G19</f>
        <v>2202.6799999999998</v>
      </c>
      <c r="M75" s="2509">
        <f>ROUND(K75*L75/10000,0)</f>
        <v>367</v>
      </c>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090" t="s">
        <v>2268</v>
      </c>
      <c r="F76" s="3067"/>
      <c r="G76" s="3067"/>
      <c r="H76" s="311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41</v>
      </c>
      <c r="D78" s="226">
        <f>'数据-取费表'!B43</f>
        <v>5.000000000000001E-3</v>
      </c>
      <c r="E78" s="3076" t="s">
        <v>2273</v>
      </c>
      <c r="F78" s="3077"/>
      <c r="G78" s="3077"/>
      <c r="H78" s="30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8070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196.82926829268294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4828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6" t="s">
        <v>2277</v>
      </c>
      <c r="B83" s="3117"/>
      <c r="C83" s="3117"/>
      <c r="D83" s="3117"/>
      <c r="E83" s="3117"/>
      <c r="F83" s="3117"/>
      <c r="G83" s="3117"/>
      <c r="H83" s="311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2240</v>
      </c>
      <c r="B84" s="3096"/>
      <c r="C84" s="1804"/>
      <c r="D84" s="1804"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8111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2844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689</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f>M74+M75</f>
        <v>669</v>
      </c>
      <c r="D88" s="226"/>
      <c r="E88" s="237" t="s">
        <v>2280</v>
      </c>
      <c r="F88" s="1800"/>
      <c r="G88" s="238" t="s">
        <v>2281</v>
      </c>
      <c r="H88" s="2518" t="s">
        <v>3254</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20</v>
      </c>
      <c r="D89" s="226">
        <f>'数据-取费表'!B48+'数据-取费表'!B49</f>
        <v>3.0499999999999999E-2</v>
      </c>
      <c r="E89" s="237"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v>0</v>
      </c>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 ca="1">IF(H91="——",成本法!C33,I91)</f>
        <v>1467</v>
      </c>
      <c r="D91" s="226"/>
      <c r="E91" s="3076" t="s">
        <v>2286</v>
      </c>
      <c r="F91" s="3077"/>
      <c r="G91" s="3077"/>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 ca="1">ROUND((C87+C90+C91)*D92,0)</f>
        <v>216</v>
      </c>
      <c r="D92" s="226">
        <v>0.1</v>
      </c>
      <c r="E92" s="3076" t="s">
        <v>2289</v>
      </c>
      <c r="F92" s="3077"/>
      <c r="G92" s="3077"/>
      <c r="H92" s="30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2272</v>
      </c>
      <c r="C93" s="225">
        <f ca="1">ROUND(D45*D93/(1+'数据-取费表'!C42),0)</f>
        <v>41</v>
      </c>
      <c r="D93" s="226">
        <f>'数据-取费表'!B43</f>
        <v>5.000000000000001E-3</v>
      </c>
      <c r="E93" s="3076" t="s">
        <v>2273</v>
      </c>
      <c r="F93" s="3077"/>
      <c r="G93" s="3077"/>
      <c r="H93" s="30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 ca="1">ROUND((C87+C90+C91)*D94,0)</f>
        <v>431</v>
      </c>
      <c r="D94" s="226">
        <v>0.2</v>
      </c>
      <c r="E94" s="3087" t="s">
        <v>2293</v>
      </c>
      <c r="F94" s="3088"/>
      <c r="G94" s="3088"/>
      <c r="H94" s="30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5267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1.8519690576652601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2207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9"/>
      <c r="F98" s="2169"/>
      <c r="G98" s="2169"/>
      <c r="H98" s="2168"/>
      <c r="I98" s="138"/>
    </row>
    <row r="99" spans="1:35" ht="21.75" customHeight="1" thickBot="1">
      <c r="A99" s="2475" t="s">
        <v>2294</v>
      </c>
      <c r="B99" s="2419"/>
      <c r="C99" s="2419"/>
      <c r="D99" s="2419"/>
      <c r="E99" s="2169"/>
      <c r="F99" s="2169"/>
      <c r="G99" s="2169"/>
      <c r="H99" s="2168"/>
      <c r="I99" s="138"/>
    </row>
    <row r="100" spans="1:35" ht="18.75" customHeight="1">
      <c r="A100" s="3061" t="s">
        <v>2295</v>
      </c>
      <c r="B100" s="3062"/>
      <c r="C100" s="3062"/>
      <c r="D100" s="3078"/>
      <c r="E100" s="3062" t="s">
        <v>2296</v>
      </c>
      <c r="F100" s="3062"/>
      <c r="G100" s="3062"/>
      <c r="H100" s="3078"/>
      <c r="I100" s="138"/>
    </row>
    <row r="101" spans="1:35" ht="18.75" customHeight="1">
      <c r="A101" s="3140" t="s">
        <v>2297</v>
      </c>
      <c r="B101" s="3141"/>
      <c r="C101" s="736" t="str">
        <f>C4</f>
        <v>成本法</v>
      </c>
      <c r="D101" s="737" t="str">
        <f>D4</f>
        <v>假设开发法</v>
      </c>
      <c r="E101" s="3154" t="s">
        <v>2298</v>
      </c>
      <c r="F101" s="3108"/>
      <c r="G101" s="2521" t="s">
        <v>2299</v>
      </c>
      <c r="H101" s="1047">
        <f ca="1">H118</f>
        <v>14195</v>
      </c>
      <c r="I101" s="138"/>
    </row>
    <row r="102" spans="1:35" ht="18.75" customHeight="1">
      <c r="A102" s="3110" t="s">
        <v>2300</v>
      </c>
      <c r="B102" s="2521" t="s">
        <v>2299</v>
      </c>
      <c r="C102" s="736">
        <f ca="1">C19</f>
        <v>13652</v>
      </c>
      <c r="D102" s="737">
        <f ca="1">D19</f>
        <v>14737</v>
      </c>
      <c r="E102" s="3154"/>
      <c r="F102" s="3108"/>
      <c r="G102" s="2521" t="s">
        <v>2301</v>
      </c>
      <c r="H102" s="371">
        <f ca="1">I118</f>
        <v>25260</v>
      </c>
      <c r="I102" s="138"/>
    </row>
    <row r="103" spans="1:35" ht="42.75" customHeight="1">
      <c r="A103" s="3110"/>
      <c r="B103" s="2521" t="s">
        <v>2301</v>
      </c>
      <c r="C103" s="738">
        <f ca="1">C20</f>
        <v>24294</v>
      </c>
      <c r="D103" s="739">
        <f ca="1">D20</f>
        <v>26224</v>
      </c>
      <c r="E103" s="3149" t="s">
        <v>2302</v>
      </c>
      <c r="F103" s="3150"/>
      <c r="G103" s="2522" t="s">
        <v>2303</v>
      </c>
      <c r="H103" s="1047">
        <f>IF(D36="正常操作",H104+H105+H106,H105+H106)</f>
        <v>0</v>
      </c>
      <c r="I103" s="138"/>
    </row>
    <row r="104" spans="1:35" ht="18.75" customHeight="1">
      <c r="A104" s="3110" t="s">
        <v>2304</v>
      </c>
      <c r="B104" s="2523" t="s">
        <v>2299</v>
      </c>
      <c r="C104" s="740">
        <f ca="1">H118</f>
        <v>14195</v>
      </c>
      <c r="D104" s="741"/>
      <c r="E104" s="2267" t="s">
        <v>2305</v>
      </c>
      <c r="F104" s="2259"/>
      <c r="G104" s="2522" t="s">
        <v>2303</v>
      </c>
      <c r="H104" s="1048">
        <f>IF(D36="同一抵押权人同一抵押物续贷",C36&amp;"（未扣减，详见特别提示）",C36)</f>
        <v>0</v>
      </c>
      <c r="I104" s="138"/>
    </row>
    <row r="105" spans="1:35" ht="18.75" customHeight="1" thickBot="1">
      <c r="A105" s="3111"/>
      <c r="B105" s="2524" t="s">
        <v>2301</v>
      </c>
      <c r="C105" s="742">
        <f ca="1">I118</f>
        <v>25260</v>
      </c>
      <c r="D105" s="743"/>
      <c r="E105" s="2267" t="s">
        <v>2306</v>
      </c>
      <c r="F105" s="2259"/>
      <c r="G105" s="2522" t="s">
        <v>2303</v>
      </c>
      <c r="H105" s="1048">
        <f>C37</f>
        <v>0</v>
      </c>
      <c r="I105" s="138"/>
    </row>
    <row r="106" spans="1:35" ht="18.75" customHeight="1">
      <c r="A106" s="2419" t="s">
        <v>2307</v>
      </c>
      <c r="B106" s="2419"/>
      <c r="C106" s="2419"/>
      <c r="D106" s="2419"/>
      <c r="E106" s="2525" t="s">
        <v>2308</v>
      </c>
      <c r="F106" s="2259"/>
      <c r="G106" s="2522" t="s">
        <v>2303</v>
      </c>
      <c r="H106" s="1048">
        <f>C38</f>
        <v>0</v>
      </c>
      <c r="I106" s="138"/>
    </row>
    <row r="107" spans="1:35" ht="18.75" customHeight="1">
      <c r="A107" s="138"/>
      <c r="B107" s="138"/>
      <c r="C107" s="138"/>
      <c r="D107" s="138"/>
      <c r="E107" s="3107" t="str">
        <f>IF(项目基本情况!E8="已注销","——","3.房地产抵押价值")</f>
        <v>3.房地产抵押价值</v>
      </c>
      <c r="F107" s="3108"/>
      <c r="G107" s="2521" t="s">
        <v>2299</v>
      </c>
      <c r="H107" s="1047">
        <f ca="1">IF(E107="——","——",H101-H103)</f>
        <v>14195</v>
      </c>
      <c r="I107" s="138"/>
    </row>
    <row r="108" spans="1:35" ht="18.75" customHeight="1">
      <c r="A108" s="138"/>
      <c r="B108" s="138"/>
      <c r="C108" s="138"/>
      <c r="D108" s="138"/>
      <c r="E108" s="3107"/>
      <c r="F108" s="3108"/>
      <c r="G108" s="2521" t="s">
        <v>2301</v>
      </c>
      <c r="H108" s="371">
        <f ca="1">ROUND(H107*10000/'数据-汇总表'!E3,0)</f>
        <v>25260</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21" t="s">
        <v>2299</v>
      </c>
      <c r="H109" s="348" t="str">
        <f>IF(E109="——","——",H101-H105-H106)</f>
        <v>——</v>
      </c>
      <c r="I109" s="138"/>
    </row>
    <row r="110" spans="1:35" ht="18.75" customHeight="1">
      <c r="A110" s="138"/>
      <c r="B110" s="138"/>
      <c r="C110" s="138"/>
      <c r="D110" s="138"/>
      <c r="E110" s="3107"/>
      <c r="F110" s="3108"/>
      <c r="G110" s="2521" t="s">
        <v>2301</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21" t="s">
        <v>2299</v>
      </c>
      <c r="H111" s="1047">
        <f ca="1">IF(E111="——","——",N59)</f>
        <v>11538</v>
      </c>
      <c r="I111" s="138"/>
    </row>
    <row r="112" spans="1:35" ht="18.75" customHeight="1" thickBot="1">
      <c r="A112" s="138"/>
      <c r="B112" s="138"/>
      <c r="C112" s="138"/>
      <c r="D112" s="138"/>
      <c r="E112" s="3144"/>
      <c r="F112" s="3145"/>
      <c r="G112" s="2526" t="s">
        <v>2301</v>
      </c>
      <c r="H112" s="790">
        <f ca="1">IF(E111="——","——",N61)</f>
        <v>20532</v>
      </c>
      <c r="I112" s="138"/>
    </row>
    <row r="113" spans="1:11" ht="18.75" customHeight="1">
      <c r="A113" s="138"/>
      <c r="B113" s="138"/>
      <c r="C113" s="138"/>
      <c r="D113" s="138"/>
      <c r="E113" s="3112" t="s">
        <v>2307</v>
      </c>
      <c r="F113" s="3112"/>
      <c r="G113" s="3112"/>
      <c r="H113" s="3112"/>
      <c r="I113" s="138"/>
    </row>
    <row r="114" spans="1:11" ht="3.75" customHeight="1">
      <c r="A114" s="2419"/>
      <c r="B114" s="2419"/>
      <c r="C114" s="2419"/>
      <c r="D114" s="2419"/>
      <c r="E114" s="2497"/>
      <c r="F114" s="2497"/>
      <c r="G114" s="2497"/>
      <c r="H114" s="2497"/>
      <c r="I114" s="2419"/>
    </row>
    <row r="115" spans="1:11" ht="18.75" customHeight="1">
      <c r="A115" s="3125" t="s">
        <v>2309</v>
      </c>
      <c r="B115" s="3126"/>
      <c r="C115" s="3126"/>
      <c r="D115" s="3126"/>
      <c r="E115" s="3126"/>
      <c r="F115" s="3126"/>
      <c r="G115" s="3126"/>
      <c r="H115" s="3126"/>
      <c r="I115" s="3127"/>
    </row>
    <row r="116" spans="1:11" ht="27" customHeight="1">
      <c r="A116" s="3017" t="s">
        <v>2310</v>
      </c>
      <c r="B116" s="3113" t="s">
        <v>2311</v>
      </c>
      <c r="C116" s="3113" t="s">
        <v>2312</v>
      </c>
      <c r="D116" s="3129" t="s">
        <v>2313</v>
      </c>
      <c r="E116" s="3130"/>
      <c r="F116" s="3121" t="s">
        <v>2314</v>
      </c>
      <c r="G116" s="3121"/>
      <c r="H116" s="3017" t="s">
        <v>2315</v>
      </c>
      <c r="I116" s="3017"/>
    </row>
    <row r="117" spans="1:11" ht="18.75" customHeight="1">
      <c r="A117" s="3017"/>
      <c r="B117" s="3114"/>
      <c r="C117" s="3114"/>
      <c r="D117" s="1798" t="s">
        <v>2316</v>
      </c>
      <c r="E117" s="1798" t="s">
        <v>2317</v>
      </c>
      <c r="F117" s="1798" t="s">
        <v>2316</v>
      </c>
      <c r="G117" s="1798" t="s">
        <v>2318</v>
      </c>
      <c r="H117" s="1798" t="s">
        <v>2316</v>
      </c>
      <c r="I117" s="1798" t="s">
        <v>2318</v>
      </c>
    </row>
    <row r="118" spans="1:11" ht="24.75" customHeight="1">
      <c r="A118" s="2527" t="str">
        <f>项目基本情况!S2</f>
        <v>北京市大兴区黄村镇兴华中路13号，商业娱乐出让国有建设用地使用权及在建建筑物房地产</v>
      </c>
      <c r="B118" s="1798">
        <f>M18</f>
        <v>5619.58</v>
      </c>
      <c r="C118" s="1798">
        <f>M19</f>
        <v>1220.22</v>
      </c>
      <c r="D118" s="1798">
        <f ca="1">ROUND(IF(D32="总价",C34,E118*B118/10000),0)</f>
        <v>11995</v>
      </c>
      <c r="E118" s="1798">
        <f ca="1">ROUND(IF(C33="自定义",IF(D32="楼面单价",C34,D118*10000/B118),I118-G118),0)</f>
        <v>21345</v>
      </c>
      <c r="F118" s="1798">
        <f ca="1">ROUND(IF(D32="总价",C35,G118*B118/10000),0)</f>
        <v>2200</v>
      </c>
      <c r="G118" s="1798">
        <f ca="1">ROUND(IF(D32="楼面单价",C35,F118*10000/B118),0)</f>
        <v>3915</v>
      </c>
      <c r="H118" s="1798">
        <f ca="1">ROUND(IF(D32="总价",C32,I118*B118/10000),0)</f>
        <v>14195</v>
      </c>
      <c r="I118" s="1798">
        <f ca="1">ROUND(IF(D32="楼面单价",C32,H118*10000/B118),0)</f>
        <v>25260</v>
      </c>
    </row>
    <row r="119" spans="1:11" ht="18.75" customHeight="1">
      <c r="A119" s="3017" t="s">
        <v>2319</v>
      </c>
      <c r="B119" s="3017"/>
      <c r="C119" s="3017"/>
      <c r="D119" s="3118" t="str">
        <f ca="1">NUMBERSTRING(INT(D118*10000),2)&amp;"元整"</f>
        <v>壹亿壹仟玖佰玖拾伍万元整</v>
      </c>
      <c r="E119" s="3120"/>
      <c r="F119" s="3118" t="str">
        <f ca="1">NUMBERSTRING(INT(F118*10000),2)&amp;"元整"</f>
        <v>贰仟贰佰万元整</v>
      </c>
      <c r="G119" s="3120"/>
      <c r="H119" s="3118" t="str">
        <f ca="1">NUMBERSTRING(INT(H118*10000),2)&amp;"元整"</f>
        <v>壹亿肆仟壹佰玖拾伍万元整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4" t="str">
        <f>IF(D120=0,"故，本次评估不存在"&amp;A120,"故，本次评估"&amp;A120&amp;"为人民币"&amp;D120&amp;"万元整。")</f>
        <v>故，本次评估不存在估价师知悉的法定优先受偿款</v>
      </c>
    </row>
    <row r="121" spans="1:11" ht="18.75" customHeight="1">
      <c r="A121" s="3122" t="s">
        <v>2319</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14195</v>
      </c>
      <c r="E122" s="3147"/>
      <c r="F122" s="3147"/>
      <c r="G122" s="3147"/>
      <c r="H122" s="3147"/>
      <c r="I122" s="3148"/>
    </row>
    <row r="123" spans="1:11" ht="18.75" customHeight="1">
      <c r="A123" s="3017" t="s">
        <v>2319</v>
      </c>
      <c r="B123" s="3017"/>
      <c r="C123" s="3017"/>
      <c r="D123" s="3118" t="str">
        <f ca="1">NUMBERSTRING(INT(D122*10000),2)&amp;"元整"</f>
        <v>壹亿肆仟壹佰玖拾伍万元整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7" t="s">
        <v>2319</v>
      </c>
      <c r="B125" s="3017"/>
      <c r="C125" s="3017"/>
      <c r="D125" s="3118" t="e">
        <f>NUMBERSTRING(INT(D124*10000),2)&amp;"元整"</f>
        <v>#VALUE!</v>
      </c>
      <c r="E125" s="3119"/>
      <c r="F125" s="3119"/>
      <c r="G125" s="3119"/>
      <c r="H125" s="3119"/>
      <c r="I125" s="3120"/>
    </row>
    <row r="126" spans="1:11" ht="18.75" customHeight="1">
      <c r="A126" s="3109" t="str">
        <f>IF(项目基本情况!B9="房地产市场价值","",MID(E111,3,LEN(E111)-2))</f>
        <v>抵押净值</v>
      </c>
      <c r="B126" s="3109"/>
      <c r="C126" s="3109"/>
      <c r="D126" s="3146">
        <f ca="1">H111</f>
        <v>11538</v>
      </c>
      <c r="E126" s="3147"/>
      <c r="F126" s="3147"/>
      <c r="G126" s="3147"/>
      <c r="H126" s="3147"/>
      <c r="I126" s="3148"/>
    </row>
    <row r="127" spans="1:11" ht="18.75" customHeight="1">
      <c r="A127" s="3017" t="s">
        <v>2319</v>
      </c>
      <c r="B127" s="3017"/>
      <c r="C127" s="3017"/>
      <c r="D127" s="3118" t="str">
        <f ca="1">NUMBERSTRING(INT(D126*10000),2)&amp;"元整"</f>
        <v>壹亿壹仟伍佰叁拾捌万元整</v>
      </c>
      <c r="E127" s="3119"/>
      <c r="F127" s="3119"/>
      <c r="G127" s="3119"/>
      <c r="H127" s="3119"/>
      <c r="I127" s="3120"/>
    </row>
    <row r="128" spans="1:11" ht="21.75" customHeight="1">
      <c r="A128" s="3128" t="s">
        <v>2320</v>
      </c>
      <c r="B128" s="3128"/>
      <c r="C128" s="3128"/>
      <c r="D128" s="3128"/>
      <c r="E128" s="3128"/>
      <c r="F128" s="3128"/>
      <c r="G128" s="3128"/>
      <c r="H128" s="3128"/>
      <c r="I128" s="3128"/>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3" t="str">
        <f>项目基本情况!B1</f>
        <v>北京市大兴区黄村镇兴华中路13号，商业娱乐出让国有建设用地使用权及在建建筑物房地产抵押价值预评估</v>
      </c>
      <c r="C37" s="2973"/>
      <c r="D37" s="2973"/>
      <c r="E37" s="2973"/>
      <c r="F37" s="2973"/>
      <c r="G37" s="2973"/>
      <c r="H37" s="2973"/>
      <c r="I37" s="2973"/>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19" sqref="A19:X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1378</v>
      </c>
      <c r="C1" s="242"/>
      <c r="D1" s="242"/>
      <c r="E1" s="242"/>
      <c r="F1" s="242"/>
      <c r="G1" s="1381">
        <f>MATCH(B1,'数据-取费表'!A6:A16,0)+5</f>
        <v>6</v>
      </c>
    </row>
    <row r="2" spans="1:9" s="244" customFormat="1" ht="18" customHeight="1">
      <c r="A2" s="245" t="s">
        <v>2329</v>
      </c>
      <c r="B2" s="246">
        <f ca="1">IF(D2="——",C52,C52-E2)</f>
        <v>13652</v>
      </c>
      <c r="C2" s="243" t="s">
        <v>2330</v>
      </c>
      <c r="D2" s="2550" t="s">
        <v>70</v>
      </c>
      <c r="E2" s="1442"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24294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7772</v>
      </c>
      <c r="D5" s="255" t="s">
        <v>2336</v>
      </c>
      <c r="E5" s="256" t="s">
        <v>2337</v>
      </c>
      <c r="F5" s="256" t="s">
        <v>2338</v>
      </c>
      <c r="G5" s="257"/>
    </row>
    <row r="6" spans="1:9" s="258" customFormat="1" ht="13.5" customHeight="1">
      <c r="A6" s="951" t="s">
        <v>2339</v>
      </c>
      <c r="B6" s="259" t="s">
        <v>2340</v>
      </c>
      <c r="C6" s="260">
        <f>'土地比较法-住宅、综合'!B2</f>
        <v>7433</v>
      </c>
      <c r="D6" s="261"/>
      <c r="E6" s="262"/>
      <c r="F6" s="262"/>
      <c r="G6" s="263"/>
    </row>
    <row r="7" spans="1:9" s="258" customFormat="1" ht="13.5" customHeight="1">
      <c r="A7" s="951" t="s">
        <v>2341</v>
      </c>
      <c r="B7" s="259" t="s">
        <v>2342</v>
      </c>
      <c r="C7" s="264">
        <f>ROUND(C6*F7,0)</f>
        <v>227</v>
      </c>
      <c r="D7" s="264"/>
      <c r="E7" s="262"/>
      <c r="F7" s="265">
        <f>'数据-取费表'!B48+'数据-取费表'!B49</f>
        <v>3.0499999999999999E-2</v>
      </c>
      <c r="G7" s="263"/>
    </row>
    <row r="8" spans="1:9" s="267" customFormat="1">
      <c r="A8" s="951" t="s">
        <v>2343</v>
      </c>
      <c r="B8" s="259" t="s">
        <v>2344</v>
      </c>
      <c r="C8" s="264">
        <f ca="1">IF(G8="已包含在土地购买价格中","0",IF(B1="",'数据-取费表'!B29,IF(G9="全部缴纳",C9+C10,H9)))</f>
        <v>112</v>
      </c>
      <c r="D8" s="266"/>
      <c r="E8" s="264"/>
      <c r="F8" s="265"/>
      <c r="G8" s="2553" t="s">
        <v>3096</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0</v>
      </c>
      <c r="F9" s="265"/>
      <c r="G9" s="2554" t="s">
        <v>3097</v>
      </c>
      <c r="H9" s="1392"/>
      <c r="I9" s="2555" t="s">
        <v>2346</v>
      </c>
    </row>
    <row r="10" spans="1:9" s="258" customFormat="1" ht="13.5" customHeight="1">
      <c r="A10" s="952" t="s">
        <v>801</v>
      </c>
      <c r="B10" s="268" t="s">
        <v>2347</v>
      </c>
      <c r="C10" s="269">
        <f ca="1">ROUND(D10*E10/10000,0)</f>
        <v>112</v>
      </c>
      <c r="D10" s="1034">
        <f ca="1">IF(B1="",'数据-汇总表'!E6,IF(INDIRECT("'数据-取费表'!c"&amp;$G$1)="住宅",INDIRECT("'数据-取费表'!s"&amp;$G$1),INDIRECT("'数据-取费表'!k"&amp;$G$1)+INDIRECT("'数据-取费表'!s"&amp;$G$1)))</f>
        <v>5619.58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t="str">
        <f>IF(G19="已包含在土地取得成本中","0",ROUND(D19*E19/10000,0))</f>
        <v>0</v>
      </c>
      <c r="D19" s="1038">
        <f ca="1">D9+D10</f>
        <v>5619.58</v>
      </c>
      <c r="E19" s="255">
        <f>'数据-取费表'!B31</f>
        <v>0</v>
      </c>
      <c r="F19" s="275"/>
      <c r="G19" s="2553" t="s">
        <v>3098</v>
      </c>
    </row>
    <row r="20" spans="1:7" s="258" customFormat="1" ht="13.5" customHeight="1">
      <c r="A20" s="299" t="s">
        <v>2360</v>
      </c>
      <c r="B20" s="254" t="s">
        <v>2361</v>
      </c>
      <c r="C20" s="276">
        <f ca="1">ROUND((C5+C19)*F20,0)</f>
        <v>155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883</v>
      </c>
      <c r="D22" s="279">
        <f ca="1">C26</f>
        <v>1.1000000000000001E-3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875</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3" t="s">
        <v>2375</v>
      </c>
      <c r="B25" s="259" t="s">
        <v>2376</v>
      </c>
      <c r="C25" s="1357">
        <f ca="1">ROUND(IF('数据-取费表'!B22&lt;=1,C20*F22*'数据-取费表'!B23/2,C20*(POWER((1+F22),'数据-取费表'!B23/2)-1)),0)</f>
        <v>8</v>
      </c>
      <c r="D25" s="282"/>
      <c r="E25" s="285"/>
      <c r="F25" s="283"/>
      <c r="G25" s="286" t="s">
        <v>2377</v>
      </c>
    </row>
    <row r="26" spans="1:7" s="258" customFormat="1">
      <c r="A26" s="953" t="s">
        <v>795</v>
      </c>
      <c r="B26" s="259" t="s">
        <v>2378</v>
      </c>
      <c r="C26" s="282">
        <f ca="1">ROUND(IF('数据-取费表'!B22&lt;=1,F21*F22*'数据-取费表'!B23/2,F21*(POWER((1+F22),'数据-取费表'!B23/2)-1)),4)</f>
        <v>1.1000000000000001E-3</v>
      </c>
      <c r="D26" s="282"/>
      <c r="E26" s="285"/>
      <c r="F26" s="283"/>
      <c r="G26" s="287"/>
    </row>
    <row r="27" spans="1:7" s="258" customFormat="1" ht="24.75">
      <c r="A27" s="299" t="s">
        <v>2379</v>
      </c>
      <c r="B27" s="288" t="s">
        <v>2380</v>
      </c>
      <c r="C27" s="289">
        <f ca="1">C28</f>
        <v>1823</v>
      </c>
      <c r="D27" s="279">
        <f ca="1">C29</f>
        <v>4.5999999999999999E-3</v>
      </c>
      <c r="E27" s="280" t="s">
        <v>2381</v>
      </c>
      <c r="F27" s="290">
        <f ca="1">IF(B1="",'数据-取费表'!Q16,INDIRECT("'数据-取费表'!q"&amp;$G$1))</f>
        <v>0.25</v>
      </c>
      <c r="G27" s="291" t="s">
        <v>2382</v>
      </c>
    </row>
    <row r="28" spans="1:7" s="258" customFormat="1" ht="13.5" customHeight="1">
      <c r="A28" s="953" t="s">
        <v>791</v>
      </c>
      <c r="B28" s="292" t="s">
        <v>2383</v>
      </c>
      <c r="C28" s="293">
        <f ca="1">ROUND((C5+C19+C20)*F27*'数据-取费表'!B21/'数据-取费表'!B20,0)</f>
        <v>1823</v>
      </c>
      <c r="D28" s="279"/>
      <c r="E28" s="280"/>
      <c r="F28" s="290"/>
      <c r="G28" s="291"/>
    </row>
    <row r="29" spans="1:7" s="258" customFormat="1" ht="13.5" customHeight="1">
      <c r="A29" s="953" t="s">
        <v>792</v>
      </c>
      <c r="B29" s="292" t="s">
        <v>2384</v>
      </c>
      <c r="C29" s="282">
        <f ca="1">ROUND(C21*F27*'数据-取费表'!B21/'数据-取费表'!B20,4)</f>
        <v>4.5999999999999999E-3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11534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1467</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1293</v>
      </c>
      <c r="D34" s="261"/>
      <c r="E34" s="264"/>
      <c r="F34" s="301">
        <f ca="1">IF('数据-取费表'!B24=0,1,IF(B1="",'数据-取费表'!N16,INDIRECT("'数据-取费表'!n"&amp;$G$1)))</f>
        <v>0.92</v>
      </c>
      <c r="G34" s="263" t="s">
        <v>2393</v>
      </c>
    </row>
    <row r="35" spans="1:7" ht="13.5" customHeight="1">
      <c r="A35" s="953" t="s">
        <v>796</v>
      </c>
      <c r="B35" s="259" t="s">
        <v>2394</v>
      </c>
      <c r="C35" s="264">
        <f ca="1">ROUND(C34*F35,0)</f>
        <v>52</v>
      </c>
      <c r="D35" s="264"/>
      <c r="E35" s="264"/>
      <c r="F35" s="303">
        <f>'数据-取费表'!B33</f>
        <v>0.04</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2397</v>
      </c>
    </row>
    <row r="37" spans="1:7" s="302" customFormat="1" ht="13.5" customHeight="1">
      <c r="A37" s="953" t="s">
        <v>798</v>
      </c>
      <c r="B37" s="259" t="s">
        <v>2398</v>
      </c>
      <c r="C37" s="293">
        <f ca="1">ROUND(E37*D37*F34/10000,0)</f>
        <v>103</v>
      </c>
      <c r="D37" s="261">
        <f ca="1">D19</f>
        <v>5619.58</v>
      </c>
      <c r="E37" s="293">
        <f>'数据-取费表'!B35</f>
        <v>200</v>
      </c>
      <c r="F37" s="303"/>
      <c r="G37" s="305" t="s">
        <v>2399</v>
      </c>
    </row>
    <row r="38" spans="1:7" ht="13.5" customHeight="1">
      <c r="A38" s="953" t="s">
        <v>799</v>
      </c>
      <c r="B38" s="259" t="s">
        <v>2400</v>
      </c>
      <c r="C38" s="264">
        <f ca="1">ROUND(C34*F38,0)</f>
        <v>19</v>
      </c>
      <c r="D38" s="264"/>
      <c r="E38" s="264"/>
      <c r="F38" s="303">
        <f>'数据-取费表'!B36</f>
        <v>1.4999999999999999E-2</v>
      </c>
      <c r="G38" s="263" t="s">
        <v>2395</v>
      </c>
    </row>
    <row r="39" spans="1:7" s="258" customFormat="1" ht="13.5" customHeight="1">
      <c r="A39" s="299" t="s">
        <v>2401</v>
      </c>
      <c r="B39" s="254" t="s">
        <v>2402</v>
      </c>
      <c r="C39" s="276">
        <f ca="1">ROUND(C33*F20,0)</f>
        <v>29</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82</v>
      </c>
      <c r="D41" s="279">
        <f ca="1">C44</f>
        <v>1.1000000000000001E-3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80</v>
      </c>
      <c r="D42" s="282"/>
      <c r="E42" s="282"/>
      <c r="F42" s="283"/>
      <c r="G42" s="3160" t="s">
        <v>2411</v>
      </c>
    </row>
    <row r="43" spans="1:7" ht="13.5" customHeight="1">
      <c r="A43" s="953" t="s">
        <v>792</v>
      </c>
      <c r="B43" s="259" t="s">
        <v>2412</v>
      </c>
      <c r="C43" s="282">
        <f ca="1">ROUND(IF('数据-取费表'!B22&lt;=1,C39*F22*'数据-取费表'!B21/2,C39*(POWER((1+F22),'数据-取费表'!B21/2)-1)),0)</f>
        <v>2</v>
      </c>
      <c r="D43" s="282"/>
      <c r="E43" s="282"/>
      <c r="F43" s="283"/>
      <c r="G43" s="3161"/>
    </row>
    <row r="44" spans="1:7" ht="13.5" customHeight="1">
      <c r="A44" s="953" t="s">
        <v>793</v>
      </c>
      <c r="B44" s="259" t="s">
        <v>2413</v>
      </c>
      <c r="C44" s="282">
        <f ca="1">ROUND(IF('数据-取费表'!B22&lt;=1,C40*F22*'数据-取费表'!B21/2,C40*(POWER((1+F22),'数据-取费表'!B21/2)-1)),4)</f>
        <v>1.1000000000000001E-3</v>
      </c>
      <c r="D44" s="282"/>
      <c r="E44" s="282"/>
      <c r="F44" s="283"/>
      <c r="G44" s="3162"/>
    </row>
    <row r="45" spans="1:7" s="258" customFormat="1" ht="13.5" customHeight="1">
      <c r="A45" s="299" t="s">
        <v>2414</v>
      </c>
      <c r="B45" s="288" t="s">
        <v>2380</v>
      </c>
      <c r="C45" s="289">
        <f ca="1">C46</f>
        <v>374</v>
      </c>
      <c r="D45" s="279">
        <f ca="1">C47</f>
        <v>5.0000000000000001E-3</v>
      </c>
      <c r="E45" s="280" t="s">
        <v>2406</v>
      </c>
      <c r="F45" s="290"/>
      <c r="G45" s="291" t="s">
        <v>2415</v>
      </c>
    </row>
    <row r="46" spans="1:7" s="258" customFormat="1" ht="13.5" customHeight="1">
      <c r="A46" s="953" t="s">
        <v>791</v>
      </c>
      <c r="B46" s="292" t="s">
        <v>2416</v>
      </c>
      <c r="C46" s="293">
        <f ca="1">ROUND((C33+C39)*F27,0)</f>
        <v>374</v>
      </c>
      <c r="D46" s="307"/>
      <c r="E46" s="280"/>
      <c r="F46" s="290"/>
      <c r="G46" s="291"/>
    </row>
    <row r="47" spans="1:7" s="258" customFormat="1" ht="13.5" customHeight="1">
      <c r="A47" s="953" t="s">
        <v>792</v>
      </c>
      <c r="B47" s="292" t="s">
        <v>2417</v>
      </c>
      <c r="C47" s="282">
        <f ca="1">ROUND(C40*F27,4)</f>
        <v>5.0000000000000001E-3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2118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2118</v>
      </c>
      <c r="D51" s="276"/>
      <c r="E51" s="276"/>
      <c r="F51" s="308"/>
      <c r="G51" s="278" t="s">
        <v>2427</v>
      </c>
    </row>
    <row r="52" spans="1:7" s="252" customFormat="1" ht="16.5" thickBot="1">
      <c r="A52" s="309" t="s">
        <v>2428</v>
      </c>
      <c r="B52" s="310"/>
      <c r="C52" s="311">
        <f ca="1">C31+C51</f>
        <v>13652</v>
      </c>
      <c r="D52" s="310"/>
      <c r="E52" s="310"/>
      <c r="F52" s="310"/>
      <c r="G52" s="312"/>
    </row>
    <row r="55" spans="1:7" ht="15">
      <c r="B55" s="314" t="s">
        <v>2429</v>
      </c>
      <c r="C55" s="315"/>
    </row>
    <row r="56" spans="1:7">
      <c r="B56" s="317" t="s">
        <v>1515</v>
      </c>
      <c r="C56" s="319">
        <f ca="1">1-C57</f>
        <v>0.84499999999999997</v>
      </c>
    </row>
    <row r="57" spans="1:7">
      <c r="B57" s="317" t="s">
        <v>1516</v>
      </c>
      <c r="C57" s="318">
        <f ca="1">ROUND(C51/C52,3)</f>
        <v>0.155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2483</v>
      </c>
      <c r="C2" s="243" t="s">
        <v>2330</v>
      </c>
      <c r="D2" s="2550" t="s">
        <v>70</v>
      </c>
      <c r="E2" s="1442"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4418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1123916</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1123916</v>
      </c>
      <c r="D8" s="266"/>
      <c r="E8" s="264"/>
      <c r="F8" s="265"/>
      <c r="G8" s="2553"/>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2347</v>
      </c>
      <c r="C10" s="269">
        <f ca="1">ROUND(D10*E10,0)</f>
        <v>1123916</v>
      </c>
      <c r="D10" s="1034">
        <f ca="1">IF(B1="",'数据-汇总表'!E6,IF(INDIRECT("'数据-取费表'!c"&amp;$G$1)="住宅",INDIRECT("'数据-取费表'!s"&amp;$G$1),INDIRECT("'数据-取费表'!k"&amp;$G$1)+INDIRECT("'数据-取费表'!s"&amp;$G$1)))</f>
        <v>5619.58</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0</v>
      </c>
      <c r="D19" s="1038">
        <f ca="1">D9+D10</f>
        <v>5619.58</v>
      </c>
      <c r="E19" s="255">
        <f>'数据-取费表'!B31</f>
        <v>0</v>
      </c>
      <c r="F19" s="275"/>
      <c r="G19" s="2553"/>
    </row>
    <row r="20" spans="1:7" s="258" customFormat="1" ht="13.5" customHeight="1">
      <c r="A20" s="299" t="s">
        <v>2441</v>
      </c>
      <c r="B20" s="254" t="s">
        <v>2442</v>
      </c>
      <c r="C20" s="276">
        <f ca="1">ROUND((C5+C19)*F20,0)</f>
        <v>22478</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139599</v>
      </c>
      <c r="D22" s="279">
        <f ca="1">C26</f>
        <v>1.1999999999999999E-3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138257</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0</v>
      </c>
      <c r="D24" s="282"/>
      <c r="E24" s="282"/>
      <c r="F24" s="283"/>
      <c r="G24" s="284" t="s">
        <v>2453</v>
      </c>
    </row>
    <row r="25" spans="1:7" s="258" customFormat="1" ht="24">
      <c r="A25" s="953" t="s">
        <v>2343</v>
      </c>
      <c r="B25" s="259" t="s">
        <v>2454</v>
      </c>
      <c r="C25" s="1383">
        <f ca="1">ROUND(IF('数据-取费表'!B22&lt;=1,C20*F22*'数据-取费表'!B22/2,C20*(POWER((1+F22),'数据-取费表'!B22/2)-1)),0)</f>
        <v>1342</v>
      </c>
      <c r="D25" s="282"/>
      <c r="E25" s="285"/>
      <c r="F25" s="283"/>
      <c r="G25" s="286" t="s">
        <v>2455</v>
      </c>
    </row>
    <row r="26" spans="1:7" s="258" customFormat="1">
      <c r="A26" s="953" t="s">
        <v>795</v>
      </c>
      <c r="B26" s="259" t="s">
        <v>2378</v>
      </c>
      <c r="C26" s="282">
        <f ca="1">ROUND(IF('数据-取费表'!B22&lt;=1,F21*F22*'数据-取费表'!B22/2,F21*(POWER((1+F22),'数据-取费表'!B22/2)-1)),4)</f>
        <v>1.1999999999999999E-3</v>
      </c>
      <c r="D26" s="282"/>
      <c r="E26" s="285"/>
      <c r="F26" s="283"/>
      <c r="G26" s="287"/>
    </row>
    <row r="27" spans="1:7" s="258" customFormat="1" ht="24.75">
      <c r="A27" s="299" t="s">
        <v>2379</v>
      </c>
      <c r="B27" s="288" t="s">
        <v>2380</v>
      </c>
      <c r="C27" s="289">
        <f ca="1">C28</f>
        <v>286599</v>
      </c>
      <c r="D27" s="279">
        <f ca="1">C29</f>
        <v>5.0000000000000001E-3</v>
      </c>
      <c r="E27" s="280" t="s">
        <v>2381</v>
      </c>
      <c r="F27" s="290">
        <f ca="1">IF(B1="",'数据-取费表'!Q16,INDIRECT("'数据-取费表'!q"&amp;$G$1))</f>
        <v>0.25</v>
      </c>
      <c r="G27" s="291" t="s">
        <v>2382</v>
      </c>
    </row>
    <row r="28" spans="1:7" s="258" customFormat="1" ht="13.5" customHeight="1">
      <c r="A28" s="953" t="s">
        <v>791</v>
      </c>
      <c r="B28" s="292" t="s">
        <v>2383</v>
      </c>
      <c r="C28" s="293">
        <f ca="1">ROUND((C5+C19+C20)*F27,0)</f>
        <v>286599</v>
      </c>
      <c r="D28" s="279"/>
      <c r="E28" s="280"/>
      <c r="F28" s="290"/>
      <c r="G28" s="291"/>
    </row>
    <row r="29" spans="1:7" s="258" customFormat="1" ht="13.5" customHeight="1">
      <c r="A29" s="953" t="s">
        <v>792</v>
      </c>
      <c r="B29" s="292" t="s">
        <v>2384</v>
      </c>
      <c r="C29" s="282">
        <f ca="1">ROUND(C21*F27,4)</f>
        <v>5.0000000000000001E-3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1706742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15945558</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14048950</v>
      </c>
      <c r="D34" s="261"/>
      <c r="E34" s="264"/>
      <c r="F34" s="301"/>
      <c r="G34" s="263"/>
    </row>
    <row r="35" spans="1:7" ht="13.5" customHeight="1">
      <c r="A35" s="953" t="s">
        <v>796</v>
      </c>
      <c r="B35" s="259" t="s">
        <v>2394</v>
      </c>
      <c r="C35" s="264">
        <f ca="1">ROUND(C34*F35,0)</f>
        <v>561958</v>
      </c>
      <c r="D35" s="264"/>
      <c r="E35" s="264"/>
      <c r="F35" s="303">
        <f>'数据-取费表'!B33</f>
        <v>0.04</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0.05</v>
      </c>
      <c r="G36" s="304" t="s">
        <v>2397</v>
      </c>
    </row>
    <row r="37" spans="1:7" s="302" customFormat="1" ht="13.5" customHeight="1">
      <c r="A37" s="953" t="s">
        <v>798</v>
      </c>
      <c r="B37" s="259" t="s">
        <v>2398</v>
      </c>
      <c r="C37" s="293">
        <f ca="1">ROUND(E37*D37,0)</f>
        <v>1123916</v>
      </c>
      <c r="D37" s="261">
        <f ca="1">D19</f>
        <v>5619.58</v>
      </c>
      <c r="E37" s="293">
        <f>'数据-取费表'!B35</f>
        <v>200</v>
      </c>
      <c r="F37" s="303"/>
      <c r="G37" s="305"/>
    </row>
    <row r="38" spans="1:7" ht="13.5" customHeight="1">
      <c r="A38" s="953" t="s">
        <v>799</v>
      </c>
      <c r="B38" s="259" t="s">
        <v>2400</v>
      </c>
      <c r="C38" s="264">
        <f ca="1">ROUND(C34*F38,0)</f>
        <v>210734</v>
      </c>
      <c r="D38" s="264"/>
      <c r="E38" s="264"/>
      <c r="F38" s="303">
        <f>'数据-取费表'!B36</f>
        <v>1.4999999999999999E-2</v>
      </c>
      <c r="G38" s="263" t="s">
        <v>2395</v>
      </c>
    </row>
    <row r="39" spans="1:7" s="258" customFormat="1" ht="13.5" customHeight="1">
      <c r="A39" s="299" t="s">
        <v>2401</v>
      </c>
      <c r="B39" s="254" t="s">
        <v>2402</v>
      </c>
      <c r="C39" s="276">
        <f ca="1">ROUND(C33*F20,0)</f>
        <v>318911</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971370</v>
      </c>
      <c r="D41" s="279">
        <f ca="1">C44</f>
        <v>1.1999999999999999E-3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952324</v>
      </c>
      <c r="D42" s="282"/>
      <c r="E42" s="282"/>
      <c r="F42" s="283"/>
      <c r="G42" s="3160" t="s">
        <v>2458</v>
      </c>
    </row>
    <row r="43" spans="1:7" ht="13.5" customHeight="1">
      <c r="A43" s="953" t="s">
        <v>792</v>
      </c>
      <c r="B43" s="259" t="s">
        <v>2412</v>
      </c>
      <c r="C43" s="282">
        <f ca="1">ROUND(IF('数据-取费表'!B22&lt;=1,C39*F22*'数据-取费表'!B20/2,C39*(POWER((1+F22),'数据-取费表'!B20/2)-1)),0)</f>
        <v>19046</v>
      </c>
      <c r="D43" s="282"/>
      <c r="E43" s="282"/>
      <c r="F43" s="283"/>
      <c r="G43" s="3161"/>
    </row>
    <row r="44" spans="1:7" ht="13.5" customHeight="1">
      <c r="A44" s="953" t="s">
        <v>793</v>
      </c>
      <c r="B44" s="259" t="s">
        <v>2413</v>
      </c>
      <c r="C44" s="282">
        <f ca="1">ROUND(IF('数据-取费表'!B22&lt;=1,C40*F22*'数据-取费表'!B20/2,C40*(POWER((1+F22),'数据-取费表'!B20/2)-1)),4)</f>
        <v>1.1999999999999999E-3</v>
      </c>
      <c r="D44" s="282"/>
      <c r="E44" s="282"/>
      <c r="F44" s="283"/>
      <c r="G44" s="3162"/>
    </row>
    <row r="45" spans="1:7" s="258" customFormat="1" ht="13.5" customHeight="1">
      <c r="A45" s="299" t="s">
        <v>2414</v>
      </c>
      <c r="B45" s="288" t="s">
        <v>2380</v>
      </c>
      <c r="C45" s="289">
        <f ca="1">C46</f>
        <v>4066117</v>
      </c>
      <c r="D45" s="279">
        <f ca="1">C47</f>
        <v>5.0000000000000001E-3</v>
      </c>
      <c r="E45" s="280" t="s">
        <v>2406</v>
      </c>
      <c r="F45" s="290"/>
      <c r="G45" s="291" t="s">
        <v>2415</v>
      </c>
    </row>
    <row r="46" spans="1:7" s="258" customFormat="1" ht="13.5" customHeight="1">
      <c r="A46" s="953" t="s">
        <v>791</v>
      </c>
      <c r="B46" s="292" t="s">
        <v>2416</v>
      </c>
      <c r="C46" s="293">
        <f ca="1">ROUND((C33+C39)*F27,0)</f>
        <v>4066117</v>
      </c>
      <c r="D46" s="307"/>
      <c r="E46" s="280"/>
      <c r="F46" s="290"/>
      <c r="G46" s="291"/>
    </row>
    <row r="47" spans="1:7" s="258" customFormat="1" ht="13.5" customHeight="1">
      <c r="A47" s="953" t="s">
        <v>792</v>
      </c>
      <c r="B47" s="292" t="s">
        <v>2417</v>
      </c>
      <c r="C47" s="282">
        <f ca="1">ROUND(C40*F27,4)</f>
        <v>5.0000000000000001E-3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23119119</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23119119</v>
      </c>
      <c r="D51" s="276"/>
      <c r="E51" s="276"/>
      <c r="F51" s="308"/>
      <c r="G51" s="278" t="s">
        <v>2427</v>
      </c>
    </row>
    <row r="52" spans="1:7" s="252" customFormat="1" ht="16.5" thickBot="1">
      <c r="A52" s="309" t="s">
        <v>2428</v>
      </c>
      <c r="B52" s="310"/>
      <c r="C52" s="311">
        <f ca="1">C31+C51</f>
        <v>24825861</v>
      </c>
      <c r="D52" s="310"/>
      <c r="E52" s="310"/>
      <c r="F52" s="310"/>
      <c r="G52" s="312"/>
    </row>
    <row r="55" spans="1:7" ht="15">
      <c r="B55" s="314" t="s">
        <v>2429</v>
      </c>
      <c r="C55" s="315"/>
    </row>
    <row r="56" spans="1:7">
      <c r="B56" s="317" t="s">
        <v>1515</v>
      </c>
      <c r="C56" s="319">
        <f ca="1">1-C57</f>
        <v>6.899999999999995E-2</v>
      </c>
    </row>
    <row r="57" spans="1:7">
      <c r="B57" s="317" t="s">
        <v>1516</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M60" sqref="M6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7433</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13227</v>
      </c>
      <c r="C3" s="247" t="s">
        <v>2745</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8" t="s">
        <v>2647</v>
      </c>
      <c r="AC4" s="3177" t="s">
        <v>2648</v>
      </c>
    </row>
    <row r="5" spans="1:30" ht="15">
      <c r="A5" s="404"/>
      <c r="B5" s="405"/>
      <c r="C5" s="3197" t="s">
        <v>2541</v>
      </c>
      <c r="D5" s="3198"/>
      <c r="E5" s="3204" t="str">
        <f>房山土地案例!A7</f>
        <v>大兴区黄村镇兴华大街DX00-0202-0307地块</v>
      </c>
      <c r="F5" s="3205"/>
      <c r="G5" s="3197" t="str">
        <f>房山土地案例!A25</f>
        <v>房山区拱辰街道FS00-LX11-0007地块</v>
      </c>
      <c r="H5" s="3198"/>
      <c r="I5" s="3197" t="str">
        <f>房山土地案例!A26</f>
        <v>房山区拱辰街道FS00-LX07-0097地块</v>
      </c>
      <c r="J5" s="3198"/>
      <c r="K5" s="610"/>
      <c r="L5" s="1132"/>
      <c r="M5" s="1133"/>
      <c r="N5" s="1133"/>
      <c r="O5" s="1133"/>
      <c r="P5" s="3185"/>
      <c r="Q5" s="3186"/>
      <c r="R5" s="3191"/>
      <c r="S5" s="3192"/>
      <c r="T5" s="3191"/>
      <c r="U5" s="3192"/>
      <c r="V5" s="3176"/>
      <c r="W5" s="3176"/>
      <c r="X5" s="1816"/>
      <c r="Y5" s="3191"/>
      <c r="Z5" s="3192"/>
      <c r="AA5" s="3178"/>
      <c r="AB5" s="3178"/>
      <c r="AC5" s="3178"/>
    </row>
    <row r="6" spans="1:30" ht="15.75" thickBot="1">
      <c r="A6" s="406"/>
      <c r="B6" s="407"/>
      <c r="C6" s="3195" t="s">
        <v>2545</v>
      </c>
      <c r="D6" s="3196"/>
      <c r="E6" s="3202" t="s">
        <v>2545</v>
      </c>
      <c r="F6" s="3203"/>
      <c r="G6" s="3195" t="s">
        <v>2545</v>
      </c>
      <c r="H6" s="3196"/>
      <c r="I6" s="3195" t="s">
        <v>2545</v>
      </c>
      <c r="J6" s="3196"/>
      <c r="K6" s="610" t="s">
        <v>2546</v>
      </c>
      <c r="L6" s="1132"/>
      <c r="M6" s="1133"/>
      <c r="N6" s="1133"/>
      <c r="O6" s="1133"/>
      <c r="P6" s="3187"/>
      <c r="Q6" s="3188"/>
      <c r="R6" s="3191"/>
      <c r="S6" s="3192"/>
      <c r="T6" s="3193"/>
      <c r="U6" s="3194"/>
      <c r="V6" s="3176"/>
      <c r="W6" s="3176"/>
      <c r="X6" s="1816"/>
      <c r="Y6" s="3193"/>
      <c r="Z6" s="3194"/>
      <c r="AA6" s="3179"/>
      <c r="AB6" s="3179"/>
      <c r="AC6" s="3179"/>
    </row>
    <row r="7" spans="1:30" s="117" customFormat="1" ht="15.75" thickBot="1">
      <c r="A7" s="408" t="s">
        <v>2547</v>
      </c>
      <c r="B7" s="409"/>
      <c r="C7" s="410">
        <f>'数据-取费表'!B2</f>
        <v>43105</v>
      </c>
      <c r="D7" s="411">
        <v>100</v>
      </c>
      <c r="E7" s="412" t="str">
        <f>房山土地案例!H7</f>
        <v>2016-05-05</v>
      </c>
      <c r="F7" s="413">
        <f>SUMIF(70:70,YEAR(E7)&amp;"-"&amp;INT((MONTH(E7)+2)/3),71:71)</f>
        <v>93</v>
      </c>
      <c r="G7" s="2699" t="str">
        <f>房山土地案例!H25</f>
        <v>2016-11-28</v>
      </c>
      <c r="H7" s="411">
        <f>SUMIF(70:70,YEAR(G7)&amp;"-"&amp;INT((MONTH(G7)+2)/3),71:71)</f>
        <v>95</v>
      </c>
      <c r="I7" s="2699" t="str">
        <f>房山土地案例!H26</f>
        <v>2016-09-01</v>
      </c>
      <c r="J7" s="411">
        <f>SUMIF(70:70,YEAR(I7)&amp;"-"&amp;INT((MONTH(I7)+2)/3),71:71)</f>
        <v>94</v>
      </c>
      <c r="K7" s="611"/>
      <c r="L7" s="1134"/>
      <c r="M7" s="1135"/>
      <c r="N7" s="1135"/>
      <c r="O7" s="1135"/>
      <c r="P7" s="3199" t="s">
        <v>2548</v>
      </c>
      <c r="Q7" s="3201"/>
      <c r="R7" s="770" t="s">
        <v>17</v>
      </c>
      <c r="S7" s="771">
        <f t="shared" ref="S7:S15" si="0">F7</f>
        <v>93</v>
      </c>
      <c r="T7" s="770" t="s">
        <v>17</v>
      </c>
      <c r="U7" s="771">
        <f t="shared" ref="U7:U15" si="1">H7</f>
        <v>95</v>
      </c>
      <c r="V7" s="770" t="s">
        <v>17</v>
      </c>
      <c r="W7" s="771">
        <f t="shared" ref="W7:W15" si="2">J7</f>
        <v>94</v>
      </c>
      <c r="X7" s="772"/>
      <c r="Y7" s="3199" t="s">
        <v>2548</v>
      </c>
      <c r="Z7" s="3200"/>
      <c r="AA7" s="773">
        <f>D7/F7</f>
        <v>1.075268817204301</v>
      </c>
      <c r="AB7" s="773">
        <f>D7/H7</f>
        <v>1.0526315789473684</v>
      </c>
      <c r="AC7" s="773">
        <f>D7/J7</f>
        <v>1.0638297872340425</v>
      </c>
    </row>
    <row r="8" spans="1:30" s="117" customFormat="1" ht="15.75" thickBot="1">
      <c r="A8" s="408" t="s">
        <v>2549</v>
      </c>
      <c r="B8" s="409"/>
      <c r="C8" s="414" t="s">
        <v>2550</v>
      </c>
      <c r="D8" s="411">
        <v>100</v>
      </c>
      <c r="E8" s="2962" t="s">
        <v>3212</v>
      </c>
      <c r="F8" s="413">
        <f>SUMIF(73:73,E8,74:74)-SUMIF(73:73,C8,74:74)+100</f>
        <v>100</v>
      </c>
      <c r="G8" s="2962" t="s">
        <v>3212</v>
      </c>
      <c r="H8" s="411">
        <f>SUMIF(73:73,G8,74:74)-SUMIF(73:73,C8,74:74)+100</f>
        <v>100</v>
      </c>
      <c r="I8" s="2962" t="s">
        <v>3212</v>
      </c>
      <c r="J8" s="411">
        <f>SUMIF(73:73,I8,74:74)-SUMIF(73:73,C8,74:74)+100</f>
        <v>100</v>
      </c>
      <c r="K8" s="611"/>
      <c r="L8" s="1134"/>
      <c r="M8" s="1135"/>
      <c r="N8" s="1135"/>
      <c r="O8" s="1135"/>
      <c r="P8" s="3199" t="s">
        <v>2551</v>
      </c>
      <c r="Q8" s="3200"/>
      <c r="R8" s="770" t="s">
        <v>17</v>
      </c>
      <c r="S8" s="771">
        <f t="shared" si="0"/>
        <v>100</v>
      </c>
      <c r="T8" s="770" t="s">
        <v>17</v>
      </c>
      <c r="U8" s="771">
        <f t="shared" si="1"/>
        <v>100</v>
      </c>
      <c r="V8" s="770" t="s">
        <v>17</v>
      </c>
      <c r="W8" s="771">
        <f t="shared" si="2"/>
        <v>100</v>
      </c>
      <c r="X8" s="772"/>
      <c r="Y8" s="3199" t="s">
        <v>2551</v>
      </c>
      <c r="Z8" s="3200"/>
      <c r="AA8" s="773">
        <f t="shared" ref="AA8:AA45" si="3">D8/F8</f>
        <v>1</v>
      </c>
      <c r="AB8" s="773">
        <f t="shared" ref="AB8:AB45" si="4">D8/H8</f>
        <v>1</v>
      </c>
      <c r="AC8" s="773">
        <f t="shared" ref="AC8:AC45" si="5">D8/J8</f>
        <v>1</v>
      </c>
    </row>
    <row r="9" spans="1:30" s="117" customFormat="1">
      <c r="A9" s="415" t="s">
        <v>2552</v>
      </c>
      <c r="B9" s="71" t="s">
        <v>2553</v>
      </c>
      <c r="C9" s="2702" t="s">
        <v>3214</v>
      </c>
      <c r="D9" s="135">
        <v>100</v>
      </c>
      <c r="E9" s="2702" t="s">
        <v>3214</v>
      </c>
      <c r="F9" s="135">
        <f>SUMIF(75:75,E9,76:76)-SUMIF(75:75,C9,76:76)+100</f>
        <v>100</v>
      </c>
      <c r="G9" s="2702" t="s">
        <v>3214</v>
      </c>
      <c r="H9" s="135">
        <f>SUMIF(75:75,G9,76:76)-SUMIF(75:75,C9,76:76)+100</f>
        <v>100</v>
      </c>
      <c r="I9" s="2702" t="s">
        <v>3214</v>
      </c>
      <c r="J9" s="135">
        <f>SUMIF(75:75,I9,76:76)-SUMIF(75:75,C9,76:76)+100</f>
        <v>100</v>
      </c>
      <c r="K9" s="611"/>
      <c r="L9" s="1134"/>
      <c r="M9" s="1135"/>
      <c r="N9" s="1135"/>
      <c r="O9" s="1136"/>
      <c r="P9" s="3170"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30" s="427" customFormat="1" ht="27">
      <c r="A10" s="421"/>
      <c r="B10" s="422" t="s">
        <v>2556</v>
      </c>
      <c r="C10" s="432" t="s">
        <v>3215</v>
      </c>
      <c r="D10" s="136">
        <v>100</v>
      </c>
      <c r="E10" s="465" t="s">
        <v>3216</v>
      </c>
      <c r="F10" s="136">
        <f>ROUND(100/'数据-取费表'!G16,0)</f>
        <v>124</v>
      </c>
      <c r="G10" s="463" t="s">
        <v>3216</v>
      </c>
      <c r="H10" s="136">
        <f>ROUND(100/'数据-取费表'!G16,0)</f>
        <v>124</v>
      </c>
      <c r="I10" s="463" t="s">
        <v>3216</v>
      </c>
      <c r="J10" s="136">
        <f>ROUND(100/'数据-取费表'!G16,0)</f>
        <v>124</v>
      </c>
      <c r="K10" s="672"/>
      <c r="L10" s="1137"/>
      <c r="M10" s="1138"/>
      <c r="N10" s="1138"/>
      <c r="O10" s="1139"/>
      <c r="P10" s="3170"/>
      <c r="Q10" s="1798" t="str">
        <f t="shared" si="6"/>
        <v>土地使用年限（年）</v>
      </c>
      <c r="R10" s="770" t="s">
        <v>17</v>
      </c>
      <c r="S10" s="771">
        <f t="shared" si="0"/>
        <v>124</v>
      </c>
      <c r="T10" s="770" t="s">
        <v>17</v>
      </c>
      <c r="U10" s="771">
        <f t="shared" si="1"/>
        <v>124</v>
      </c>
      <c r="V10" s="770" t="s">
        <v>17</v>
      </c>
      <c r="W10" s="771">
        <f t="shared" si="2"/>
        <v>124</v>
      </c>
      <c r="X10" s="772"/>
      <c r="Y10" s="3017"/>
      <c r="Z10" s="55" t="str">
        <f t="shared" si="7"/>
        <v>土地使用年限（年）</v>
      </c>
      <c r="AA10" s="773">
        <f t="shared" si="3"/>
        <v>0.80645161290322576</v>
      </c>
      <c r="AB10" s="773">
        <f t="shared" si="4"/>
        <v>0.80645161290322576</v>
      </c>
      <c r="AC10" s="773">
        <f t="shared" si="5"/>
        <v>0.80645161290322576</v>
      </c>
    </row>
    <row r="11" spans="1:30" ht="15">
      <c r="A11" s="428"/>
      <c r="B11" s="422" t="s">
        <v>2557</v>
      </c>
      <c r="C11" s="429">
        <f>'数据-汇总表'!I6</f>
        <v>2.8</v>
      </c>
      <c r="D11" s="136">
        <v>100</v>
      </c>
      <c r="E11" s="429">
        <f>房山土地案例!G7</f>
        <v>4</v>
      </c>
      <c r="F11" s="136">
        <f>LOOKUP(E11,80:80,81:81)-LOOKUP(C11,80:80,81:81)+100</f>
        <v>96</v>
      </c>
      <c r="G11" s="430">
        <f>房山土地案例!G25</f>
        <v>2.5</v>
      </c>
      <c r="H11" s="136">
        <f>LOOKUP(G11,80:80,81:81)-LOOKUP(C11,80:80,81:81)+100</f>
        <v>100</v>
      </c>
      <c r="I11" s="429">
        <f>房山土地案例!G26</f>
        <v>2.5</v>
      </c>
      <c r="J11" s="136">
        <f>LOOKUP(I11,80:80,81:81)-LOOKUP(C11,80:80,81:81)+100</f>
        <v>100</v>
      </c>
      <c r="K11" s="673">
        <v>2</v>
      </c>
      <c r="L11" s="1140"/>
      <c r="M11" s="1133"/>
      <c r="N11" s="1133"/>
      <c r="O11" s="1141"/>
      <c r="P11" s="3170"/>
      <c r="Q11" s="1798" t="str">
        <f t="shared" si="6"/>
        <v>容积率</v>
      </c>
      <c r="R11" s="770" t="s">
        <v>17</v>
      </c>
      <c r="S11" s="771">
        <f t="shared" si="0"/>
        <v>96</v>
      </c>
      <c r="T11" s="770" t="s">
        <v>17</v>
      </c>
      <c r="U11" s="771">
        <f t="shared" si="1"/>
        <v>100</v>
      </c>
      <c r="V11" s="770" t="s">
        <v>17</v>
      </c>
      <c r="W11" s="771">
        <f t="shared" si="2"/>
        <v>100</v>
      </c>
      <c r="X11" s="772"/>
      <c r="Y11" s="3017"/>
      <c r="Z11" s="55" t="str">
        <f t="shared" si="7"/>
        <v>容积率</v>
      </c>
      <c r="AA11" s="773">
        <f t="shared" si="3"/>
        <v>1.0416666666666667</v>
      </c>
      <c r="AB11" s="773">
        <f t="shared" si="4"/>
        <v>1</v>
      </c>
      <c r="AC11" s="773">
        <f t="shared" si="5"/>
        <v>1</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0"/>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0"/>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0"/>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hidden="1">
      <c r="A15" s="440" t="s">
        <v>2558</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2" t="s">
        <v>2559</v>
      </c>
      <c r="Q15" s="1813" t="str">
        <f t="shared" si="6"/>
        <v>居住社区成熟度</v>
      </c>
      <c r="R15" s="774" t="s">
        <v>17</v>
      </c>
      <c r="S15" s="775">
        <f t="shared" si="0"/>
        <v>100</v>
      </c>
      <c r="T15" s="774" t="s">
        <v>17</v>
      </c>
      <c r="U15" s="775">
        <f t="shared" si="1"/>
        <v>100</v>
      </c>
      <c r="V15" s="774" t="s">
        <v>17</v>
      </c>
      <c r="W15" s="775">
        <f t="shared" si="2"/>
        <v>100</v>
      </c>
      <c r="X15" s="1816"/>
      <c r="Y15" s="3172" t="s">
        <v>2559</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2"/>
      <c r="M16" s="1133"/>
      <c r="N16" s="1133"/>
      <c r="O16" s="1141"/>
      <c r="P16" s="3173"/>
      <c r="Q16" s="1813"/>
      <c r="R16" s="774"/>
      <c r="S16" s="775"/>
      <c r="T16" s="774"/>
      <c r="U16" s="775"/>
      <c r="V16" s="774"/>
      <c r="W16" s="775"/>
      <c r="X16" s="1816"/>
      <c r="Y16" s="3173"/>
      <c r="Z16" s="1817"/>
      <c r="AA16" s="1814">
        <v>1</v>
      </c>
      <c r="AB16" s="1814">
        <v>1</v>
      </c>
      <c r="AC16" s="1814">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2"/>
      <c r="M17" s="1133"/>
      <c r="N17" s="1133"/>
      <c r="O17" s="1141"/>
      <c r="P17" s="3173"/>
      <c r="Q17" s="1813" t="str">
        <f>B17</f>
        <v>商业繁华度</v>
      </c>
      <c r="R17" s="774" t="s">
        <v>17</v>
      </c>
      <c r="S17" s="775">
        <f>F17</f>
        <v>100</v>
      </c>
      <c r="T17" s="774" t="s">
        <v>17</v>
      </c>
      <c r="U17" s="775">
        <f>H17</f>
        <v>100</v>
      </c>
      <c r="V17" s="774" t="s">
        <v>17</v>
      </c>
      <c r="W17" s="775">
        <f>J17</f>
        <v>100</v>
      </c>
      <c r="X17" s="1816"/>
      <c r="Y17" s="3173"/>
      <c r="Z17" s="1817" t="str">
        <f>Q17</f>
        <v>商业繁华度</v>
      </c>
      <c r="AA17" s="1814">
        <f t="shared" si="3"/>
        <v>1</v>
      </c>
      <c r="AB17" s="1814">
        <f t="shared" si="4"/>
        <v>1</v>
      </c>
      <c r="AC17" s="1814">
        <f t="shared" si="5"/>
        <v>1</v>
      </c>
    </row>
    <row r="18" spans="1:29" ht="15">
      <c r="A18" s="428"/>
      <c r="B18" s="456"/>
      <c r="C18" s="2611" t="s">
        <v>3092</v>
      </c>
      <c r="D18" s="450"/>
      <c r="E18" s="2613" t="s">
        <v>3092</v>
      </c>
      <c r="F18" s="450"/>
      <c r="G18" s="2613" t="s">
        <v>3092</v>
      </c>
      <c r="H18" s="448"/>
      <c r="I18" s="2612" t="s">
        <v>3092</v>
      </c>
      <c r="J18" s="448"/>
      <c r="K18" s="672"/>
      <c r="L18" s="1142"/>
      <c r="M18" s="1133"/>
      <c r="N18" s="1133"/>
      <c r="O18" s="1141"/>
      <c r="P18" s="3173"/>
      <c r="Q18" s="1813"/>
      <c r="R18" s="774"/>
      <c r="S18" s="775"/>
      <c r="T18" s="774"/>
      <c r="U18" s="775"/>
      <c r="V18" s="774"/>
      <c r="W18" s="775"/>
      <c r="X18" s="1816"/>
      <c r="Y18" s="3173"/>
      <c r="Z18" s="1817"/>
      <c r="AA18" s="1814">
        <v>1</v>
      </c>
      <c r="AB18" s="1814">
        <v>1</v>
      </c>
      <c r="AC18" s="1814">
        <v>1</v>
      </c>
    </row>
    <row r="19" spans="1:29" ht="71.25" hidden="1">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3"/>
      <c r="Q19" s="1813" t="str">
        <f>B19</f>
        <v>办公集聚程度</v>
      </c>
      <c r="R19" s="774" t="s">
        <v>17</v>
      </c>
      <c r="S19" s="775">
        <f>F19</f>
        <v>100</v>
      </c>
      <c r="T19" s="774" t="s">
        <v>17</v>
      </c>
      <c r="U19" s="775">
        <f>H19</f>
        <v>100</v>
      </c>
      <c r="V19" s="774" t="s">
        <v>17</v>
      </c>
      <c r="W19" s="775">
        <f>J19</f>
        <v>100</v>
      </c>
      <c r="X19" s="1816"/>
      <c r="Y19" s="3173"/>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2"/>
      <c r="M20" s="1133"/>
      <c r="N20" s="1133"/>
      <c r="O20" s="1141"/>
      <c r="P20" s="3173"/>
      <c r="Q20" s="1813"/>
      <c r="R20" s="774"/>
      <c r="S20" s="775"/>
      <c r="T20" s="774"/>
      <c r="U20" s="775"/>
      <c r="V20" s="774"/>
      <c r="W20" s="775"/>
      <c r="X20" s="1816"/>
      <c r="Y20" s="3173"/>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2"/>
      <c r="M21" s="1133"/>
      <c r="N21" s="1133"/>
      <c r="O21" s="1141"/>
      <c r="P21" s="3173"/>
      <c r="Q21" s="1813" t="str">
        <f>B21</f>
        <v>交通便捷度</v>
      </c>
      <c r="R21" s="774" t="s">
        <v>17</v>
      </c>
      <c r="S21" s="775">
        <f>F21</f>
        <v>100</v>
      </c>
      <c r="T21" s="774" t="s">
        <v>17</v>
      </c>
      <c r="U21" s="775">
        <f>H21</f>
        <v>100</v>
      </c>
      <c r="V21" s="774" t="s">
        <v>17</v>
      </c>
      <c r="W21" s="775">
        <f>J21</f>
        <v>100</v>
      </c>
      <c r="X21" s="1816"/>
      <c r="Y21" s="3173"/>
      <c r="Z21" s="1817" t="str">
        <f>Q21</f>
        <v>交通便捷度</v>
      </c>
      <c r="AA21" s="1814">
        <f t="shared" si="3"/>
        <v>1</v>
      </c>
      <c r="AB21" s="1814">
        <f t="shared" si="4"/>
        <v>1</v>
      </c>
      <c r="AC21" s="1814">
        <f t="shared" si="5"/>
        <v>1</v>
      </c>
    </row>
    <row r="22" spans="1:29" ht="15">
      <c r="A22" s="428"/>
      <c r="B22" s="1386"/>
      <c r="C22" s="447" t="s">
        <v>3092</v>
      </c>
      <c r="D22" s="450"/>
      <c r="E22" s="2608" t="s">
        <v>3092</v>
      </c>
      <c r="F22" s="448"/>
      <c r="G22" s="2608" t="s">
        <v>3092</v>
      </c>
      <c r="H22" s="448"/>
      <c r="I22" s="2607" t="s">
        <v>3092</v>
      </c>
      <c r="J22" s="448"/>
      <c r="K22" s="672"/>
      <c r="L22" s="1142"/>
      <c r="M22" s="1133"/>
      <c r="N22" s="1133"/>
      <c r="O22" s="1141"/>
      <c r="P22" s="3173"/>
      <c r="Q22" s="1813"/>
      <c r="R22" s="774"/>
      <c r="S22" s="775"/>
      <c r="T22" s="774"/>
      <c r="U22" s="775"/>
      <c r="V22" s="774"/>
      <c r="W22" s="775"/>
      <c r="X22" s="1816"/>
      <c r="Y22" s="3173"/>
      <c r="Z22" s="1817"/>
      <c r="AA22" s="1814">
        <v>1</v>
      </c>
      <c r="AB22" s="1814">
        <v>1</v>
      </c>
      <c r="AC22" s="1814">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173"/>
      <c r="Q23" s="1813" t="str">
        <f t="shared" ref="Q23:Q37" si="8">B23</f>
        <v>区域土地利用方向</v>
      </c>
      <c r="R23" s="774" t="s">
        <v>17</v>
      </c>
      <c r="S23" s="775">
        <f>F23</f>
        <v>100</v>
      </c>
      <c r="T23" s="774" t="s">
        <v>17</v>
      </c>
      <c r="U23" s="775">
        <f>H23</f>
        <v>100</v>
      </c>
      <c r="V23" s="774" t="s">
        <v>17</v>
      </c>
      <c r="W23" s="775">
        <f>J23</f>
        <v>100</v>
      </c>
      <c r="X23" s="1816"/>
      <c r="Y23" s="3173"/>
      <c r="Z23" s="1817" t="str">
        <f>Q23</f>
        <v>区域土地利用方向</v>
      </c>
      <c r="AA23" s="1814">
        <f t="shared" si="3"/>
        <v>1</v>
      </c>
      <c r="AB23" s="1814">
        <f t="shared" si="4"/>
        <v>1</v>
      </c>
      <c r="AC23" s="1814">
        <f t="shared" si="5"/>
        <v>1</v>
      </c>
    </row>
    <row r="24" spans="1:29" ht="15">
      <c r="A24" s="404"/>
      <c r="B24" s="456"/>
      <c r="C24" s="616" t="s">
        <v>3092</v>
      </c>
      <c r="D24" s="448"/>
      <c r="E24" s="2608" t="s">
        <v>3092</v>
      </c>
      <c r="F24" s="448"/>
      <c r="G24" s="2963" t="s">
        <v>3219</v>
      </c>
      <c r="H24" s="448"/>
      <c r="I24" s="2963" t="s">
        <v>3219</v>
      </c>
      <c r="J24" s="448"/>
      <c r="K24" s="811"/>
      <c r="L24" s="1142"/>
      <c r="M24" s="1133"/>
      <c r="N24" s="1133"/>
      <c r="O24" s="1141"/>
      <c r="P24" s="3173"/>
      <c r="Q24" s="1813"/>
      <c r="R24" s="774"/>
      <c r="S24" s="775"/>
      <c r="T24" s="774"/>
      <c r="U24" s="775"/>
      <c r="V24" s="774"/>
      <c r="W24" s="775"/>
      <c r="X24" s="1816"/>
      <c r="Y24" s="3173"/>
      <c r="Z24" s="1817"/>
      <c r="AA24" s="1814"/>
      <c r="AB24" s="1814"/>
      <c r="AC24" s="1814"/>
    </row>
    <row r="25" spans="1:29" ht="57">
      <c r="A25" s="404"/>
      <c r="B25" s="1386"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2"/>
      <c r="M25" s="1133"/>
      <c r="N25" s="1133"/>
      <c r="O25" s="1141"/>
      <c r="P25" s="3173"/>
      <c r="Q25" s="1813" t="str">
        <f t="shared" si="8"/>
        <v>自然及人文环境状况</v>
      </c>
      <c r="R25" s="774" t="s">
        <v>17</v>
      </c>
      <c r="S25" s="775">
        <f>F25</f>
        <v>100</v>
      </c>
      <c r="T25" s="774" t="s">
        <v>17</v>
      </c>
      <c r="U25" s="775">
        <f>H25</f>
        <v>100</v>
      </c>
      <c r="V25" s="774" t="s">
        <v>17</v>
      </c>
      <c r="W25" s="775">
        <f>J25</f>
        <v>100</v>
      </c>
      <c r="X25" s="1816"/>
      <c r="Y25" s="3173"/>
      <c r="Z25" s="1817" t="str">
        <f>Q25</f>
        <v>自然及人文环境状况</v>
      </c>
      <c r="AA25" s="1814">
        <f t="shared" si="3"/>
        <v>1</v>
      </c>
      <c r="AB25" s="1814">
        <f t="shared" si="4"/>
        <v>1</v>
      </c>
      <c r="AC25" s="1814">
        <f t="shared" si="5"/>
        <v>1</v>
      </c>
    </row>
    <row r="26" spans="1:29" ht="15">
      <c r="A26" s="404"/>
      <c r="B26" s="456"/>
      <c r="C26" s="447" t="s">
        <v>3218</v>
      </c>
      <c r="D26" s="448"/>
      <c r="E26" s="2614" t="s">
        <v>3218</v>
      </c>
      <c r="F26" s="448"/>
      <c r="G26" s="2614" t="s">
        <v>3218</v>
      </c>
      <c r="H26" s="448"/>
      <c r="I26" s="447" t="s">
        <v>3218</v>
      </c>
      <c r="J26" s="448"/>
      <c r="K26" s="672"/>
      <c r="L26" s="1142"/>
      <c r="M26" s="1133"/>
      <c r="N26" s="1133"/>
      <c r="O26" s="1141"/>
      <c r="P26" s="3173"/>
      <c r="Q26" s="1813"/>
      <c r="R26" s="774"/>
      <c r="S26" s="775"/>
      <c r="T26" s="774"/>
      <c r="U26" s="775"/>
      <c r="V26" s="774"/>
      <c r="W26" s="775"/>
      <c r="X26" s="1816"/>
      <c r="Y26" s="3173"/>
      <c r="Z26" s="1817"/>
      <c r="AA26" s="1814">
        <v>1</v>
      </c>
      <c r="AB26" s="1814">
        <v>1</v>
      </c>
      <c r="AC26" s="1814">
        <v>1</v>
      </c>
    </row>
    <row r="27" spans="1:29" s="117" customFormat="1" ht="42.75">
      <c r="A27" s="649"/>
      <c r="B27" s="1386"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4"/>
      <c r="M27" s="1135"/>
      <c r="N27" s="1135"/>
      <c r="O27" s="1136"/>
      <c r="P27" s="3173"/>
      <c r="Q27" s="1798" t="str">
        <f t="shared" si="8"/>
        <v>公共配套设施</v>
      </c>
      <c r="R27" s="770" t="s">
        <v>17</v>
      </c>
      <c r="S27" s="771">
        <f>F27</f>
        <v>100</v>
      </c>
      <c r="T27" s="770" t="s">
        <v>17</v>
      </c>
      <c r="U27" s="771">
        <f>H27</f>
        <v>100</v>
      </c>
      <c r="V27" s="770" t="s">
        <v>17</v>
      </c>
      <c r="W27" s="771">
        <f>J27</f>
        <v>100</v>
      </c>
      <c r="X27" s="772"/>
      <c r="Y27" s="3173"/>
      <c r="Z27" s="55" t="str">
        <f>Q27</f>
        <v>公共配套设施</v>
      </c>
      <c r="AA27" s="1814">
        <f>D27/F27</f>
        <v>1</v>
      </c>
      <c r="AB27" s="1814">
        <f>D27/H27</f>
        <v>1</v>
      </c>
      <c r="AC27" s="1814">
        <f>D27/J27</f>
        <v>1</v>
      </c>
    </row>
    <row r="28" spans="1:29" s="117" customFormat="1" ht="15">
      <c r="A28" s="649"/>
      <c r="B28" s="456"/>
      <c r="C28" s="2703" t="s">
        <v>3092</v>
      </c>
      <c r="D28" s="448"/>
      <c r="E28" s="2614" t="s">
        <v>3092</v>
      </c>
      <c r="F28" s="448"/>
      <c r="G28" s="2614" t="s">
        <v>3092</v>
      </c>
      <c r="H28" s="448"/>
      <c r="I28" s="447" t="s">
        <v>3092</v>
      </c>
      <c r="J28" s="448"/>
      <c r="K28" s="672"/>
      <c r="L28" s="1134"/>
      <c r="M28" s="1135"/>
      <c r="N28" s="1135"/>
      <c r="O28" s="1136"/>
      <c r="P28" s="3173"/>
      <c r="Q28" s="1798"/>
      <c r="R28" s="770"/>
      <c r="S28" s="771"/>
      <c r="T28" s="770"/>
      <c r="U28" s="771"/>
      <c r="V28" s="770"/>
      <c r="W28" s="771"/>
      <c r="X28" s="772"/>
      <c r="Y28" s="3173"/>
      <c r="Z28" s="55"/>
      <c r="AA28" s="1814">
        <v>1</v>
      </c>
      <c r="AB28" s="1814">
        <v>1</v>
      </c>
      <c r="AC28" s="1814">
        <v>1</v>
      </c>
    </row>
    <row r="29" spans="1:29" s="117" customFormat="1" ht="28.5">
      <c r="A29" s="649"/>
      <c r="B29" s="1386"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4"/>
      <c r="M29" s="1135"/>
      <c r="N29" s="1135"/>
      <c r="O29" s="1136"/>
      <c r="P29" s="3173"/>
      <c r="Q29" s="1798"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4">
        <f>D29/F29</f>
        <v>1</v>
      </c>
      <c r="AB29" s="1814">
        <f>D29/H29</f>
        <v>1</v>
      </c>
      <c r="AC29" s="1814">
        <f>D29/J29</f>
        <v>1</v>
      </c>
    </row>
    <row r="30" spans="1:29" s="117" customFormat="1" ht="15">
      <c r="A30" s="649"/>
      <c r="B30" s="456"/>
      <c r="C30" s="2703" t="s">
        <v>3217</v>
      </c>
      <c r="D30" s="448"/>
      <c r="E30" s="2704" t="s">
        <v>3217</v>
      </c>
      <c r="F30" s="448"/>
      <c r="G30" s="2704" t="s">
        <v>3217</v>
      </c>
      <c r="H30" s="448"/>
      <c r="I30" s="2704" t="s">
        <v>3217</v>
      </c>
      <c r="J30" s="448"/>
      <c r="K30" s="672"/>
      <c r="L30" s="1134"/>
      <c r="M30" s="1135"/>
      <c r="N30" s="1135"/>
      <c r="O30" s="1136"/>
      <c r="P30" s="3173"/>
      <c r="Q30" s="1798"/>
      <c r="R30" s="770"/>
      <c r="S30" s="771"/>
      <c r="T30" s="770"/>
      <c r="U30" s="771"/>
      <c r="V30" s="770"/>
      <c r="W30" s="771"/>
      <c r="X30" s="772"/>
      <c r="Y30" s="3173"/>
      <c r="Z30" s="55"/>
      <c r="AA30" s="1814">
        <v>1</v>
      </c>
      <c r="AB30" s="1814">
        <v>1</v>
      </c>
      <c r="AC30" s="1814">
        <v>1</v>
      </c>
    </row>
    <row r="31" spans="1:29" ht="15">
      <c r="A31" s="428"/>
      <c r="B31" s="456" t="s">
        <v>2655</v>
      </c>
      <c r="C31" s="616" t="s">
        <v>3220</v>
      </c>
      <c r="D31" s="435">
        <v>100</v>
      </c>
      <c r="E31" s="634" t="s">
        <v>3220</v>
      </c>
      <c r="F31" s="435">
        <f>SUMIF(104:104,E31,105:105)-SUMIF(104:104,C31,105:105)+100</f>
        <v>100</v>
      </c>
      <c r="G31" s="634" t="s">
        <v>3226</v>
      </c>
      <c r="H31" s="435">
        <f>SUMIF(104:104,G31,105:105)-SUMIF(104:104,C31,105:105)+100</f>
        <v>98</v>
      </c>
      <c r="I31" s="634" t="s">
        <v>3226</v>
      </c>
      <c r="J31" s="435">
        <f>SUMIF(104:104,I31,105:105)-SUMIF(104:104,C31,105:105)+100</f>
        <v>98</v>
      </c>
      <c r="K31" s="673">
        <v>2</v>
      </c>
      <c r="L31" s="1142"/>
      <c r="M31" s="1133"/>
      <c r="N31" s="1133"/>
      <c r="O31" s="1141"/>
      <c r="P31" s="3173"/>
      <c r="Q31" s="1813" t="str">
        <f t="shared" si="8"/>
        <v>临街状况</v>
      </c>
      <c r="R31" s="774" t="s">
        <v>17</v>
      </c>
      <c r="S31" s="775">
        <f t="shared" ref="S31:S45" si="10">F31</f>
        <v>100</v>
      </c>
      <c r="T31" s="774" t="s">
        <v>17</v>
      </c>
      <c r="U31" s="775">
        <f t="shared" ref="U31:U45" si="11">H31</f>
        <v>98</v>
      </c>
      <c r="V31" s="774" t="s">
        <v>17</v>
      </c>
      <c r="W31" s="775">
        <f t="shared" ref="W31:W45" si="12">J31</f>
        <v>98</v>
      </c>
      <c r="X31" s="1816"/>
      <c r="Y31" s="3173"/>
      <c r="Z31" s="1817" t="str">
        <f t="shared" ref="Z31:Z45" si="13">Q31</f>
        <v>临街状况</v>
      </c>
      <c r="AA31" s="1814">
        <f t="shared" si="3"/>
        <v>1</v>
      </c>
      <c r="AB31" s="1814">
        <f t="shared" si="4"/>
        <v>1.0204081632653061</v>
      </c>
      <c r="AC31" s="1814">
        <f t="shared" si="5"/>
        <v>1.0204081632653061</v>
      </c>
    </row>
    <row r="32" spans="1:29" ht="27">
      <c r="A32" s="428"/>
      <c r="B32" s="1386" t="s">
        <v>2690</v>
      </c>
      <c r="C32" s="2966" t="s">
        <v>3236</v>
      </c>
      <c r="D32" s="450">
        <v>100</v>
      </c>
      <c r="E32" s="2967" t="s">
        <v>3237</v>
      </c>
      <c r="F32" s="450">
        <f>SUMIF(106:106,E33,107:107)-SUMIF(106:106,C33,107:107)+100</f>
        <v>100</v>
      </c>
      <c r="G32" s="2967" t="s">
        <v>3238</v>
      </c>
      <c r="H32" s="450">
        <f>SUMIF(106:106,G33,107:107)-SUMIF(106:106,C33,107:107)+100</f>
        <v>100</v>
      </c>
      <c r="I32" s="2966" t="s">
        <v>3239</v>
      </c>
      <c r="J32" s="450">
        <f>SUMIF(106:106,I33,107:107)-SUMIF(106:106,C33,107:107)+100</f>
        <v>100</v>
      </c>
      <c r="K32" s="673">
        <v>2</v>
      </c>
      <c r="L32" s="1142"/>
      <c r="M32" s="1133"/>
      <c r="N32" s="1133"/>
      <c r="O32" s="1141"/>
      <c r="P32" s="3173"/>
      <c r="Q32" s="1813" t="str">
        <f t="shared" si="8"/>
        <v>毗邻道路的类型与等级</v>
      </c>
      <c r="R32" s="774" t="s">
        <v>17</v>
      </c>
      <c r="S32" s="775">
        <f t="shared" si="10"/>
        <v>100</v>
      </c>
      <c r="T32" s="774" t="s">
        <v>17</v>
      </c>
      <c r="U32" s="775">
        <f t="shared" si="11"/>
        <v>100</v>
      </c>
      <c r="V32" s="774" t="s">
        <v>17</v>
      </c>
      <c r="W32" s="775">
        <f t="shared" si="12"/>
        <v>100</v>
      </c>
      <c r="X32" s="1816"/>
      <c r="Y32" s="3173"/>
      <c r="Z32" s="1817" t="str">
        <f t="shared" si="13"/>
        <v>毗邻道路的类型与等级</v>
      </c>
      <c r="AA32" s="1814">
        <f t="shared" si="3"/>
        <v>1</v>
      </c>
      <c r="AB32" s="1814">
        <f t="shared" si="4"/>
        <v>1</v>
      </c>
      <c r="AC32" s="1814">
        <f t="shared" si="5"/>
        <v>1</v>
      </c>
    </row>
    <row r="33" spans="1:29" ht="15">
      <c r="A33" s="428"/>
      <c r="B33" s="456"/>
      <c r="C33" s="447" t="s">
        <v>3227</v>
      </c>
      <c r="D33" s="448"/>
      <c r="E33" s="2614" t="s">
        <v>3227</v>
      </c>
      <c r="F33" s="448"/>
      <c r="G33" s="2614" t="s">
        <v>3227</v>
      </c>
      <c r="H33" s="448"/>
      <c r="I33" s="447" t="s">
        <v>3227</v>
      </c>
      <c r="J33" s="448"/>
      <c r="K33" s="613"/>
      <c r="L33" s="1142"/>
      <c r="M33" s="1133"/>
      <c r="N33" s="1133"/>
      <c r="O33" s="1141"/>
      <c r="P33" s="3173"/>
      <c r="Q33" s="1813"/>
      <c r="R33" s="774"/>
      <c r="S33" s="775"/>
      <c r="T33" s="774"/>
      <c r="U33" s="775"/>
      <c r="V33" s="774"/>
      <c r="W33" s="775"/>
      <c r="X33" s="1816"/>
      <c r="Y33" s="3173"/>
      <c r="Z33" s="1817"/>
      <c r="AA33" s="1814">
        <v>1</v>
      </c>
      <c r="AB33" s="1814">
        <v>1</v>
      </c>
      <c r="AC33" s="1814">
        <v>1</v>
      </c>
    </row>
    <row r="34" spans="1:29" ht="15">
      <c r="A34" s="428"/>
      <c r="B34" s="422" t="s">
        <v>2749</v>
      </c>
      <c r="C34" s="616" t="s">
        <v>526</v>
      </c>
      <c r="D34" s="435">
        <v>100</v>
      </c>
      <c r="E34" s="634" t="s">
        <v>526</v>
      </c>
      <c r="F34" s="435">
        <f>SUMIF(108:108,E34,109:109)-SUMIF(108:108,C34,109:109)+100</f>
        <v>100</v>
      </c>
      <c r="G34" s="634" t="s">
        <v>526</v>
      </c>
      <c r="H34" s="435">
        <f>SUMIF(108:108,G34,109:109)-SUMIF(108:108,C34,109:109)+100</f>
        <v>100</v>
      </c>
      <c r="I34" s="616" t="s">
        <v>526</v>
      </c>
      <c r="J34" s="435">
        <f>SUMIF(108:108,I34,109:109)-SUMIF(108:108,C34,109:109)+100</f>
        <v>100</v>
      </c>
      <c r="K34" s="612">
        <v>2</v>
      </c>
      <c r="L34" s="1142"/>
      <c r="M34" s="1133"/>
      <c r="N34" s="1133"/>
      <c r="O34" s="1141"/>
      <c r="P34" s="3173"/>
      <c r="Q34" s="1813" t="str">
        <f t="shared" si="8"/>
        <v>土地级别</v>
      </c>
      <c r="R34" s="774" t="s">
        <v>17</v>
      </c>
      <c r="S34" s="775">
        <f t="shared" si="10"/>
        <v>100</v>
      </c>
      <c r="T34" s="774" t="s">
        <v>17</v>
      </c>
      <c r="U34" s="775">
        <f t="shared" si="11"/>
        <v>100</v>
      </c>
      <c r="V34" s="774" t="s">
        <v>17</v>
      </c>
      <c r="W34" s="775">
        <f t="shared" si="12"/>
        <v>100</v>
      </c>
      <c r="X34" s="1816"/>
      <c r="Y34" s="3173"/>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3"/>
      <c r="Q35" s="1813">
        <f t="shared" si="8"/>
        <v>111</v>
      </c>
      <c r="R35" s="774" t="s">
        <v>17</v>
      </c>
      <c r="S35" s="775">
        <f t="shared" si="10"/>
        <v>100</v>
      </c>
      <c r="T35" s="774" t="s">
        <v>17</v>
      </c>
      <c r="U35" s="775">
        <f t="shared" si="11"/>
        <v>100</v>
      </c>
      <c r="V35" s="774" t="s">
        <v>17</v>
      </c>
      <c r="W35" s="775">
        <f t="shared" si="12"/>
        <v>100</v>
      </c>
      <c r="X35" s="1816"/>
      <c r="Y35" s="3173"/>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4" t="s">
        <v>2564</v>
      </c>
      <c r="Q36" s="1813">
        <f t="shared" si="8"/>
        <v>111</v>
      </c>
      <c r="R36" s="774" t="s">
        <v>17</v>
      </c>
      <c r="S36" s="775">
        <f t="shared" si="10"/>
        <v>100</v>
      </c>
      <c r="T36" s="774" t="s">
        <v>17</v>
      </c>
      <c r="U36" s="775">
        <f t="shared" si="11"/>
        <v>100</v>
      </c>
      <c r="V36" s="774" t="s">
        <v>17</v>
      </c>
      <c r="W36" s="775">
        <f t="shared" si="12"/>
        <v>100</v>
      </c>
      <c r="X36" s="1816"/>
      <c r="Y36" s="3175" t="s">
        <v>2564</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
      <c r="A38" s="472" t="s">
        <v>2562</v>
      </c>
      <c r="B38" s="456" t="s">
        <v>2750</v>
      </c>
      <c r="C38" s="679">
        <v>10435.99</v>
      </c>
      <c r="D38" s="467">
        <v>100</v>
      </c>
      <c r="E38" s="679">
        <f>房山土地案例!E7</f>
        <v>33619.79</v>
      </c>
      <c r="F38" s="467">
        <f>LOOKUP(E38,117:117,118:118)-LOOKUP(C38,117:117,118:118)+100</f>
        <v>104</v>
      </c>
      <c r="G38" s="679">
        <f>房山土地案例!E25</f>
        <v>10384</v>
      </c>
      <c r="H38" s="467">
        <f>LOOKUP(G38,117:117,118:118)-LOOKUP(C38,117:117,118:118)+100</f>
        <v>100</v>
      </c>
      <c r="I38" s="530">
        <f>房山土地案例!E26</f>
        <v>8466</v>
      </c>
      <c r="J38" s="467">
        <f>LOOKUP(I38,117:117,118:118)-LOOKUP(C38,117:117,118:118)+100</f>
        <v>98</v>
      </c>
      <c r="K38" s="613"/>
      <c r="L38" s="1142"/>
      <c r="M38" s="1133"/>
      <c r="N38" s="1133"/>
      <c r="O38" s="1141"/>
      <c r="P38" s="3175"/>
      <c r="Q38" s="1813" t="str">
        <f>B38</f>
        <v>宗地面积</v>
      </c>
      <c r="R38" s="774" t="s">
        <v>17</v>
      </c>
      <c r="S38" s="775">
        <f t="shared" si="10"/>
        <v>104</v>
      </c>
      <c r="T38" s="774" t="s">
        <v>17</v>
      </c>
      <c r="U38" s="775">
        <f t="shared" si="11"/>
        <v>100</v>
      </c>
      <c r="V38" s="774" t="s">
        <v>17</v>
      </c>
      <c r="W38" s="775">
        <f t="shared" si="12"/>
        <v>98</v>
      </c>
      <c r="X38" s="1816"/>
      <c r="Y38" s="3175"/>
      <c r="Z38" s="1817" t="str">
        <f t="shared" si="13"/>
        <v>宗地面积</v>
      </c>
      <c r="AA38" s="1814">
        <f t="shared" si="3"/>
        <v>0.96153846153846156</v>
      </c>
      <c r="AB38" s="1814">
        <f t="shared" si="4"/>
        <v>1</v>
      </c>
      <c r="AC38" s="1814">
        <f t="shared" si="5"/>
        <v>1.0204081632653061</v>
      </c>
    </row>
    <row r="39" spans="1:29" ht="15">
      <c r="A39" s="472"/>
      <c r="B39" s="422" t="s">
        <v>2751</v>
      </c>
      <c r="C39" s="2616" t="s">
        <v>3234</v>
      </c>
      <c r="D39" s="435">
        <v>100</v>
      </c>
      <c r="E39" s="2616" t="s">
        <v>3234</v>
      </c>
      <c r="F39" s="435">
        <f>SUMIF(119:119,E39,120:120)-SUMIF(119:119,C39,120:120)+100</f>
        <v>100</v>
      </c>
      <c r="G39" s="2616" t="s">
        <v>3234</v>
      </c>
      <c r="H39" s="435">
        <f>SUMIF(119:119,G39,120:120)-SUMIF(119:119,C39,120:120)+100</f>
        <v>100</v>
      </c>
      <c r="I39" s="2616" t="s">
        <v>3234</v>
      </c>
      <c r="J39" s="435">
        <f>SUMIF(119:119,I39,120:120)-SUMIF(119:119,C39,120:120)+100</f>
        <v>100</v>
      </c>
      <c r="K39" s="612">
        <v>2</v>
      </c>
      <c r="L39" s="1142"/>
      <c r="M39" s="1133"/>
      <c r="N39" s="1133"/>
      <c r="O39" s="1141"/>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2752</v>
      </c>
      <c r="C40" s="2616" t="s">
        <v>3092</v>
      </c>
      <c r="D40" s="435">
        <v>100</v>
      </c>
      <c r="E40" s="2616" t="s">
        <v>3092</v>
      </c>
      <c r="F40" s="435">
        <f>SUMIF(121:121,E40,122:122)-SUMIF(121:121,C40,122:122)+100</f>
        <v>100</v>
      </c>
      <c r="G40" s="2616" t="s">
        <v>3092</v>
      </c>
      <c r="H40" s="435">
        <f>SUMIF(121:121,G40,122:122)-SUMIF(121:121,C40,122:122)+100</f>
        <v>100</v>
      </c>
      <c r="I40" s="2616" t="s">
        <v>3092</v>
      </c>
      <c r="J40" s="435">
        <f>SUMIF(121:121,I40,122:122)-SUMIF(121:121,C40,122:122)+100</f>
        <v>100</v>
      </c>
      <c r="K40" s="612">
        <v>2</v>
      </c>
      <c r="L40" s="1142"/>
      <c r="M40" s="1133"/>
      <c r="N40" s="1133"/>
      <c r="O40" s="1141"/>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2753</v>
      </c>
      <c r="C41" s="2705" t="s">
        <v>3222</v>
      </c>
      <c r="D41" s="136">
        <v>100</v>
      </c>
      <c r="E41" s="2705" t="s">
        <v>3222</v>
      </c>
      <c r="F41" s="435">
        <f>SUMIF(123:123,E41,124:124)-SUMIF(123:123,C41,124:124)+100</f>
        <v>100</v>
      </c>
      <c r="G41" s="2705" t="s">
        <v>3240</v>
      </c>
      <c r="H41" s="435">
        <f>SUMIF(123:123,G41,124:124)-SUMIF(123:123,C41,124:124)+100</f>
        <v>94</v>
      </c>
      <c r="I41" s="2705" t="s">
        <v>3240</v>
      </c>
      <c r="J41" s="435">
        <f>SUMIF(123:123,I41,124:124)-SUMIF(123:123,C41,124:124)+100</f>
        <v>94</v>
      </c>
      <c r="K41" s="612">
        <v>2</v>
      </c>
      <c r="L41" s="1134"/>
      <c r="M41" s="1135"/>
      <c r="N41" s="1135"/>
      <c r="O41" s="1136"/>
      <c r="P41" s="3175"/>
      <c r="Q41" s="1813" t="str">
        <f t="shared" si="14"/>
        <v>宗地开发程度</v>
      </c>
      <c r="R41" s="770" t="s">
        <v>17</v>
      </c>
      <c r="S41" s="771">
        <f t="shared" si="10"/>
        <v>100</v>
      </c>
      <c r="T41" s="770" t="s">
        <v>17</v>
      </c>
      <c r="U41" s="771">
        <f t="shared" si="11"/>
        <v>94</v>
      </c>
      <c r="V41" s="770" t="s">
        <v>17</v>
      </c>
      <c r="W41" s="771">
        <f t="shared" si="12"/>
        <v>94</v>
      </c>
      <c r="X41" s="772"/>
      <c r="Y41" s="3175"/>
      <c r="Z41" s="55" t="str">
        <f t="shared" si="13"/>
        <v>宗地开发程度</v>
      </c>
      <c r="AA41" s="773">
        <f t="shared" si="3"/>
        <v>1</v>
      </c>
      <c r="AB41" s="773">
        <f t="shared" si="4"/>
        <v>1.0638297872340425</v>
      </c>
      <c r="AC41" s="773">
        <f t="shared" si="5"/>
        <v>1.0638297872340425</v>
      </c>
    </row>
    <row r="42" spans="1:29" ht="15">
      <c r="A42" s="472"/>
      <c r="B42" s="422" t="s">
        <v>2754</v>
      </c>
      <c r="C42" s="2616" t="s">
        <v>3092</v>
      </c>
      <c r="D42" s="435">
        <v>100</v>
      </c>
      <c r="E42" s="2616" t="s">
        <v>3092</v>
      </c>
      <c r="F42" s="435">
        <f>SUMIF(125:125,E42,126:126)-SUMIF(125:125,C42,126:126)+100</f>
        <v>100</v>
      </c>
      <c r="G42" s="2616" t="s">
        <v>3092</v>
      </c>
      <c r="H42" s="435">
        <f>SUMIF(125:125,G42,126:126)-SUMIF(125:125,C42,126:126)+100</f>
        <v>100</v>
      </c>
      <c r="I42" s="2616" t="s">
        <v>3092</v>
      </c>
      <c r="J42" s="435">
        <f>SUMIF(125:125,I42,126:126)-SUMIF(125:125,C42,126:126)+100</f>
        <v>100</v>
      </c>
      <c r="K42" s="612">
        <v>2</v>
      </c>
      <c r="L42" s="1142"/>
      <c r="M42" s="1133"/>
      <c r="N42" s="1133"/>
      <c r="O42" s="1141"/>
      <c r="P42" s="3175" t="s">
        <v>2564</v>
      </c>
      <c r="Q42" s="1813" t="str">
        <f t="shared" si="14"/>
        <v>工程地质条件</v>
      </c>
      <c r="R42" s="774" t="s">
        <v>17</v>
      </c>
      <c r="S42" s="775">
        <f t="shared" si="10"/>
        <v>100</v>
      </c>
      <c r="T42" s="774" t="s">
        <v>17</v>
      </c>
      <c r="U42" s="775">
        <f t="shared" si="11"/>
        <v>100</v>
      </c>
      <c r="V42" s="774" t="s">
        <v>17</v>
      </c>
      <c r="W42" s="775">
        <f t="shared" si="12"/>
        <v>100</v>
      </c>
      <c r="X42" s="1816"/>
      <c r="Y42" s="3175" t="s">
        <v>2564</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5">
      <c r="A46" s="479" t="s">
        <v>2719</v>
      </c>
      <c r="B46" s="2707" t="s">
        <v>2755</v>
      </c>
      <c r="C46" s="682" t="s">
        <v>1</v>
      </c>
      <c r="D46" s="481"/>
      <c r="E46" s="482">
        <f>ROUND(房山土地案例!M7,0)</f>
        <v>24837</v>
      </c>
      <c r="F46" s="483"/>
      <c r="G46" s="484">
        <f>ROUND(房山土地案例!M25,0)</f>
        <v>19761</v>
      </c>
      <c r="H46" s="485"/>
      <c r="I46" s="482">
        <f>ROUND(房山土地案例!M26,0)</f>
        <v>19844</v>
      </c>
      <c r="J46" s="485"/>
      <c r="K46" s="783"/>
      <c r="L46" s="1145"/>
      <c r="M46" s="1146"/>
      <c r="N46" s="1133"/>
      <c r="O46" s="1146"/>
      <c r="P46" s="3170" t="str">
        <f>A46</f>
        <v>成交单价</v>
      </c>
      <c r="Q46" s="3170"/>
      <c r="R46" s="3176">
        <f>E46</f>
        <v>24837</v>
      </c>
      <c r="S46" s="3176"/>
      <c r="T46" s="3176">
        <f>G46</f>
        <v>19761</v>
      </c>
      <c r="U46" s="3176"/>
      <c r="V46" s="3176">
        <f>I46</f>
        <v>19844</v>
      </c>
      <c r="W46" s="3176"/>
      <c r="X46" s="759"/>
      <c r="Y46" s="781"/>
      <c r="Z46" s="759"/>
      <c r="AA46" s="759"/>
      <c r="AB46" s="759"/>
      <c r="AC46" s="759"/>
    </row>
    <row r="47" spans="1:29" ht="15.75" thickBot="1">
      <c r="A47" s="486" t="s">
        <v>2668</v>
      </c>
      <c r="B47" s="683"/>
      <c r="C47" s="490">
        <f>R48</f>
        <v>19547</v>
      </c>
      <c r="D47" s="489"/>
      <c r="E47" s="490">
        <f>R47</f>
        <v>21572</v>
      </c>
      <c r="F47" s="491"/>
      <c r="G47" s="488">
        <f>T47</f>
        <v>18210</v>
      </c>
      <c r="H47" s="489"/>
      <c r="I47" s="490">
        <f>V47</f>
        <v>18858</v>
      </c>
      <c r="J47" s="489"/>
      <c r="K47" s="784"/>
      <c r="L47" s="1145"/>
      <c r="M47" s="1146"/>
      <c r="N47" s="1146"/>
      <c r="O47" s="1146"/>
      <c r="P47" s="3170" t="str">
        <f>A47</f>
        <v>比较价值（元/平方米）</v>
      </c>
      <c r="Q47" s="3170"/>
      <c r="R47" s="3163">
        <f>ROUND(PRODUCT(R46,AA7:AA45),0)</f>
        <v>21572</v>
      </c>
      <c r="S47" s="3163"/>
      <c r="T47" s="3163">
        <f>ROUND(PRODUCT(T46,AB7:AB45),0)</f>
        <v>18210</v>
      </c>
      <c r="U47" s="3163"/>
      <c r="V47" s="3163">
        <f>ROUND(PRODUCT(V46,AC7:AC45),0)</f>
        <v>18858</v>
      </c>
      <c r="W47" s="3163"/>
      <c r="X47" s="759"/>
      <c r="Y47" s="759"/>
      <c r="Z47" s="759"/>
      <c r="AA47" s="759"/>
      <c r="AB47" s="759"/>
      <c r="AC47" s="759"/>
    </row>
    <row r="48" spans="1:29" ht="15.75" thickBot="1">
      <c r="A48" s="492" t="s">
        <v>2756</v>
      </c>
      <c r="B48" s="493"/>
      <c r="C48" s="494">
        <f>R48</f>
        <v>19547</v>
      </c>
      <c r="D48" s="494"/>
      <c r="E48" s="494"/>
      <c r="F48" s="494"/>
      <c r="G48" s="494"/>
      <c r="H48" s="494"/>
      <c r="I48" s="494"/>
      <c r="J48" s="494"/>
      <c r="K48" s="785"/>
      <c r="L48" s="1145"/>
      <c r="M48" s="1146"/>
      <c r="N48" s="1146"/>
      <c r="O48" s="1146"/>
      <c r="P48" s="3164" t="str">
        <f>A48</f>
        <v>估价对象XX用房的比较价值（楼面单价，元/平方米）</v>
      </c>
      <c r="Q48" s="3165"/>
      <c r="R48" s="3166">
        <f>ROUND(AVERAGE(R47:V47),0)</f>
        <v>19547</v>
      </c>
      <c r="S48" s="3166"/>
      <c r="T48" s="3166"/>
      <c r="U48" s="3166"/>
      <c r="V48" s="3166"/>
      <c r="W48" s="316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0.15135360652697938</v>
      </c>
      <c r="F51" s="500" t="str">
        <f>IF(OR(E51&gt;=0.3,E51&lt;=-0.3),"超过30%","")</f>
        <v/>
      </c>
      <c r="G51" s="499">
        <f>IF(G46&lt;G47,G47/G46-1,G46/G47-1)</f>
        <v>8.517298187808886E-2</v>
      </c>
      <c r="H51" s="500" t="str">
        <f>IF(OR(G51&gt;=0.3,G51&lt;=-0.3),"超过30%","")</f>
        <v/>
      </c>
      <c r="I51" s="499">
        <f>IF(I46&lt;I47,I47/I46-1,I46/I47-1)</f>
        <v>5.2285502174143517E-2</v>
      </c>
      <c r="J51" s="500" t="str">
        <f>IF(OR(I51&gt;=0.3,I51&lt;=-0.3),"超过30%","")</f>
        <v/>
      </c>
      <c r="K51" s="1107"/>
      <c r="L51" s="1108"/>
      <c r="M51" s="1146"/>
      <c r="N51" s="1146"/>
      <c r="O51" s="1146"/>
    </row>
    <row r="52" spans="1:15" ht="13.5" customHeight="1">
      <c r="A52" s="1146"/>
      <c r="B52" s="1146"/>
      <c r="C52" s="497" t="s">
        <v>2671</v>
      </c>
      <c r="D52" s="501"/>
      <c r="E52" s="499">
        <f>IF(E47&lt;G47,G47/E47-1,E47/G47-1)</f>
        <v>0.18462383305875885</v>
      </c>
      <c r="F52" s="500" t="str">
        <f>IF(OR(E52&gt;=0.2,E52&lt;=-0.2),"超过20%","")</f>
        <v/>
      </c>
      <c r="G52" s="499">
        <f>IF(G47&lt;I47,I47/G47-1,G47/I47-1)</f>
        <v>3.5584843492586504E-2</v>
      </c>
      <c r="H52" s="500" t="str">
        <f>IF(OR(G52&gt;=0.2,G52&lt;=-0.2),"超过20%","")</f>
        <v/>
      </c>
      <c r="I52" s="499">
        <f>IF(I47&lt;E47,E47/I47-1,I47/E47-1)</f>
        <v>0.14391770071057386</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0.25686959161985734</v>
      </c>
      <c r="F53" s="500" t="str">
        <f>IF(OR(E53&gt;=0.3,E53&lt;=-0.3),"超过30%","")</f>
        <v/>
      </c>
      <c r="G53" s="499">
        <f>IF(G46&lt;I46,I46/G46-1,G46/I46-1)</f>
        <v>4.2001922979606476E-3</v>
      </c>
      <c r="H53" s="500" t="str">
        <f>IF(OR(G53&gt;=0.3,G53&lt;=-0.3),"超过30%","")</f>
        <v/>
      </c>
      <c r="I53" s="499">
        <f>IF(I46&lt;E46,E46/I46-1,I46/E46-1)</f>
        <v>0.25161257810925219</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2757</v>
      </c>
      <c r="B55" s="685" t="s">
        <v>2758</v>
      </c>
      <c r="C55" s="2708" t="s">
        <v>2759</v>
      </c>
      <c r="D55" s="2709" t="s">
        <v>2760</v>
      </c>
      <c r="E55" s="686" t="s">
        <v>2761</v>
      </c>
      <c r="F55" s="1109" t="s">
        <v>2762</v>
      </c>
      <c r="G55" s="3167" t="s">
        <v>2763</v>
      </c>
      <c r="H55" s="3168"/>
      <c r="I55" s="144" t="s">
        <v>2764</v>
      </c>
      <c r="J55" s="2710">
        <f>项目基本情况!F35</f>
        <v>0</v>
      </c>
      <c r="K55" s="2711" t="s">
        <v>2765</v>
      </c>
      <c r="L55" s="1108"/>
      <c r="M55" s="1146"/>
      <c r="N55" s="1146"/>
      <c r="O55" s="1146"/>
    </row>
    <row r="56" spans="1:15" s="692" customFormat="1">
      <c r="A56" s="688" t="s">
        <v>2766</v>
      </c>
      <c r="B56" s="689">
        <f>C48</f>
        <v>19547</v>
      </c>
      <c r="C56" s="690">
        <v>1</v>
      </c>
      <c r="D56" s="1165">
        <v>1</v>
      </c>
      <c r="E56" s="690">
        <f>'数据-汇总表'!E8+'数据-汇总表'!E9</f>
        <v>3416.9</v>
      </c>
      <c r="F56" s="1105">
        <f t="shared" ref="F56:F65" si="15">ROUND(B56*E56/10000,0)</f>
        <v>6679</v>
      </c>
      <c r="G56" s="3169"/>
      <c r="H56" s="3170"/>
      <c r="I56" s="1110">
        <v>1</v>
      </c>
      <c r="J56" s="1113">
        <v>1</v>
      </c>
      <c r="K56" s="1147"/>
      <c r="L56" s="943"/>
      <c r="M56" s="943"/>
      <c r="N56" s="943"/>
      <c r="O56" s="943"/>
    </row>
    <row r="57" spans="1:15" s="692" customFormat="1">
      <c r="A57" s="693" t="s">
        <v>2767</v>
      </c>
      <c r="B57" s="262">
        <f>ROUND($C$48*C57*D57,0)</f>
        <v>3421</v>
      </c>
      <c r="C57" s="200">
        <f t="shared" ref="C57:C65" si="16">IF($C$55="北京市系数",I57,J57)</f>
        <v>0.7</v>
      </c>
      <c r="D57" s="1166">
        <v>0.25</v>
      </c>
      <c r="E57" s="694">
        <f>'数据-汇总表'!G19</f>
        <v>2202.6799999999998</v>
      </c>
      <c r="F57" s="1105">
        <f t="shared" si="15"/>
        <v>754</v>
      </c>
      <c r="G57" s="3171" t="s">
        <v>2768</v>
      </c>
      <c r="H57" s="1106" t="str">
        <f>项目基本情况!B37</f>
        <v>七级</v>
      </c>
      <c r="I57" s="1110">
        <f>SUMIF(修正!A45:A56,H57,修正!B45:B56)</f>
        <v>0.7</v>
      </c>
      <c r="J57" s="1114"/>
      <c r="K57" s="1146"/>
      <c r="L57" s="943"/>
      <c r="M57" s="943"/>
      <c r="N57" s="943"/>
      <c r="O57" s="943"/>
    </row>
    <row r="58" spans="1:15" s="692" customFormat="1">
      <c r="A58" s="693" t="s">
        <v>2769</v>
      </c>
      <c r="B58" s="262">
        <f t="shared" ref="B58:B65" si="17">ROUND($C$48*C58*D58,0)</f>
        <v>1955</v>
      </c>
      <c r="C58" s="200">
        <f t="shared" si="16"/>
        <v>0.4</v>
      </c>
      <c r="D58" s="1166">
        <v>0.25</v>
      </c>
      <c r="E58" s="694"/>
      <c r="F58" s="1105">
        <f t="shared" si="15"/>
        <v>0</v>
      </c>
      <c r="G58" s="3171"/>
      <c r="H58" s="1106" t="str">
        <f>项目基本情况!B37</f>
        <v>七级</v>
      </c>
      <c r="I58" s="1110">
        <f>SUMIF(修正!A45:A56,H58,修正!C45:C56)</f>
        <v>0.4</v>
      </c>
      <c r="J58" s="1114"/>
      <c r="K58" s="1147"/>
      <c r="L58" s="943"/>
      <c r="M58" s="943"/>
      <c r="N58" s="943"/>
      <c r="O58" s="943"/>
    </row>
    <row r="59" spans="1:15" s="692" customFormat="1">
      <c r="A59" s="693" t="s">
        <v>2770</v>
      </c>
      <c r="B59" s="262">
        <f t="shared" si="17"/>
        <v>1368</v>
      </c>
      <c r="C59" s="200">
        <f t="shared" si="16"/>
        <v>0.28000000000000003</v>
      </c>
      <c r="D59" s="1166">
        <v>0.25</v>
      </c>
      <c r="E59" s="694"/>
      <c r="F59" s="1105">
        <f t="shared" si="15"/>
        <v>0</v>
      </c>
      <c r="G59" s="3171"/>
      <c r="H59" s="1106" t="str">
        <f>项目基本情况!B37</f>
        <v>七级</v>
      </c>
      <c r="I59" s="1110">
        <f>SUMIF(修正!A45:A56,H59,修正!D45:D56)</f>
        <v>0.28000000000000003</v>
      </c>
      <c r="J59" s="1114"/>
      <c r="K59" s="1146"/>
      <c r="L59" s="943"/>
      <c r="M59" s="943"/>
      <c r="N59" s="943"/>
      <c r="O59" s="943"/>
    </row>
    <row r="60" spans="1:15" s="692" customFormat="1">
      <c r="A60" s="693" t="s">
        <v>2771</v>
      </c>
      <c r="B60" s="262">
        <f t="shared" si="17"/>
        <v>1222</v>
      </c>
      <c r="C60" s="200">
        <f t="shared" si="16"/>
        <v>0.25</v>
      </c>
      <c r="D60" s="1166">
        <v>0.25</v>
      </c>
      <c r="E60" s="694"/>
      <c r="F60" s="1105">
        <f t="shared" si="15"/>
        <v>0</v>
      </c>
      <c r="G60" s="3171"/>
      <c r="H60" s="1106" t="str">
        <f>项目基本情况!B37</f>
        <v>七级</v>
      </c>
      <c r="I60" s="1110">
        <f>SUMIF(修正!A45:A56,H60,修正!E45:E56)</f>
        <v>0.25</v>
      </c>
      <c r="J60" s="1114"/>
      <c r="K60" s="1147"/>
      <c r="L60" s="943"/>
      <c r="M60" s="943"/>
      <c r="N60" s="943"/>
      <c r="O60" s="943"/>
    </row>
    <row r="61" spans="1:15" s="692" customFormat="1">
      <c r="A61" s="693" t="s">
        <v>2772</v>
      </c>
      <c r="B61" s="262">
        <f t="shared" si="17"/>
        <v>0</v>
      </c>
      <c r="C61" s="200">
        <f t="shared" si="16"/>
        <v>0</v>
      </c>
      <c r="D61" s="1166">
        <v>0.25</v>
      </c>
      <c r="E61" s="261">
        <f>'数据-汇总表'!E11</f>
        <v>0</v>
      </c>
      <c r="F61" s="1105">
        <f t="shared" si="15"/>
        <v>0</v>
      </c>
      <c r="G61" s="2712" t="s">
        <v>2773</v>
      </c>
      <c r="H61" s="1106">
        <f>项目基本情况!C37</f>
        <v>0</v>
      </c>
      <c r="I61" s="1110">
        <f>SUMIF(修正!A45:A56,H61,修正!F45:F56)</f>
        <v>0</v>
      </c>
      <c r="J61" s="1114"/>
      <c r="K61" s="1146"/>
      <c r="L61" s="943"/>
      <c r="M61" s="943"/>
      <c r="N61" s="943"/>
      <c r="O61" s="943"/>
    </row>
    <row r="62" spans="1:15" s="692" customFormat="1">
      <c r="A62" s="693" t="s">
        <v>2774</v>
      </c>
      <c r="B62" s="262">
        <f t="shared" si="17"/>
        <v>0</v>
      </c>
      <c r="C62" s="200">
        <f t="shared" si="16"/>
        <v>0</v>
      </c>
      <c r="D62" s="1166">
        <v>0.25</v>
      </c>
      <c r="E62" s="261">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2776</v>
      </c>
      <c r="B63" s="262">
        <f t="shared" si="17"/>
        <v>0</v>
      </c>
      <c r="C63" s="200">
        <f t="shared" si="16"/>
        <v>0</v>
      </c>
      <c r="D63" s="1166">
        <v>0.25</v>
      </c>
      <c r="E63" s="261">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2778</v>
      </c>
      <c r="B64" s="262">
        <f t="shared" si="17"/>
        <v>977</v>
      </c>
      <c r="C64" s="200">
        <f t="shared" si="16"/>
        <v>0.2</v>
      </c>
      <c r="D64" s="1166">
        <v>0.25</v>
      </c>
      <c r="E64" s="261">
        <f>'数据-汇总表'!E14</f>
        <v>0</v>
      </c>
      <c r="F64" s="1105">
        <f t="shared" si="15"/>
        <v>0</v>
      </c>
      <c r="G64" s="2712" t="s">
        <v>2768</v>
      </c>
      <c r="H64" s="1106" t="str">
        <f>项目基本情况!B37</f>
        <v>七级</v>
      </c>
      <c r="I64" s="1110">
        <f>SUMIF(修正!A45:A56,H64,修正!H45:H56)</f>
        <v>0.2</v>
      </c>
      <c r="J64" s="1114"/>
      <c r="K64" s="1147"/>
      <c r="L64" s="943"/>
      <c r="M64" s="943"/>
      <c r="N64" s="943"/>
      <c r="O64" s="943"/>
    </row>
    <row r="65" spans="1:17" s="692" customFormat="1" ht="15" thickBot="1">
      <c r="A65" s="693" t="s">
        <v>2779</v>
      </c>
      <c r="B65" s="262">
        <f t="shared" si="17"/>
        <v>0</v>
      </c>
      <c r="C65" s="200">
        <f t="shared" si="16"/>
        <v>0</v>
      </c>
      <c r="D65" s="1166">
        <v>0.25</v>
      </c>
      <c r="E65" s="2969">
        <f>'数据-汇总表'!E15</f>
        <v>0</v>
      </c>
      <c r="F65" s="1105">
        <f t="shared" si="15"/>
        <v>0</v>
      </c>
      <c r="G65" s="2713" t="s">
        <v>2773</v>
      </c>
      <c r="H65" s="1116">
        <f>项目基本情况!C37</f>
        <v>0</v>
      </c>
      <c r="I65" s="1112">
        <f>SUMIF(修正!A45:A56,H65,修正!H45:H56)</f>
        <v>0</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5619.58</v>
      </c>
      <c r="F66" s="697">
        <f>IF(B46="楼面地价",SUM(F56:F65),ROUND(C48*E66/10000,0))</f>
        <v>7433</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2673</v>
      </c>
      <c r="B69" s="759"/>
      <c r="C69" s="764"/>
      <c r="D69" s="764"/>
      <c r="E69" s="764"/>
      <c r="F69" s="765"/>
      <c r="G69" s="765"/>
      <c r="H69" s="764"/>
      <c r="I69" s="764"/>
      <c r="J69" s="1161"/>
      <c r="K69" s="1162"/>
      <c r="L69" s="1163"/>
      <c r="M69" s="1161"/>
      <c r="N69" s="1161"/>
      <c r="O69" s="1161"/>
      <c r="P69" s="503"/>
      <c r="Q69" s="504"/>
    </row>
    <row r="70" spans="1:17" s="508" customFormat="1" ht="15">
      <c r="A70" s="2714" t="s">
        <v>2781</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2782</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2587</v>
      </c>
      <c r="B75" s="528" t="s">
        <v>2553</v>
      </c>
      <c r="C75" s="530" t="s">
        <v>3213</v>
      </c>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2690</v>
      </c>
      <c r="C106" s="2964" t="s">
        <v>3228</v>
      </c>
      <c r="D106" s="2964" t="s">
        <v>3229</v>
      </c>
      <c r="E106" s="2964" t="s">
        <v>3230</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2749</v>
      </c>
      <c r="C108" s="2965" t="s">
        <v>3231</v>
      </c>
      <c r="D108" s="2965" t="s">
        <v>3232</v>
      </c>
      <c r="E108" s="2965" t="s">
        <v>3233</v>
      </c>
      <c r="F108" s="583"/>
      <c r="G108" s="583"/>
      <c r="H108" s="583"/>
      <c r="I108" s="583"/>
      <c r="J108" s="583"/>
      <c r="K108" s="584"/>
      <c r="L108" s="585"/>
      <c r="M108" s="586"/>
      <c r="N108" s="1154"/>
      <c r="O108" s="1154"/>
      <c r="P108" s="45"/>
      <c r="Q108" s="504"/>
    </row>
    <row r="109" spans="1:17" ht="15.75" thickBot="1">
      <c r="A109" s="534"/>
      <c r="B109" s="543"/>
      <c r="C109" s="544">
        <v>100</v>
      </c>
      <c r="D109" s="544">
        <f>C109-$K34</f>
        <v>98</v>
      </c>
      <c r="E109" s="544">
        <f t="shared" ref="E109:M109" si="24">D109-$K34</f>
        <v>96</v>
      </c>
      <c r="F109" s="544">
        <f t="shared" si="24"/>
        <v>94</v>
      </c>
      <c r="G109" s="544">
        <f t="shared" si="24"/>
        <v>92</v>
      </c>
      <c r="H109" s="544">
        <f t="shared" si="24"/>
        <v>90</v>
      </c>
      <c r="I109" s="544">
        <f t="shared" si="24"/>
        <v>88</v>
      </c>
      <c r="J109" s="544">
        <f t="shared" si="24"/>
        <v>86</v>
      </c>
      <c r="K109" s="544">
        <f t="shared" si="24"/>
        <v>84</v>
      </c>
      <c r="L109" s="544">
        <f t="shared" si="24"/>
        <v>82</v>
      </c>
      <c r="M109" s="544">
        <f t="shared" si="24"/>
        <v>80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10000</v>
      </c>
      <c r="E117" s="595">
        <v>20000</v>
      </c>
      <c r="F117" s="595">
        <v>30000</v>
      </c>
      <c r="G117" s="595">
        <v>40000</v>
      </c>
      <c r="H117" s="595"/>
      <c r="I117" s="595"/>
      <c r="J117" s="596"/>
      <c r="K117" s="596"/>
      <c r="L117" s="597"/>
      <c r="M117" s="598"/>
      <c r="N117" s="1154"/>
      <c r="O117" s="1154"/>
      <c r="P117" s="45"/>
      <c r="Q117" s="504"/>
    </row>
    <row r="118" spans="1:17" ht="15.75" thickBot="1">
      <c r="A118" s="534"/>
      <c r="B118" s="543"/>
      <c r="C118" s="570">
        <v>96</v>
      </c>
      <c r="D118" s="591">
        <v>98</v>
      </c>
      <c r="E118" s="591">
        <v>100</v>
      </c>
      <c r="F118" s="591">
        <v>102</v>
      </c>
      <c r="G118" s="591">
        <v>104</v>
      </c>
      <c r="H118" s="591">
        <v>106</v>
      </c>
      <c r="I118" s="591">
        <v>108</v>
      </c>
      <c r="J118" s="591">
        <v>110</v>
      </c>
      <c r="K118" s="591">
        <v>112</v>
      </c>
      <c r="L118" s="591"/>
      <c r="M118" s="592"/>
      <c r="N118" s="1155"/>
      <c r="O118" s="1155"/>
      <c r="P118" s="45"/>
      <c r="Q118" s="504"/>
    </row>
    <row r="119" spans="1:17" ht="15" thickTop="1">
      <c r="A119" s="599"/>
      <c r="B119" s="538" t="s">
        <v>2791</v>
      </c>
      <c r="C119" s="2965" t="s">
        <v>3235</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2792</v>
      </c>
      <c r="C121" s="2964" t="s">
        <v>3219</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2793</v>
      </c>
      <c r="C123" s="2964" t="s">
        <v>3221</v>
      </c>
      <c r="D123" s="2964" t="s">
        <v>3223</v>
      </c>
      <c r="E123" s="2964" t="s">
        <v>3224</v>
      </c>
      <c r="F123" s="2964" t="s">
        <v>3225</v>
      </c>
      <c r="G123" s="2964" t="s">
        <v>3241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2794</v>
      </c>
      <c r="C125" s="2964" t="s">
        <v>3219</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E15" sqref="A15:XFD15"/>
    </sheetView>
  </sheetViews>
  <sheetFormatPr defaultRowHeight="13.5"/>
  <cols>
    <col min="1" max="1" width="30.5" customWidth="1"/>
    <col min="2" max="3" width="9" hidden="1" customWidth="1"/>
    <col min="4" max="4" width="17.375" hidden="1" customWidth="1"/>
    <col min="5" max="5" width="16" customWidth="1"/>
    <col min="6" max="6" width="15.625" customWidth="1"/>
    <col min="7" max="7" width="9" customWidth="1"/>
    <col min="8" max="8" width="11.75" customWidth="1"/>
    <col min="9" max="9" width="13.875" customWidth="1"/>
    <col min="10" max="10" width="14" customWidth="1"/>
    <col min="11" max="11" width="17.625" customWidth="1"/>
    <col min="12" max="12" width="16.375" customWidth="1"/>
    <col min="13" max="13" width="16.5" customWidth="1"/>
  </cols>
  <sheetData>
    <row r="1" spans="1:14">
      <c r="A1" s="2955" t="s">
        <v>3210</v>
      </c>
    </row>
    <row r="2" spans="1:14" s="1638" customFormat="1">
      <c r="A2" s="1638" t="s">
        <v>3115</v>
      </c>
      <c r="B2" s="1638" t="s">
        <v>3116</v>
      </c>
      <c r="C2" s="1638" t="s">
        <v>3117</v>
      </c>
      <c r="D2" s="1638" t="s">
        <v>3121</v>
      </c>
      <c r="E2" s="1638" t="s">
        <v>3118</v>
      </c>
      <c r="F2" s="1638" t="s">
        <v>3119</v>
      </c>
      <c r="G2" s="1638" t="s">
        <v>3120</v>
      </c>
      <c r="H2" s="1638" t="s">
        <v>3122</v>
      </c>
      <c r="I2" s="1638" t="s">
        <v>3127</v>
      </c>
      <c r="J2" s="1638" t="s">
        <v>3123</v>
      </c>
      <c r="K2" s="1638" t="s">
        <v>3124</v>
      </c>
      <c r="L2" s="1638" t="s">
        <v>3169</v>
      </c>
      <c r="M2" s="1638" t="s">
        <v>3125</v>
      </c>
      <c r="N2" s="1638" t="s">
        <v>3126</v>
      </c>
    </row>
    <row r="3" spans="1:14" s="1638" customFormat="1">
      <c r="A3" s="1638" t="s">
        <v>3128</v>
      </c>
      <c r="B3" s="1638" t="s">
        <v>3051</v>
      </c>
      <c r="C3" s="1638" t="s">
        <v>3129</v>
      </c>
      <c r="D3" s="1638" t="s">
        <v>3130</v>
      </c>
      <c r="E3" s="1638">
        <v>66237.2</v>
      </c>
      <c r="F3" s="1638">
        <v>264058.7</v>
      </c>
      <c r="G3" s="1638">
        <v>3.99</v>
      </c>
      <c r="H3" s="1638" t="s">
        <v>3131</v>
      </c>
      <c r="I3" s="1638" t="s">
        <v>3132</v>
      </c>
      <c r="J3" s="1638">
        <v>385000</v>
      </c>
      <c r="K3" s="1638">
        <v>385000</v>
      </c>
      <c r="L3" s="1638">
        <v>14580.09</v>
      </c>
      <c r="M3" s="1638">
        <v>14580.09</v>
      </c>
      <c r="N3" s="1638">
        <v>0</v>
      </c>
    </row>
    <row r="4" spans="1:14" s="1638" customFormat="1">
      <c r="A4" s="1638" t="s">
        <v>3133</v>
      </c>
      <c r="B4" s="1638" t="s">
        <v>3051</v>
      </c>
      <c r="C4" s="1638" t="s">
        <v>3129</v>
      </c>
      <c r="D4" s="1638" t="s">
        <v>3130</v>
      </c>
      <c r="E4" s="1638">
        <v>18303.330000000002</v>
      </c>
      <c r="F4" s="1638">
        <v>58571</v>
      </c>
      <c r="G4" s="1638">
        <v>3.2</v>
      </c>
      <c r="H4" s="1638" t="s">
        <v>3134</v>
      </c>
      <c r="I4" s="1638" t="s">
        <v>3135</v>
      </c>
      <c r="J4" s="1638">
        <v>79600</v>
      </c>
      <c r="K4" s="1638">
        <v>129000</v>
      </c>
      <c r="L4" s="1638">
        <v>13590.34</v>
      </c>
      <c r="M4" s="1638">
        <v>22024.54</v>
      </c>
      <c r="N4" s="1638">
        <v>62.06</v>
      </c>
    </row>
    <row r="5" spans="1:14" s="1638" customFormat="1">
      <c r="A5" s="1638" t="s">
        <v>3136</v>
      </c>
      <c r="B5" s="1638" t="s">
        <v>3051</v>
      </c>
      <c r="C5" s="1638" t="s">
        <v>3129</v>
      </c>
      <c r="D5" s="1638" t="s">
        <v>3130</v>
      </c>
      <c r="E5" s="1638">
        <v>29183.54</v>
      </c>
      <c r="F5" s="1638">
        <v>72959</v>
      </c>
      <c r="G5" s="1638">
        <v>2.5</v>
      </c>
      <c r="H5" s="1638" t="s">
        <v>3137</v>
      </c>
      <c r="I5" s="1638" t="s">
        <v>3138</v>
      </c>
      <c r="J5" s="1638">
        <v>83000</v>
      </c>
      <c r="K5" s="1638">
        <v>106000</v>
      </c>
      <c r="L5" s="1638">
        <v>11376.25</v>
      </c>
      <c r="M5" s="1638">
        <v>14528.7</v>
      </c>
      <c r="N5" s="1638">
        <v>27.71</v>
      </c>
    </row>
    <row r="6" spans="1:14" s="1638" customFormat="1">
      <c r="A6" s="1638" t="s">
        <v>3139</v>
      </c>
      <c r="B6" s="1638" t="s">
        <v>3051</v>
      </c>
      <c r="C6" s="1638" t="s">
        <v>3129</v>
      </c>
      <c r="D6" s="1638" t="s">
        <v>3130</v>
      </c>
      <c r="E6" s="1638">
        <v>23639.39</v>
      </c>
      <c r="F6" s="1638">
        <v>75646</v>
      </c>
      <c r="G6" s="1638">
        <v>3.2</v>
      </c>
      <c r="H6" s="1638" t="s">
        <v>3140</v>
      </c>
      <c r="I6" s="1638" t="s">
        <v>3141</v>
      </c>
      <c r="J6" s="1638">
        <v>102000</v>
      </c>
      <c r="K6" s="1638">
        <v>103020</v>
      </c>
      <c r="L6" s="1638">
        <v>13483.85</v>
      </c>
      <c r="M6" s="1638">
        <v>13618.7</v>
      </c>
      <c r="N6" s="1638">
        <v>1</v>
      </c>
    </row>
    <row r="7" spans="1:14" s="2959" customFormat="1">
      <c r="A7" s="2960" t="s">
        <v>3211</v>
      </c>
      <c r="B7" s="2959" t="s">
        <v>3051</v>
      </c>
      <c r="C7" s="2959" t="s">
        <v>3129</v>
      </c>
      <c r="D7" s="2959" t="s">
        <v>3130</v>
      </c>
      <c r="E7" s="2959">
        <v>33619.79</v>
      </c>
      <c r="F7" s="2959">
        <v>134479</v>
      </c>
      <c r="G7" s="2959">
        <v>4</v>
      </c>
      <c r="H7" s="2959" t="s">
        <v>3142</v>
      </c>
      <c r="I7" s="2959" t="s">
        <v>3143</v>
      </c>
      <c r="J7" s="2959">
        <v>153000</v>
      </c>
      <c r="K7" s="2959">
        <v>334000</v>
      </c>
      <c r="L7" s="2959">
        <v>11377.24</v>
      </c>
      <c r="M7" s="2959">
        <v>24836.59</v>
      </c>
      <c r="N7" s="2959">
        <v>118.3</v>
      </c>
    </row>
    <row r="8" spans="1:14" s="2961" customFormat="1">
      <c r="A8" s="2961" t="s">
        <v>3144</v>
      </c>
      <c r="B8" s="2961" t="s">
        <v>3051</v>
      </c>
      <c r="C8" s="2961" t="s">
        <v>3129</v>
      </c>
      <c r="D8" s="2961" t="s">
        <v>3130</v>
      </c>
      <c r="E8" s="2961">
        <v>71916.58</v>
      </c>
      <c r="F8" s="2961">
        <v>107875</v>
      </c>
      <c r="G8" s="2961">
        <v>1.5</v>
      </c>
      <c r="H8" s="2961" t="s">
        <v>3145</v>
      </c>
      <c r="I8" s="2961" t="s">
        <v>3146</v>
      </c>
      <c r="J8" s="2961">
        <v>90000</v>
      </c>
      <c r="K8" s="2961">
        <v>181000</v>
      </c>
      <c r="L8" s="2961">
        <v>8342.98</v>
      </c>
      <c r="M8" s="2961">
        <v>16778.68</v>
      </c>
      <c r="N8" s="2961">
        <v>101.11</v>
      </c>
    </row>
    <row r="9" spans="1:14" s="1638" customFormat="1">
      <c r="A9" s="1638" t="s">
        <v>3147</v>
      </c>
      <c r="B9" s="1638" t="s">
        <v>3051</v>
      </c>
      <c r="C9" s="1638" t="s">
        <v>3129</v>
      </c>
      <c r="D9" s="1638" t="s">
        <v>3130</v>
      </c>
      <c r="E9" s="1638">
        <v>47919.26</v>
      </c>
      <c r="F9" s="1638">
        <v>143758</v>
      </c>
      <c r="G9" s="1638">
        <v>3</v>
      </c>
      <c r="H9" s="1638" t="s">
        <v>3148</v>
      </c>
      <c r="I9" s="1638" t="s">
        <v>3146</v>
      </c>
      <c r="J9" s="1638">
        <v>120000</v>
      </c>
      <c r="K9" s="1638">
        <v>130000</v>
      </c>
      <c r="L9" s="1638">
        <v>8347.36</v>
      </c>
      <c r="M9" s="1638">
        <v>9042.9599999999991</v>
      </c>
      <c r="N9" s="1638">
        <v>8.33</v>
      </c>
    </row>
    <row r="10" spans="1:14" s="2961" customFormat="1">
      <c r="A10" s="2961" t="s">
        <v>3149</v>
      </c>
      <c r="B10" s="2961" t="s">
        <v>3051</v>
      </c>
      <c r="C10" s="2961" t="s">
        <v>3129</v>
      </c>
      <c r="D10" s="2961" t="s">
        <v>3130</v>
      </c>
      <c r="E10" s="2961">
        <v>61900.3</v>
      </c>
      <c r="F10" s="2961">
        <v>111421</v>
      </c>
      <c r="G10" s="2961">
        <v>1.8</v>
      </c>
      <c r="H10" s="2961" t="s">
        <v>3150</v>
      </c>
      <c r="I10" s="2961" t="s">
        <v>3146</v>
      </c>
      <c r="J10" s="2961">
        <v>89500</v>
      </c>
      <c r="K10" s="2961">
        <v>197000</v>
      </c>
      <c r="L10" s="2961">
        <v>8032.59</v>
      </c>
      <c r="M10" s="2961">
        <v>17680.68</v>
      </c>
      <c r="N10" s="2961">
        <v>120.11</v>
      </c>
    </row>
    <row r="11" spans="1:14" s="1638" customFormat="1">
      <c r="A11" s="1638" t="s">
        <v>3151</v>
      </c>
      <c r="B11" s="1638" t="s">
        <v>3051</v>
      </c>
      <c r="C11" s="1638" t="s">
        <v>3129</v>
      </c>
      <c r="D11" s="1638" t="s">
        <v>3130</v>
      </c>
      <c r="E11" s="1638">
        <v>66594.820000000007</v>
      </c>
      <c r="F11" s="1638">
        <v>119871</v>
      </c>
      <c r="G11" s="1638">
        <v>1.8</v>
      </c>
      <c r="H11" s="1638" t="s">
        <v>3150</v>
      </c>
      <c r="I11" s="1638" t="s">
        <v>3146</v>
      </c>
      <c r="J11" s="1638">
        <v>96000</v>
      </c>
      <c r="K11" s="1638">
        <v>196000</v>
      </c>
      <c r="L11" s="1638">
        <v>8008.6</v>
      </c>
      <c r="M11" s="1638">
        <v>16350.9</v>
      </c>
      <c r="N11" s="1638">
        <v>104.17</v>
      </c>
    </row>
    <row r="12" spans="1:14" s="1638" customFormat="1">
      <c r="A12" s="1638" t="s">
        <v>3152</v>
      </c>
      <c r="B12" s="1638" t="s">
        <v>3051</v>
      </c>
      <c r="C12" s="1638" t="s">
        <v>3129</v>
      </c>
      <c r="D12" s="1638" t="s">
        <v>3130</v>
      </c>
      <c r="E12" s="1638">
        <v>24464</v>
      </c>
      <c r="F12" s="1638">
        <v>48928</v>
      </c>
      <c r="G12" s="1638">
        <v>2</v>
      </c>
      <c r="H12" s="1638" t="s">
        <v>3153</v>
      </c>
      <c r="I12" s="1638" t="s">
        <v>3154</v>
      </c>
      <c r="J12" s="1638">
        <v>28200</v>
      </c>
      <c r="K12" s="1638">
        <v>46800</v>
      </c>
      <c r="L12" s="1638">
        <v>5763.57</v>
      </c>
      <c r="M12" s="1638">
        <v>9565.07</v>
      </c>
      <c r="N12" s="1638">
        <v>65.959999999999994</v>
      </c>
    </row>
    <row r="13" spans="1:14" s="2961" customFormat="1">
      <c r="A13" s="2961" t="s">
        <v>3155</v>
      </c>
      <c r="B13" s="2961" t="s">
        <v>3051</v>
      </c>
      <c r="C13" s="2961" t="s">
        <v>3129</v>
      </c>
      <c r="D13" s="2961" t="s">
        <v>3130</v>
      </c>
      <c r="E13" s="2961">
        <v>38024.39</v>
      </c>
      <c r="F13" s="2961">
        <v>106468</v>
      </c>
      <c r="G13" s="2961">
        <v>2.8</v>
      </c>
      <c r="H13" s="2961" t="s">
        <v>3156</v>
      </c>
      <c r="I13" s="2961" t="s">
        <v>3157</v>
      </c>
      <c r="J13" s="2961">
        <v>87000</v>
      </c>
      <c r="K13" s="2961">
        <v>97000</v>
      </c>
      <c r="L13" s="2961">
        <v>8171.46</v>
      </c>
      <c r="M13" s="2961">
        <v>9110.7099999999991</v>
      </c>
      <c r="N13" s="2961">
        <v>11.49</v>
      </c>
    </row>
    <row r="14" spans="1:14" s="1638" customFormat="1">
      <c r="A14" s="1638" t="s">
        <v>3158</v>
      </c>
      <c r="B14" s="1638" t="s">
        <v>3051</v>
      </c>
      <c r="C14" s="1638" t="s">
        <v>3129</v>
      </c>
      <c r="D14" s="1638" t="s">
        <v>3130</v>
      </c>
      <c r="E14" s="1638">
        <v>13920.77</v>
      </c>
      <c r="F14" s="1638">
        <v>16705</v>
      </c>
      <c r="G14" s="1638">
        <v>1.2</v>
      </c>
      <c r="H14" s="1638" t="s">
        <v>3159</v>
      </c>
      <c r="I14" s="1638" t="s">
        <v>3160</v>
      </c>
      <c r="J14" s="1638">
        <v>10500</v>
      </c>
      <c r="K14" s="1638">
        <v>12200</v>
      </c>
      <c r="L14" s="1638">
        <v>6285.54</v>
      </c>
      <c r="M14" s="1638">
        <v>7303.19</v>
      </c>
      <c r="N14" s="1638">
        <v>16.190000000000001</v>
      </c>
    </row>
    <row r="15" spans="1:14" s="1638" customFormat="1">
      <c r="A15" s="1638" t="s">
        <v>3161</v>
      </c>
      <c r="B15" s="1638" t="s">
        <v>3051</v>
      </c>
      <c r="C15" s="1638" t="s">
        <v>3129</v>
      </c>
      <c r="D15" s="1638" t="s">
        <v>3130</v>
      </c>
      <c r="E15" s="1638">
        <v>6189.23</v>
      </c>
      <c r="F15" s="1638">
        <v>6189</v>
      </c>
      <c r="G15" s="1638">
        <v>1</v>
      </c>
      <c r="H15" s="1638" t="s">
        <v>3162</v>
      </c>
      <c r="I15" s="1638" t="s">
        <v>3163</v>
      </c>
      <c r="J15" s="1638">
        <v>7500</v>
      </c>
      <c r="K15" s="1638">
        <v>12900</v>
      </c>
      <c r="L15" s="1638">
        <v>12118.27</v>
      </c>
      <c r="M15" s="1638">
        <v>20843.43</v>
      </c>
      <c r="N15" s="1638">
        <v>72</v>
      </c>
    </row>
    <row r="16" spans="1:14" s="1638" customFormat="1">
      <c r="A16" s="1638" t="s">
        <v>3164</v>
      </c>
      <c r="B16" s="1638" t="s">
        <v>3051</v>
      </c>
      <c r="C16" s="1638" t="s">
        <v>3129</v>
      </c>
      <c r="D16" s="1638" t="s">
        <v>3130</v>
      </c>
      <c r="E16" s="1638">
        <v>40417.42</v>
      </c>
      <c r="F16" s="1638">
        <v>121252</v>
      </c>
      <c r="G16" s="1638">
        <v>3</v>
      </c>
      <c r="H16" s="1638" t="s">
        <v>3165</v>
      </c>
      <c r="I16" s="1638" t="s">
        <v>3166</v>
      </c>
      <c r="J16" s="1638">
        <v>103000</v>
      </c>
      <c r="K16" s="1638">
        <v>191000</v>
      </c>
      <c r="L16" s="1638">
        <v>8494.7000000000007</v>
      </c>
      <c r="M16" s="1638">
        <v>15752.31</v>
      </c>
      <c r="N16" s="1638">
        <v>85.44</v>
      </c>
    </row>
    <row r="17" spans="1:14" s="1638" customFormat="1">
      <c r="A17" s="1638" t="s">
        <v>3167</v>
      </c>
      <c r="B17" s="1638" t="s">
        <v>3051</v>
      </c>
      <c r="C17" s="1638" t="s">
        <v>3129</v>
      </c>
      <c r="D17" s="1638" t="s">
        <v>3130</v>
      </c>
      <c r="E17" s="1638">
        <v>48028.78</v>
      </c>
      <c r="F17" s="1638">
        <v>122714</v>
      </c>
      <c r="G17" s="1638">
        <v>2.56</v>
      </c>
      <c r="H17" s="1638" t="s">
        <v>3165</v>
      </c>
      <c r="I17" s="1638" t="s">
        <v>3168</v>
      </c>
      <c r="J17" s="1638">
        <v>98000</v>
      </c>
      <c r="K17" s="1638">
        <v>108000</v>
      </c>
      <c r="L17" s="1638">
        <v>7986.04</v>
      </c>
      <c r="M17" s="1638">
        <v>8800.9500000000007</v>
      </c>
      <c r="N17" s="1638">
        <v>10.199999999999999</v>
      </c>
    </row>
    <row r="21" spans="1:14">
      <c r="A21" s="2955" t="s">
        <v>3209</v>
      </c>
    </row>
    <row r="22" spans="1:14" s="1638" customFormat="1">
      <c r="A22" s="1638" t="s">
        <v>3115</v>
      </c>
      <c r="B22" s="1638" t="s">
        <v>3116</v>
      </c>
      <c r="C22" s="1638" t="s">
        <v>3117</v>
      </c>
      <c r="D22" s="1638" t="s">
        <v>3121</v>
      </c>
      <c r="E22" s="1638" t="s">
        <v>3118</v>
      </c>
      <c r="F22" s="1638" t="s">
        <v>3119</v>
      </c>
      <c r="G22" s="1638" t="s">
        <v>3120</v>
      </c>
      <c r="H22" s="1638" t="s">
        <v>3122</v>
      </c>
      <c r="I22" s="1638" t="s">
        <v>3127</v>
      </c>
      <c r="J22" s="1638" t="s">
        <v>3123</v>
      </c>
      <c r="K22" s="1638" t="s">
        <v>3124</v>
      </c>
      <c r="L22" s="1638" t="s">
        <v>3169</v>
      </c>
      <c r="M22" s="1638" t="s">
        <v>3125</v>
      </c>
      <c r="N22" s="1638" t="s">
        <v>3126</v>
      </c>
    </row>
    <row r="23" spans="1:14" s="1638" customFormat="1">
      <c r="A23" s="1638" t="s">
        <v>3170</v>
      </c>
      <c r="B23" s="1638" t="s">
        <v>3051</v>
      </c>
      <c r="C23" s="1638" t="s">
        <v>3129</v>
      </c>
      <c r="D23" s="1638" t="s">
        <v>3130</v>
      </c>
      <c r="E23" s="1638">
        <v>120885</v>
      </c>
      <c r="F23" s="1638">
        <v>256512</v>
      </c>
      <c r="G23" s="1638" t="s">
        <v>1332</v>
      </c>
      <c r="H23" s="1638" t="s">
        <v>3171</v>
      </c>
      <c r="I23" s="1638" t="s">
        <v>3172</v>
      </c>
      <c r="J23" s="1638">
        <v>250000</v>
      </c>
      <c r="K23" s="1638">
        <v>250000</v>
      </c>
      <c r="L23" s="1638">
        <v>9746.1299999999992</v>
      </c>
      <c r="M23" s="1638">
        <v>9746.1200000000008</v>
      </c>
      <c r="N23" s="1638">
        <v>0</v>
      </c>
    </row>
    <row r="24" spans="1:14" s="1638" customFormat="1">
      <c r="A24" s="1638" t="s">
        <v>3173</v>
      </c>
      <c r="B24" s="1638" t="s">
        <v>3051</v>
      </c>
      <c r="C24" s="1638" t="s">
        <v>3129</v>
      </c>
      <c r="D24" s="1638" t="s">
        <v>3130</v>
      </c>
      <c r="E24" s="1638">
        <v>85709</v>
      </c>
      <c r="F24" s="1638">
        <v>179122</v>
      </c>
      <c r="G24" s="1638">
        <v>2.09</v>
      </c>
      <c r="H24" s="1638" t="s">
        <v>3174</v>
      </c>
      <c r="I24" s="1638" t="s">
        <v>3175</v>
      </c>
      <c r="J24" s="1638">
        <v>126000</v>
      </c>
      <c r="K24" s="1638">
        <v>378000</v>
      </c>
      <c r="L24" s="1638">
        <v>7034.31</v>
      </c>
      <c r="M24" s="1638">
        <v>21102.93</v>
      </c>
      <c r="N24" s="1638">
        <v>200</v>
      </c>
    </row>
    <row r="25" spans="1:14" s="2959" customFormat="1">
      <c r="A25" s="2959" t="s">
        <v>3176</v>
      </c>
      <c r="B25" s="2959" t="s">
        <v>3051</v>
      </c>
      <c r="C25" s="2959" t="s">
        <v>3129</v>
      </c>
      <c r="D25" s="2959" t="s">
        <v>3130</v>
      </c>
      <c r="E25" s="2959">
        <v>10384</v>
      </c>
      <c r="F25" s="2959">
        <v>25960</v>
      </c>
      <c r="G25" s="2959">
        <v>2.5</v>
      </c>
      <c r="H25" s="2959" t="s">
        <v>3174</v>
      </c>
      <c r="I25" s="2959" t="s">
        <v>3177</v>
      </c>
      <c r="J25" s="2959">
        <v>51300</v>
      </c>
      <c r="K25" s="2959">
        <v>51300</v>
      </c>
      <c r="L25" s="2959">
        <v>19761.169999999998</v>
      </c>
      <c r="M25" s="2959">
        <v>19761.16</v>
      </c>
      <c r="N25" s="2959">
        <v>0</v>
      </c>
    </row>
    <row r="26" spans="1:14" s="2959" customFormat="1">
      <c r="A26" s="2959" t="s">
        <v>3178</v>
      </c>
      <c r="B26" s="2959" t="s">
        <v>3051</v>
      </c>
      <c r="C26" s="2959" t="s">
        <v>3129</v>
      </c>
      <c r="D26" s="2959" t="s">
        <v>3130</v>
      </c>
      <c r="E26" s="2959">
        <v>8466</v>
      </c>
      <c r="F26" s="2959">
        <v>21165</v>
      </c>
      <c r="G26" s="2959">
        <v>2.5</v>
      </c>
      <c r="H26" s="2959" t="s">
        <v>3179</v>
      </c>
      <c r="I26" s="2959" t="s">
        <v>3180</v>
      </c>
      <c r="J26" s="2959">
        <v>40600</v>
      </c>
      <c r="K26" s="2959">
        <v>42000</v>
      </c>
      <c r="L26" s="2959">
        <v>19182.61</v>
      </c>
      <c r="M26" s="2959">
        <v>19844.080000000002</v>
      </c>
      <c r="N26" s="2959">
        <v>3.45</v>
      </c>
    </row>
    <row r="27" spans="1:14" s="1638" customFormat="1">
      <c r="A27" s="1638" t="s">
        <v>3181</v>
      </c>
      <c r="B27" s="1638" t="s">
        <v>3051</v>
      </c>
      <c r="C27" s="1638" t="s">
        <v>3129</v>
      </c>
      <c r="D27" s="1638" t="s">
        <v>3130</v>
      </c>
      <c r="E27" s="1638">
        <v>33776</v>
      </c>
      <c r="F27" s="1638">
        <v>94573</v>
      </c>
      <c r="G27" s="1638">
        <v>2.8</v>
      </c>
      <c r="H27" s="1638" t="s">
        <v>3182</v>
      </c>
      <c r="I27" s="1638" t="s">
        <v>3183</v>
      </c>
      <c r="J27" s="1638">
        <v>33500</v>
      </c>
      <c r="K27" s="1638">
        <v>99500</v>
      </c>
      <c r="L27" s="1638">
        <v>3542.23</v>
      </c>
      <c r="M27" s="1638">
        <v>10520.96</v>
      </c>
      <c r="N27" s="1638">
        <v>197.01</v>
      </c>
    </row>
    <row r="28" spans="1:14" s="1638" customFormat="1">
      <c r="A28" s="1638" t="s">
        <v>3184</v>
      </c>
      <c r="B28" s="1638" t="s">
        <v>3051</v>
      </c>
      <c r="C28" s="1638" t="s">
        <v>3129</v>
      </c>
      <c r="D28" s="1638" t="s">
        <v>3130</v>
      </c>
      <c r="E28" s="1638">
        <v>15192</v>
      </c>
      <c r="F28" s="1638">
        <v>42538</v>
      </c>
      <c r="G28" s="1638">
        <v>2.8</v>
      </c>
      <c r="H28" s="1638" t="s">
        <v>3182</v>
      </c>
      <c r="I28" s="1638" t="s">
        <v>3183</v>
      </c>
      <c r="J28" s="1638">
        <v>15000</v>
      </c>
      <c r="K28" s="1638">
        <v>46500</v>
      </c>
      <c r="L28" s="1638">
        <v>3526.25</v>
      </c>
      <c r="M28" s="1638">
        <v>10931.39</v>
      </c>
      <c r="N28" s="1638">
        <v>210</v>
      </c>
    </row>
    <row r="29" spans="1:14" s="1638" customFormat="1">
      <c r="A29" s="1638" t="s">
        <v>3185</v>
      </c>
      <c r="B29" s="1638" t="s">
        <v>3051</v>
      </c>
      <c r="C29" s="1638" t="s">
        <v>3129</v>
      </c>
      <c r="D29" s="1638" t="s">
        <v>3130</v>
      </c>
      <c r="E29" s="1638">
        <v>63879</v>
      </c>
      <c r="F29" s="1638">
        <v>185533</v>
      </c>
      <c r="G29" s="1638">
        <v>2.9</v>
      </c>
      <c r="H29" s="1638" t="s">
        <v>3182</v>
      </c>
      <c r="I29" s="1638" t="s">
        <v>3183</v>
      </c>
      <c r="J29" s="1638">
        <v>65000</v>
      </c>
      <c r="K29" s="1638">
        <v>115500</v>
      </c>
      <c r="L29" s="1638">
        <v>3503.42</v>
      </c>
      <c r="M29" s="1638">
        <v>6225.31</v>
      </c>
      <c r="N29" s="1638">
        <v>77.69</v>
      </c>
    </row>
    <row r="30" spans="1:14" s="1638" customFormat="1">
      <c r="A30" s="1638" t="s">
        <v>3186</v>
      </c>
      <c r="B30" s="1638" t="s">
        <v>3051</v>
      </c>
      <c r="C30" s="1638" t="s">
        <v>3129</v>
      </c>
      <c r="D30" s="1638" t="s">
        <v>3130</v>
      </c>
      <c r="E30" s="1638">
        <v>64413</v>
      </c>
      <c r="F30" s="1638">
        <v>135267</v>
      </c>
      <c r="G30" s="1638">
        <v>2.1</v>
      </c>
      <c r="H30" s="1638" t="s">
        <v>3187</v>
      </c>
      <c r="I30" s="1638" t="s">
        <v>3188</v>
      </c>
      <c r="J30" s="1638">
        <v>20300</v>
      </c>
      <c r="K30" s="1638">
        <v>40000</v>
      </c>
      <c r="L30" s="1638">
        <v>1500.73</v>
      </c>
      <c r="M30" s="1638">
        <v>2957.11</v>
      </c>
      <c r="N30" s="1638">
        <v>97.04</v>
      </c>
    </row>
    <row r="31" spans="1:14" s="1638" customFormat="1">
      <c r="A31" s="1638" t="s">
        <v>3189</v>
      </c>
      <c r="B31" s="1638" t="s">
        <v>3051</v>
      </c>
      <c r="C31" s="1638" t="s">
        <v>3129</v>
      </c>
      <c r="D31" s="1638" t="s">
        <v>3130</v>
      </c>
      <c r="E31" s="1638">
        <v>46605</v>
      </c>
      <c r="F31" s="1638">
        <v>163118</v>
      </c>
      <c r="G31" s="1638">
        <v>3.5</v>
      </c>
      <c r="H31" s="1638" t="s">
        <v>3190</v>
      </c>
      <c r="I31" s="1638" t="s">
        <v>3191</v>
      </c>
      <c r="J31" s="1638">
        <v>78300</v>
      </c>
      <c r="K31" s="1638">
        <v>246000</v>
      </c>
      <c r="L31" s="1638">
        <v>4800.2</v>
      </c>
      <c r="M31" s="1638">
        <v>15081.11</v>
      </c>
      <c r="N31" s="1638">
        <v>214.18</v>
      </c>
    </row>
    <row r="32" spans="1:14" s="1638" customFormat="1">
      <c r="A32" s="1638" t="s">
        <v>3192</v>
      </c>
      <c r="B32" s="1638" t="s">
        <v>3051</v>
      </c>
      <c r="C32" s="1638" t="s">
        <v>3129</v>
      </c>
      <c r="D32" s="1638" t="s">
        <v>3130</v>
      </c>
      <c r="E32" s="1638">
        <v>21431</v>
      </c>
      <c r="F32" s="1638">
        <v>25717</v>
      </c>
      <c r="G32" s="1638">
        <v>1.2</v>
      </c>
      <c r="H32" s="1638" t="s">
        <v>3190</v>
      </c>
      <c r="I32" s="1638" t="s">
        <v>3193</v>
      </c>
      <c r="J32" s="1638">
        <v>10300</v>
      </c>
      <c r="K32" s="1638">
        <v>10400</v>
      </c>
      <c r="L32" s="1638">
        <v>4005.13</v>
      </c>
      <c r="M32" s="1638">
        <v>4044.01</v>
      </c>
      <c r="N32" s="1638">
        <v>0.97</v>
      </c>
    </row>
    <row r="33" spans="1:14" s="1638" customFormat="1">
      <c r="A33" s="1638" t="s">
        <v>3194</v>
      </c>
      <c r="B33" s="1638" t="s">
        <v>3051</v>
      </c>
      <c r="C33" s="1638" t="s">
        <v>3129</v>
      </c>
      <c r="D33" s="1638" t="s">
        <v>3130</v>
      </c>
      <c r="E33" s="1638">
        <v>63949</v>
      </c>
      <c r="F33" s="1638">
        <v>156384</v>
      </c>
      <c r="G33" s="1638">
        <v>2.4500000000000002</v>
      </c>
      <c r="H33" s="1638" t="s">
        <v>3195</v>
      </c>
      <c r="I33" s="1638" t="s">
        <v>3196</v>
      </c>
      <c r="J33" s="1638">
        <v>89000</v>
      </c>
      <c r="K33" s="1638">
        <v>90000</v>
      </c>
      <c r="L33" s="1638">
        <v>5691.11</v>
      </c>
      <c r="M33" s="1638">
        <v>5755.06</v>
      </c>
      <c r="N33" s="1638">
        <v>1.1200000000000001</v>
      </c>
    </row>
    <row r="34" spans="1:14" s="1638" customFormat="1">
      <c r="A34" s="1638" t="s">
        <v>3197</v>
      </c>
      <c r="B34" s="1638" t="s">
        <v>3051</v>
      </c>
      <c r="C34" s="1638" t="s">
        <v>3129</v>
      </c>
      <c r="D34" s="1638" t="s">
        <v>3130</v>
      </c>
      <c r="E34" s="1638">
        <v>33260</v>
      </c>
      <c r="F34" s="1638">
        <v>116410</v>
      </c>
      <c r="G34" s="1638">
        <v>3.5</v>
      </c>
      <c r="H34" s="1638" t="s">
        <v>3198</v>
      </c>
      <c r="I34" s="1638" t="s">
        <v>3199</v>
      </c>
      <c r="J34" s="1638">
        <v>55000</v>
      </c>
      <c r="K34" s="1638">
        <v>55300</v>
      </c>
      <c r="L34" s="1638">
        <v>4724.68</v>
      </c>
      <c r="M34" s="1638">
        <v>4750.4399999999996</v>
      </c>
      <c r="N34" s="1638">
        <v>0.55000000000000004</v>
      </c>
    </row>
    <row r="35" spans="1:14" s="1638" customFormat="1">
      <c r="A35" s="1638" t="s">
        <v>3200</v>
      </c>
      <c r="B35" s="1638" t="s">
        <v>3051</v>
      </c>
      <c r="C35" s="1638" t="s">
        <v>3129</v>
      </c>
      <c r="D35" s="1638" t="s">
        <v>3130</v>
      </c>
      <c r="E35" s="1638">
        <v>24718</v>
      </c>
      <c r="F35" s="1638">
        <v>86513</v>
      </c>
      <c r="G35" s="1638">
        <v>3.5</v>
      </c>
      <c r="H35" s="1638" t="s">
        <v>3201</v>
      </c>
      <c r="I35" s="1638" t="s">
        <v>3199</v>
      </c>
      <c r="J35" s="1638">
        <v>42000</v>
      </c>
      <c r="K35" s="1638">
        <v>42400</v>
      </c>
      <c r="L35" s="1638">
        <v>4854.76</v>
      </c>
      <c r="M35" s="1638">
        <v>4901</v>
      </c>
      <c r="N35" s="1638">
        <v>0.95</v>
      </c>
    </row>
    <row r="36" spans="1:14" s="1638" customFormat="1">
      <c r="A36" s="1638" t="s">
        <v>3202</v>
      </c>
      <c r="B36" s="1638" t="s">
        <v>3051</v>
      </c>
      <c r="C36" s="1638" t="s">
        <v>3129</v>
      </c>
      <c r="D36" s="1638" t="s">
        <v>3130</v>
      </c>
      <c r="E36" s="1638">
        <v>18153</v>
      </c>
      <c r="F36" s="1638">
        <v>18859</v>
      </c>
      <c r="G36" s="1638">
        <v>1.04</v>
      </c>
      <c r="H36" s="1638" t="s">
        <v>3203</v>
      </c>
      <c r="I36" s="1638" t="s">
        <v>3204</v>
      </c>
      <c r="J36" s="1638">
        <v>3900</v>
      </c>
      <c r="K36" s="1638">
        <v>3900</v>
      </c>
      <c r="L36" s="1638">
        <v>2067.9699999999998</v>
      </c>
      <c r="M36" s="1638">
        <v>2067.98</v>
      </c>
      <c r="N36" s="1638">
        <v>0</v>
      </c>
    </row>
    <row r="37" spans="1:14" s="1638" customFormat="1">
      <c r="A37" s="1638" t="s">
        <v>3205</v>
      </c>
      <c r="B37" s="1638" t="s">
        <v>3051</v>
      </c>
      <c r="C37" s="1638" t="s">
        <v>3129</v>
      </c>
      <c r="D37" s="1638" t="s">
        <v>3206</v>
      </c>
      <c r="E37" s="1638">
        <v>52958</v>
      </c>
      <c r="F37" s="1638">
        <v>121340</v>
      </c>
      <c r="G37" s="1638">
        <v>2.29</v>
      </c>
      <c r="H37" s="1638" t="s">
        <v>3207</v>
      </c>
      <c r="I37" s="1638" t="s">
        <v>3208</v>
      </c>
      <c r="J37" s="1638" t="s">
        <v>1332</v>
      </c>
      <c r="K37" s="1638">
        <v>63600</v>
      </c>
      <c r="L37" s="1638" t="s">
        <v>1332</v>
      </c>
      <c r="M37" s="1638">
        <v>5241.47</v>
      </c>
      <c r="N37" s="1638" t="s">
        <v>1332</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H19" sqref="H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2803</v>
      </c>
      <c r="B1" s="241"/>
      <c r="C1" s="245" t="s">
        <v>2804</v>
      </c>
      <c r="D1" s="388">
        <f>SUM(D29:D30,D33:D39)</f>
        <v>5619.58</v>
      </c>
      <c r="E1" s="2720"/>
      <c r="F1" s="2720"/>
      <c r="G1" s="2720"/>
      <c r="H1" s="2720"/>
      <c r="I1" s="2720"/>
      <c r="J1" s="2720"/>
      <c r="K1" s="1372"/>
      <c r="L1" s="2721" t="s">
        <v>2805</v>
      </c>
      <c r="M1" s="1082">
        <f>SUMPRODUCT((区片价!B5:B9=I2)*(区片价!C3:F3=E2)*(区片价!C5:F9))</f>
        <v>0</v>
      </c>
      <c r="N1" s="1085">
        <f>SUMPRODUCT((因素修正幅度!B5:B9=I2)*(因素修正幅度!C3:F3=E2)*(因素修正幅度!C5:F9))</f>
        <v>0</v>
      </c>
      <c r="O1" s="2722"/>
      <c r="P1" s="2722"/>
      <c r="Q1" s="1372"/>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0</v>
      </c>
      <c r="C2" s="2724" t="s">
        <v>2812</v>
      </c>
      <c r="D2" s="2725" t="s">
        <v>2813</v>
      </c>
      <c r="E2" s="2726" t="s">
        <v>1378</v>
      </c>
      <c r="F2" s="2725" t="s">
        <v>2814</v>
      </c>
      <c r="G2" s="2727" t="str">
        <f>IF(E2="商业",项目基本情况!B37,IF(E2="办公",项目基本情况!C37,IF(E2="住宅",项目基本情况!D37,项目基本情况!E37)))</f>
        <v>七级</v>
      </c>
      <c r="H2" s="2725" t="s">
        <v>2815</v>
      </c>
      <c r="I2" s="2727" t="str">
        <f>IF(E2="商业",项目基本情况!B38,IF(E2="办公",项目基本情况!C38,IF(E2="住宅",项目基本情况!D38,项目基本情况!E38)))</f>
        <v>Ⅶ-兴1</v>
      </c>
      <c r="J2" s="2728"/>
      <c r="K2" s="1372"/>
      <c r="L2" s="2729" t="s">
        <v>2816</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2817</v>
      </c>
      <c r="B3" s="248">
        <f ca="1">ROUND(B2*10000/D1,0)</f>
        <v>0</v>
      </c>
      <c r="C3" s="2724" t="s">
        <v>2818</v>
      </c>
      <c r="D3" s="2725" t="s">
        <v>2819</v>
      </c>
      <c r="E3" s="2730" t="s">
        <v>3078</v>
      </c>
      <c r="F3" s="2731" t="s">
        <v>2820</v>
      </c>
      <c r="G3" s="915">
        <f>IF(F3="宗地容积率",'数据-汇总表'!I4,IF(F3="估价对象容积率",'数据-汇总表'!I6,'数据-汇总表'!I7))</f>
        <v>2.81</v>
      </c>
      <c r="H3" s="198" t="s">
        <v>2821</v>
      </c>
      <c r="I3" s="946">
        <v>3</v>
      </c>
      <c r="J3" s="2728" t="s">
        <v>2822</v>
      </c>
      <c r="K3" s="1372"/>
      <c r="L3" s="2729"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9"/>
      <c r="B4" s="3210"/>
      <c r="C4" s="3210"/>
      <c r="D4" s="3211"/>
      <c r="E4" s="3211"/>
      <c r="F4" s="3211"/>
      <c r="G4" s="3211"/>
      <c r="H4" s="3211"/>
      <c r="I4" s="3211"/>
      <c r="J4" s="3212"/>
      <c r="K4" s="1372"/>
      <c r="L4" s="2729" t="s">
        <v>2824</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1.0788</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2825</v>
      </c>
      <c r="C5" s="916">
        <f>ROUND(IF(E2="商业",IF(F16="增加",C6*C7+C16,C6*C7-C16),IF(E2="住宅",IF(F16="增加",C6*C12+C16,C6*C12-C16),IF(F16="增加",C6+C16,C6-C16))),0)</f>
        <v>8925</v>
      </c>
      <c r="D5" s="1790">
        <f>ROUND(IF(E2="商业",IF(F16="增加",C6+C16,C6-C16)),0)</f>
        <v>8570</v>
      </c>
      <c r="E5" s="2734"/>
      <c r="F5" s="2734"/>
      <c r="G5" s="2735"/>
      <c r="H5" s="2735"/>
      <c r="I5" s="2735"/>
      <c r="J5" s="2736"/>
      <c r="K5" s="2737"/>
      <c r="L5" s="2729"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0</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2827</v>
      </c>
      <c r="B6" s="2743" t="s">
        <v>2828</v>
      </c>
      <c r="C6" s="917">
        <f>SUMIF(L1:L12,G2,M1:M12)</f>
        <v>8590</v>
      </c>
      <c r="D6" s="2744" t="s">
        <v>2829</v>
      </c>
      <c r="E6" s="2745"/>
      <c r="F6" s="2745"/>
      <c r="G6" s="2746"/>
      <c r="H6" s="2746"/>
      <c r="I6" s="2746"/>
      <c r="J6" s="2747"/>
      <c r="K6" s="1845"/>
      <c r="L6" s="2729"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0</v>
      </c>
      <c r="U6" s="1606"/>
      <c r="V6" s="1605">
        <f t="shared" ca="1" si="1"/>
        <v>0</v>
      </c>
      <c r="W6" s="1609"/>
      <c r="X6" s="1609"/>
      <c r="Y6" s="1609"/>
      <c r="Z6" s="1609"/>
      <c r="AA6" s="1609"/>
      <c r="AB6" s="1609"/>
      <c r="AC6" s="2738"/>
      <c r="AD6" s="2739"/>
      <c r="AE6" s="2739"/>
      <c r="AF6" s="2739"/>
      <c r="AG6" s="2739"/>
      <c r="AH6" s="2739"/>
      <c r="AI6" s="2739"/>
      <c r="AJ6" s="2740"/>
    </row>
    <row r="7" spans="1:36" ht="24">
      <c r="A7" s="3213">
        <f>IF(E2="商业",IF(C8="不临58条商业街","",2),"")</f>
        <v>2</v>
      </c>
      <c r="B7" s="2748" t="s">
        <v>2831</v>
      </c>
      <c r="C7" s="918">
        <f>IF(C8="不临58条商业街",1,ROUND(1+(1.6*E8+1.2*E9+0.8*E10+0.4*E11)*C9,4))</f>
        <v>1.0412999999999999</v>
      </c>
      <c r="D7" s="2749" t="s">
        <v>2832</v>
      </c>
      <c r="E7" s="947">
        <v>145.4</v>
      </c>
      <c r="F7" s="2750"/>
      <c r="G7" s="2751"/>
      <c r="H7" s="2751"/>
      <c r="I7" s="2751"/>
      <c r="J7" s="2752"/>
      <c r="K7" s="1845"/>
      <c r="L7" s="2729" t="s">
        <v>2833</v>
      </c>
      <c r="M7" s="1083">
        <f>SUMPRODUCT((区片价!B158:B205=I2)*(区片价!C3:F3=E2)*(区片价!C158:F205))</f>
        <v>8590</v>
      </c>
      <c r="N7" s="1085">
        <f>SUMPRODUCT((因素修正幅度!B158:B205=I2)*(因素修正幅度!C3:F3=E2)*(因素修正幅度!C158:F205))</f>
        <v>0.13</v>
      </c>
      <c r="O7" s="1372"/>
      <c r="P7" s="1372"/>
      <c r="Q7" s="1372"/>
      <c r="R7" s="1605">
        <v>6</v>
      </c>
      <c r="S7" s="1605">
        <f>ROUND(IF(G3&gt;1,IF(R7&lt;7,SUMPRODUCT((B93:B98=R7)*(C92:N92=G2)*(C93:N98)),SUMIF(C92:N92,G2,C100:N100)),IF(R7&lt;7,SUMPRODUCT((B102:B107=R7)*(C92:N92=G2)*(C102:N107)),SUMIF(C92:N92,G2,C109:N109))),4)</f>
        <v>0.6482</v>
      </c>
      <c r="T7" s="1605">
        <f t="shared" ca="1" si="0"/>
        <v>0</v>
      </c>
      <c r="U7" s="1606"/>
      <c r="V7" s="1605">
        <f t="shared" ca="1" si="1"/>
        <v>0</v>
      </c>
      <c r="W7" s="1819" t="s">
        <v>2834</v>
      </c>
      <c r="X7" s="1607" t="str">
        <f>G2</f>
        <v>七级</v>
      </c>
      <c r="Y7" s="1607" t="s">
        <v>2835</v>
      </c>
      <c r="Z7" s="1608">
        <f>G3</f>
        <v>2.81</v>
      </c>
      <c r="AA7" s="1609"/>
      <c r="AB7" s="1609"/>
      <c r="AC7" s="1610"/>
      <c r="AD7" s="1611"/>
      <c r="AE7" s="1611"/>
      <c r="AF7" s="1611"/>
      <c r="AG7" s="1611"/>
      <c r="AH7" s="1611"/>
      <c r="AI7" s="1611"/>
      <c r="AJ7" s="1612"/>
    </row>
    <row r="8" spans="1:36" ht="15">
      <c r="A8" s="3214"/>
      <c r="B8" s="198" t="s">
        <v>2836</v>
      </c>
      <c r="C8" s="2753" t="s">
        <v>3114</v>
      </c>
      <c r="D8" s="919" t="s">
        <v>139</v>
      </c>
      <c r="E8" s="920">
        <f>ROUND(C11/E7,4)</f>
        <v>5.16E-2</v>
      </c>
      <c r="F8" s="2754" t="s">
        <v>2837</v>
      </c>
      <c r="G8" s="2755"/>
      <c r="H8" s="2755"/>
      <c r="I8" s="2755"/>
      <c r="J8" s="2756"/>
      <c r="K8" s="1372"/>
      <c r="L8" s="2729"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06" t="s">
        <v>2839</v>
      </c>
      <c r="X8" s="320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14"/>
      <c r="B9" s="198" t="s">
        <v>2852</v>
      </c>
      <c r="C9" s="921">
        <f>SUMIF(修正!C59:C119,C8,修正!E59:E119)</f>
        <v>0.2</v>
      </c>
      <c r="D9" s="200" t="s">
        <v>140</v>
      </c>
      <c r="E9" s="200">
        <f>ROUND(C11/E7,4)</f>
        <v>5.16E-2</v>
      </c>
      <c r="F9" s="2754" t="s">
        <v>2853</v>
      </c>
      <c r="G9" s="2755"/>
      <c r="H9" s="2755"/>
      <c r="I9" s="2755"/>
      <c r="J9" s="2756"/>
      <c r="K9" s="1372"/>
      <c r="L9" s="2729"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0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4"/>
      <c r="B10" s="198" t="s">
        <v>2857</v>
      </c>
      <c r="C10" s="200">
        <f>SUMIF(修正!C59:C119,C8,修正!F59:F119)</f>
        <v>30</v>
      </c>
      <c r="D10" s="200" t="s">
        <v>141</v>
      </c>
      <c r="E10" s="200">
        <f>ROUND(C11/E7,4)</f>
        <v>5.16E-2</v>
      </c>
      <c r="F10" s="2754" t="s">
        <v>2858</v>
      </c>
      <c r="G10" s="2755"/>
      <c r="H10" s="2755"/>
      <c r="I10" s="2755"/>
      <c r="J10" s="2756"/>
      <c r="K10" s="1372"/>
      <c r="L10" s="2729" t="s">
        <v>2859</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0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4"/>
      <c r="B11" s="2757" t="s">
        <v>2860</v>
      </c>
      <c r="C11" s="922">
        <f>C10/4</f>
        <v>7.5</v>
      </c>
      <c r="D11" s="922" t="s">
        <v>142</v>
      </c>
      <c r="E11" s="922">
        <f>ROUND(C11/E7,4)</f>
        <v>5.16E-2</v>
      </c>
      <c r="F11" s="2758" t="s">
        <v>2861</v>
      </c>
      <c r="G11" s="2759"/>
      <c r="H11" s="2759"/>
      <c r="I11" s="2759"/>
      <c r="J11" s="2760"/>
      <c r="K11" s="1372"/>
      <c r="L11" s="2729"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08" t="s">
        <v>2863</v>
      </c>
      <c r="X11" s="1617" t="s">
        <v>2864</v>
      </c>
      <c r="Y11" s="1618">
        <f>$G$3</f>
        <v>2.81</v>
      </c>
      <c r="Z11" s="1618">
        <f t="shared" ref="Z11:AJ11" si="3">$G$3</f>
        <v>2.81</v>
      </c>
      <c r="AA11" s="1618">
        <f t="shared" si="3"/>
        <v>2.81</v>
      </c>
      <c r="AB11" s="1618">
        <f t="shared" si="3"/>
        <v>2.81</v>
      </c>
      <c r="AC11" s="1618">
        <f t="shared" si="3"/>
        <v>2.81</v>
      </c>
      <c r="AD11" s="1618">
        <f t="shared" si="3"/>
        <v>2.81</v>
      </c>
      <c r="AE11" s="1618">
        <f t="shared" si="3"/>
        <v>2.81</v>
      </c>
      <c r="AF11" s="1618">
        <f t="shared" si="3"/>
        <v>2.81</v>
      </c>
      <c r="AG11" s="1618">
        <f t="shared" si="3"/>
        <v>2.81</v>
      </c>
      <c r="AH11" s="1618">
        <f t="shared" si="3"/>
        <v>2.81</v>
      </c>
      <c r="AI11" s="1618">
        <f t="shared" si="3"/>
        <v>2.81</v>
      </c>
      <c r="AJ11" s="1618">
        <f t="shared" si="3"/>
        <v>2.81</v>
      </c>
    </row>
    <row r="12" spans="1:36" ht="25.5" thickBot="1">
      <c r="A12" s="3213" t="s">
        <v>2865</v>
      </c>
      <c r="B12" s="2761" t="s">
        <v>2866</v>
      </c>
      <c r="C12" s="918">
        <f>ROUND(C15*D15*E15*F15*G15*H15*I15*J15,4)</f>
        <v>1.2</v>
      </c>
      <c r="D12" s="2762" t="s">
        <v>2867</v>
      </c>
      <c r="E12" s="2763"/>
      <c r="F12" s="2763"/>
      <c r="G12" s="2764"/>
      <c r="H12" s="2764"/>
      <c r="I12" s="2764"/>
      <c r="J12" s="2765"/>
      <c r="K12" s="1372"/>
      <c r="L12" s="2766"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0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5"/>
      <c r="B13" s="2767" t="s">
        <v>2870</v>
      </c>
      <c r="C13" s="2768" t="s">
        <v>2871</v>
      </c>
      <c r="D13" s="1811" t="s">
        <v>2872</v>
      </c>
      <c r="E13" s="1811" t="s">
        <v>2873</v>
      </c>
      <c r="F13" s="30" t="s">
        <v>2874</v>
      </c>
      <c r="G13" s="2769" t="s">
        <v>2875</v>
      </c>
      <c r="H13" s="2769" t="s">
        <v>2875</v>
      </c>
      <c r="I13" s="2769" t="s">
        <v>2875</v>
      </c>
      <c r="J13" s="2770" t="s">
        <v>2875</v>
      </c>
      <c r="K13" s="1372"/>
      <c r="L13" s="1372"/>
      <c r="M13" s="1372"/>
      <c r="N13" s="1372"/>
      <c r="O13" s="1372"/>
      <c r="P13" s="1372"/>
      <c r="Q13" s="1372"/>
      <c r="R13" s="1605">
        <v>12</v>
      </c>
      <c r="S13" s="1606"/>
      <c r="T13" s="1605">
        <f t="shared" ca="1" si="0"/>
        <v>0</v>
      </c>
      <c r="U13" s="1606"/>
      <c r="V13" s="1605">
        <f t="shared" ca="1" si="1"/>
        <v>0</v>
      </c>
      <c r="W13" s="3208"/>
      <c r="X13" s="1619"/>
      <c r="Y13" s="1616">
        <f>(-0.163*(Y12^2)-0.59*Y12+7617)*(10^(-4))/Y11</f>
        <v>0.27106761565836301</v>
      </c>
      <c r="Z13" s="1616">
        <f t="shared" ref="Z13:AJ13" si="5">(-0.163*(Z12^2)-0.59*Z12+7617)*(10^(-4))/Z11</f>
        <v>0.27106761565836301</v>
      </c>
      <c r="AA13" s="1616">
        <f t="shared" si="5"/>
        <v>0.27106761565836301</v>
      </c>
      <c r="AB13" s="1616">
        <f t="shared" si="5"/>
        <v>0.27106761565836301</v>
      </c>
      <c r="AC13" s="1616">
        <f t="shared" si="5"/>
        <v>0.27106761565836301</v>
      </c>
      <c r="AD13" s="1616">
        <f t="shared" si="5"/>
        <v>0.27106761565836301</v>
      </c>
      <c r="AE13" s="1616">
        <f t="shared" si="5"/>
        <v>0.27106761565836301</v>
      </c>
      <c r="AF13" s="1616">
        <f t="shared" si="5"/>
        <v>0.27106761565836301</v>
      </c>
      <c r="AG13" s="1616">
        <f t="shared" si="5"/>
        <v>0.27106761565836301</v>
      </c>
      <c r="AH13" s="1616">
        <f t="shared" si="5"/>
        <v>0.27106761565836301</v>
      </c>
      <c r="AI13" s="1616">
        <f t="shared" si="5"/>
        <v>0.27106761565836301</v>
      </c>
      <c r="AJ13" s="1616">
        <f t="shared" si="5"/>
        <v>0.27106761565836301</v>
      </c>
    </row>
    <row r="14" spans="1:36" ht="15">
      <c r="A14" s="3215"/>
      <c r="B14" s="2771"/>
      <c r="C14" s="2772" t="s">
        <v>3094</v>
      </c>
      <c r="D14" s="2773" t="s">
        <v>3094</v>
      </c>
      <c r="E14" s="2773" t="s">
        <v>3094</v>
      </c>
      <c r="F14" s="2774" t="s">
        <v>3095</v>
      </c>
      <c r="G14" s="2775" t="s">
        <v>2876</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6"/>
      <c r="B15" s="2779" t="s">
        <v>2877</v>
      </c>
      <c r="C15" s="229">
        <f>IF(C14="有",1.1,1)</f>
        <v>1</v>
      </c>
      <c r="D15" s="229">
        <f>IF(D14="有",1.1,1)</f>
        <v>1</v>
      </c>
      <c r="E15" s="229">
        <f>IF(E14="有",1.1,1)</f>
        <v>1</v>
      </c>
      <c r="F15" s="229">
        <f>IF(F14="500米范围内",1.2,IF(F14="500-1000米",1.1,1))</f>
        <v>1.2</v>
      </c>
      <c r="G15" s="948">
        <v>1</v>
      </c>
      <c r="H15" s="948">
        <v>1</v>
      </c>
      <c r="I15" s="948">
        <v>1</v>
      </c>
      <c r="J15" s="949">
        <v>1</v>
      </c>
      <c r="K15" s="1372"/>
      <c r="L15" s="2780" t="s">
        <v>2813</v>
      </c>
      <c r="M15" s="919" t="s">
        <v>2878</v>
      </c>
      <c r="N15" s="919" t="s">
        <v>2879</v>
      </c>
      <c r="O15" s="919" t="s">
        <v>2880</v>
      </c>
      <c r="P15" s="2781"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3" t="s">
        <v>2882</v>
      </c>
      <c r="B16" s="2748" t="s">
        <v>2883</v>
      </c>
      <c r="C16" s="1804">
        <f>ROUND(SUM(G17:J17)/C17,0)</f>
        <v>20</v>
      </c>
      <c r="D16" s="2782" t="s">
        <v>2884</v>
      </c>
      <c r="E16" s="2783" t="s">
        <v>3079</v>
      </c>
      <c r="F16" s="2784" t="s">
        <v>3080</v>
      </c>
      <c r="G16" s="2785" t="s">
        <v>3081</v>
      </c>
      <c r="H16" s="2785"/>
      <c r="I16" s="2785"/>
      <c r="J16" s="2786"/>
      <c r="K16" s="1372"/>
      <c r="L16" s="2787"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4"/>
      <c r="B17" s="2788" t="s">
        <v>2886</v>
      </c>
      <c r="C17" s="923">
        <f>SUMPRODUCT((修正!A2:A5=E2)*(修正!B1:M1=G2)*(修正!B2:M5))</f>
        <v>2.5</v>
      </c>
      <c r="D17" s="2789" t="s">
        <v>2887</v>
      </c>
      <c r="E17" s="922" t="str">
        <f>IF(OR(G2="八级",G2="九级",G2="十级",G2="十一级",G2="十二级"),"五通一平","七通一平")</f>
        <v>七通一平</v>
      </c>
      <c r="F17" s="923" t="s">
        <v>2888</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90"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2890</v>
      </c>
      <c r="C18" s="925">
        <f>SUMIF(修正!C18:C39,E3,修正!E18:E39)</f>
        <v>1.1000000000000001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2891</v>
      </c>
      <c r="C19" s="926">
        <f>ROUND(IF(H19="按公示增长率计算",SUMPRODUCT((地价!A3:A20=YEAR(G19)&amp;"-"&amp;ROUNDUP(MONTH(G19)/3,0))*(地价!X2:AB2=E2)*(地价!X3:AB20)),IF(H19="地价指数",M20/M19,(1+I19)^O19)),4)</f>
        <v>0</v>
      </c>
      <c r="D19" s="2800" t="s">
        <v>2892</v>
      </c>
      <c r="E19" s="927">
        <v>41640</v>
      </c>
      <c r="F19" s="2800" t="s">
        <v>2893</v>
      </c>
      <c r="G19" s="928">
        <f>'数据-取费表'!B2</f>
        <v>43105</v>
      </c>
      <c r="H19" s="2801" t="s">
        <v>3251</v>
      </c>
      <c r="I19" s="929" t="str">
        <f>IF(H19="季度增幅（自定义）",SUMIF(N21:N24,E2,O21:O24),"")</f>
        <v/>
      </c>
      <c r="J19" s="2798"/>
      <c r="K19" s="1379"/>
      <c r="L19" s="2802" t="s">
        <v>2894</v>
      </c>
      <c r="M19" s="1737">
        <f>ROUND(SUMIF(地价!B2:F2,E2,地价!B20:F20),0)</f>
        <v>258</v>
      </c>
      <c r="N19" s="2803" t="s">
        <v>2895</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2896</v>
      </c>
      <c r="C20" s="931">
        <f ca="1">ROUND(POWER(1+G20,J20-I20)*(POWER(1+G20,I20)-1)/(POWER(1+G20,J20)-1),4)</f>
        <v>0.82150000000000001</v>
      </c>
      <c r="D20" s="2809" t="s">
        <v>2897</v>
      </c>
      <c r="E20" s="1771">
        <f ca="1">存贷款利率!D4/100</f>
        <v>4.3499999999999997E-2</v>
      </c>
      <c r="F20" s="2809" t="s">
        <v>2889</v>
      </c>
      <c r="G20" s="936">
        <f ca="1">SUMIF(M15:P15,E2,M17:P17)</f>
        <v>5.3999999999999999E-2</v>
      </c>
      <c r="H20" s="2809" t="s">
        <v>2898</v>
      </c>
      <c r="I20" s="937">
        <f>SUMIF('数据-取费表'!C6:C15,E2,'数据-取费表'!F6:F15)/COUNTIF('数据-取费表'!C6:C15,E2)</f>
        <v>24.29</v>
      </c>
      <c r="J20" s="938">
        <f>IF(E2="住宅",70,IF(E2="商业",40,50))</f>
        <v>40</v>
      </c>
      <c r="K20" s="1379"/>
      <c r="L20" s="2810" t="s">
        <v>2899</v>
      </c>
      <c r="M20" s="1738">
        <f>ROUND(SUMPRODUCT((地价!A5:A20=YEAR(G19)&amp;"-"&amp;ROUNDUP(MONTH(G19)/3,0))*(地价!B2:F2=E2)*(地价!B5:F20)),0)</f>
        <v>0</v>
      </c>
      <c r="N20" s="2811" t="s">
        <v>2900</v>
      </c>
      <c r="O20" s="2812" t="s">
        <v>2901</v>
      </c>
      <c r="P20" s="2813" t="s">
        <v>2902</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3109</v>
      </c>
      <c r="C21" s="939">
        <f>IF(B21="容积率修正",IF(G3&lt;=10,D22,J22),C23)</f>
        <v>1.0788</v>
      </c>
      <c r="D21" s="2816"/>
      <c r="E21" s="2816"/>
      <c r="F21" s="2816"/>
      <c r="G21" s="2816"/>
      <c r="H21" s="2816"/>
      <c r="I21" s="2816"/>
      <c r="J21" s="2817"/>
      <c r="K21" s="1379"/>
      <c r="N21" s="2818" t="s">
        <v>2903</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1" customFormat="1" ht="14.25">
      <c r="A22" s="2667" t="s">
        <v>2904</v>
      </c>
      <c r="B22" s="2819" t="s">
        <v>2905</v>
      </c>
      <c r="C22" s="1813" t="s">
        <v>2906</v>
      </c>
      <c r="D22" s="1813">
        <f>IF(E22=G22,F22,IF(G3&lt;=10,ROUND(F22+(H22-F22)*(G3-E22)/(G22-E22),4),"——"))</f>
        <v>0.96050000000000002</v>
      </c>
      <c r="E22" s="915">
        <f>ROUNDDOWN(G3,1)</f>
        <v>2.8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5">
        <f>ROUNDUP(G3,1)</f>
        <v>2.9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1813" t="s">
        <v>155</v>
      </c>
      <c r="J22" s="940" t="str">
        <f>IF(G3&gt;10,D113,"——")</f>
        <v>——</v>
      </c>
      <c r="K22" s="1379"/>
      <c r="N22" s="2818" t="s">
        <v>2907</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7" t="s">
        <v>2908</v>
      </c>
      <c r="B23" s="2820" t="s">
        <v>2909</v>
      </c>
      <c r="C23" s="1015">
        <f>ROUND(IF(G3&gt;1,IF(I3&lt;7,SUMPRODUCT((B93:B98=I3)*(C92:N92=G2)*(C93:N98)),SUMIF(C92:N92,G2,C100:N100)),IF(I3&lt;7,SUMPRODUCT((B102:B107=I3)*(C92:N92=G2)*(C102:N107)),SUMIF(C92:N92,G2,C109:N109))),4)</f>
        <v>1.0788</v>
      </c>
      <c r="D23" s="2776"/>
      <c r="E23" s="2776"/>
      <c r="F23" s="2821"/>
      <c r="G23" s="2822"/>
      <c r="H23" s="2823"/>
      <c r="I23" s="2824"/>
      <c r="J23" s="2825"/>
      <c r="K23" s="1372"/>
      <c r="N23" s="2818" t="s">
        <v>2910</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2911</v>
      </c>
      <c r="C24" s="926">
        <f>SUMIF(A45:A88,E2,B45:B88)</f>
        <v>1.0711999999999999</v>
      </c>
      <c r="D24" s="2796"/>
      <c r="E24" s="2826"/>
      <c r="F24" s="2826"/>
      <c r="G24" s="2826"/>
      <c r="H24" s="2826"/>
      <c r="I24" s="2826"/>
      <c r="J24" s="2827"/>
      <c r="K24" s="1379"/>
      <c r="N24" s="2828" t="s">
        <v>2912</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2913</v>
      </c>
      <c r="C25" s="932"/>
      <c r="D25" s="2751"/>
      <c r="E25" s="2751"/>
      <c r="F25" s="2830"/>
      <c r="G25" s="2751"/>
      <c r="H25" s="2751"/>
      <c r="I25" s="2751"/>
      <c r="J25" s="2752"/>
      <c r="K25" s="1372"/>
      <c r="N25" s="2831" t="s">
        <v>2914</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2"/>
      <c r="B26" s="2819" t="s">
        <v>2915</v>
      </c>
      <c r="C26" s="206">
        <f ca="1">E29+SUM(E33:E39)</f>
        <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2916</v>
      </c>
      <c r="C27" s="933">
        <f ca="1">E30+SUM(I33:I39)</f>
        <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2917</v>
      </c>
      <c r="C28" s="2843" t="s">
        <v>2918</v>
      </c>
      <c r="D28" s="2843" t="s">
        <v>2919</v>
      </c>
      <c r="E28" s="2844" t="s">
        <v>2920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2921</v>
      </c>
      <c r="C29" s="206">
        <f ca="1">ROUND(C5*C18*C19*C20*C21*C24,0)</f>
        <v>0</v>
      </c>
      <c r="D29" s="2848">
        <f>'数据-汇总表'!F19</f>
        <v>3416.9</v>
      </c>
      <c r="E29" s="944">
        <f ca="1">ROUND(C29*D29/10000,0)</f>
        <v>0</v>
      </c>
      <c r="F29" s="2849" t="s">
        <v>2922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2923</v>
      </c>
      <c r="C30" s="229">
        <f ca="1">ROUND(IF(E2="工业",C29*M39,C29*M38),0)</f>
        <v>0</v>
      </c>
      <c r="D30" s="2848"/>
      <c r="E30" s="944">
        <f ca="1">ROUND(C30*D30/10000,0)</f>
        <v>0</v>
      </c>
      <c r="F30" s="2855" t="s">
        <v>2924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2918</v>
      </c>
      <c r="D32" s="498" t="s">
        <v>2919</v>
      </c>
      <c r="E32" s="498" t="s">
        <v>2920</v>
      </c>
      <c r="F32" s="388" t="s">
        <v>2928</v>
      </c>
      <c r="G32" s="2863" t="s">
        <v>2918</v>
      </c>
      <c r="H32" s="2863" t="s">
        <v>2919</v>
      </c>
      <c r="I32" s="2863"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23" t="s">
        <v>2929</v>
      </c>
      <c r="B33" s="2864" t="s">
        <v>2930</v>
      </c>
      <c r="C33" s="206">
        <f ca="1">ROUND(D5*C19*C20*C24*F33,0)</f>
        <v>0</v>
      </c>
      <c r="D33" s="2848">
        <f>'数据-汇总表'!G19</f>
        <v>2202.6799999999998</v>
      </c>
      <c r="E33" s="200">
        <f ca="1">ROUND(C33*D33/10000,0)</f>
        <v>0</v>
      </c>
      <c r="F33" s="200">
        <f>SUMIF(修正!A45:A56,G2,修正!B45:B56)</f>
        <v>0.7</v>
      </c>
      <c r="G33" s="200">
        <f t="shared" ref="G33:G39" ca="1" si="6">ROUND(IF(E2="工业",C33*$M$39,C33*$M$38),0)</f>
        <v>0</v>
      </c>
      <c r="H33" s="200">
        <f>D33</f>
        <v>2202.6799999999998</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24"/>
      <c r="B34" s="2768" t="s">
        <v>2931</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4"/>
      <c r="B35" s="2768" t="s">
        <v>2932</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25"/>
      <c r="B36" s="2768" t="s">
        <v>2933</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2934</v>
      </c>
      <c r="C37" s="200">
        <f ca="1">ROUND(C5*C19*C20*C24*F37,0)</f>
        <v>0</v>
      </c>
      <c r="D37" s="2848"/>
      <c r="E37" s="200">
        <f t="shared" ca="1" si="7"/>
        <v>0</v>
      </c>
      <c r="F37" s="206">
        <f>SUMIF(修正!A45:A56,G2,修正!F45:F56)</f>
        <v>0.25</v>
      </c>
      <c r="G37" s="200">
        <f t="shared" ca="1" si="6"/>
        <v>0</v>
      </c>
      <c r="H37" s="200">
        <f t="shared" si="8"/>
        <v>0</v>
      </c>
      <c r="I37" s="200">
        <f t="shared" ca="1" si="9"/>
        <v>0</v>
      </c>
      <c r="J37" s="2865"/>
      <c r="K37" s="1372"/>
      <c r="L37" s="2867" t="s">
        <v>2935</v>
      </c>
      <c r="M37" s="2868"/>
      <c r="N37" s="1372"/>
      <c r="O37" s="1372"/>
      <c r="P37" s="1372"/>
      <c r="Q37" s="1372"/>
      <c r="R37" s="1372"/>
      <c r="S37" s="1372"/>
      <c r="T37" s="1372"/>
      <c r="U37" s="1372"/>
      <c r="V37" s="1372"/>
      <c r="W37" s="1372"/>
      <c r="X37" s="1372"/>
      <c r="Y37" s="1372"/>
      <c r="Z37" s="1373"/>
    </row>
    <row r="38" spans="1:37">
      <c r="A38" s="2866"/>
      <c r="B38" s="2768" t="s">
        <v>2936</v>
      </c>
      <c r="C38" s="200">
        <f ca="1">ROUND(C5*C19*C20*C24*F38,0)</f>
        <v>0</v>
      </c>
      <c r="D38" s="2848"/>
      <c r="E38" s="200">
        <f t="shared" ca="1" si="7"/>
        <v>0</v>
      </c>
      <c r="F38" s="206">
        <f>SUMIF(修正!A45:A56,G2,修正!G45:G56)</f>
        <v>0.25</v>
      </c>
      <c r="G38" s="200">
        <f t="shared" ca="1" si="6"/>
        <v>0</v>
      </c>
      <c r="H38" s="200">
        <f t="shared" si="8"/>
        <v>0</v>
      </c>
      <c r="I38" s="200">
        <f t="shared" ca="1" si="9"/>
        <v>0</v>
      </c>
      <c r="J38" s="2865"/>
      <c r="K38" s="1372"/>
      <c r="L38" s="1890" t="s">
        <v>2937</v>
      </c>
      <c r="M38" s="2869">
        <v>0.25</v>
      </c>
      <c r="N38" s="1372"/>
      <c r="O38" s="1372"/>
      <c r="P38" s="1372"/>
      <c r="Q38" s="1372"/>
      <c r="R38" s="1372"/>
      <c r="S38" s="1372"/>
      <c r="T38" s="1372"/>
      <c r="U38" s="1372"/>
      <c r="V38" s="1372"/>
      <c r="W38" s="1372"/>
      <c r="X38" s="1372"/>
      <c r="Y38" s="1372"/>
      <c r="Z38" s="1373"/>
    </row>
    <row r="39" spans="1:37" ht="13.5" thickBot="1">
      <c r="A39" s="2852"/>
      <c r="B39" s="2870" t="s">
        <v>2938</v>
      </c>
      <c r="C39" s="229">
        <f ca="1">ROUND(C5*C19*C20*C24*F39,0)</f>
        <v>0</v>
      </c>
      <c r="D39" s="2854"/>
      <c r="E39" s="229">
        <f t="shared" ca="1" si="7"/>
        <v>0</v>
      </c>
      <c r="F39" s="934">
        <f>SUMIF(修正!A45:A56,G2,修正!H45:H56)</f>
        <v>0.2</v>
      </c>
      <c r="G39" s="229">
        <f t="shared" ca="1" si="6"/>
        <v>0</v>
      </c>
      <c r="H39" s="229">
        <f t="shared" si="8"/>
        <v>0</v>
      </c>
      <c r="I39" s="229">
        <f t="shared" ca="1" si="9"/>
        <v>0</v>
      </c>
      <c r="J39" s="2871"/>
      <c r="K39" s="1372"/>
      <c r="L39" s="2872" t="s">
        <v>2881</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2940</v>
      </c>
      <c r="B46" s="2878">
        <f>1+E48</f>
        <v>1.0711999999999999</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2941</v>
      </c>
      <c r="B47" s="1812" t="s">
        <v>2942</v>
      </c>
      <c r="C47" s="1812" t="s">
        <v>2943</v>
      </c>
      <c r="D47" s="1812" t="s">
        <v>2944</v>
      </c>
      <c r="E47" s="818" t="s">
        <v>2945</v>
      </c>
      <c r="F47" s="2882" t="s">
        <v>2946</v>
      </c>
      <c r="G47" s="1812" t="s">
        <v>754</v>
      </c>
      <c r="H47" s="2883" t="s">
        <v>2947</v>
      </c>
      <c r="I47" s="1812" t="s">
        <v>2948</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1" t="s">
        <v>2949</v>
      </c>
      <c r="B48" s="2884" t="str">
        <f>估价对象房地状况!C4</f>
        <v>估价对象位于XX商圈，周边商业氛围成熟，人流量大，商业繁华度好</v>
      </c>
      <c r="C48" s="2773" t="s">
        <v>3092</v>
      </c>
      <c r="D48" s="1288">
        <f t="shared" ref="D48:D56" si="10">SUMIF($J$47:$N$47,C48,J48:N48)</f>
        <v>2.1399999999999999E-2</v>
      </c>
      <c r="E48" s="820">
        <f>ROUND(SUM(D48:D56),4)</f>
        <v>7.1199999999999999E-2</v>
      </c>
      <c r="F48" s="2504">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1" t="s">
        <v>2950</v>
      </c>
      <c r="B49" s="2885" t="str">
        <f>估价对象房地状况!C18</f>
        <v>估价对象周边道路状况、公共交通通达情况、停车便捷程度，综合评价交通便捷度较好</v>
      </c>
      <c r="C49" s="2773" t="s">
        <v>3092</v>
      </c>
      <c r="D49" s="1288">
        <f t="shared" si="10"/>
        <v>1.6199999999999999E-2</v>
      </c>
      <c r="E49" s="821"/>
      <c r="F49" s="2504"/>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1" t="s">
        <v>2951</v>
      </c>
      <c r="B50" s="2885">
        <f>估价对象房地状况!C19</f>
        <v>0</v>
      </c>
      <c r="C50" s="2773" t="s">
        <v>3092</v>
      </c>
      <c r="D50" s="1288">
        <f t="shared" si="10"/>
        <v>3.2000000000000002E-3</v>
      </c>
      <c r="E50" s="821"/>
      <c r="F50" s="2504"/>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1" t="s">
        <v>2952</v>
      </c>
      <c r="B51" s="2886" t="s">
        <v>2953</v>
      </c>
      <c r="C51" s="2773" t="s">
        <v>3092</v>
      </c>
      <c r="D51" s="1288">
        <f t="shared" si="10"/>
        <v>3.2000000000000002E-3</v>
      </c>
      <c r="E51" s="821"/>
      <c r="F51" s="2504"/>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1" t="s">
        <v>2954</v>
      </c>
      <c r="B52" s="2885">
        <f>估价对象房地状况!C24</f>
        <v>0</v>
      </c>
      <c r="C52" s="2773" t="s">
        <v>3092</v>
      </c>
      <c r="D52" s="1288">
        <f t="shared" si="10"/>
        <v>5.1999999999999998E-3</v>
      </c>
      <c r="E52" s="821"/>
      <c r="F52" s="2504"/>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1" t="s">
        <v>2955</v>
      </c>
      <c r="B53" s="2887" t="s">
        <v>2956</v>
      </c>
      <c r="C53" s="2773" t="s">
        <v>3092</v>
      </c>
      <c r="D53" s="1288">
        <f t="shared" si="10"/>
        <v>1.9E-3</v>
      </c>
      <c r="E53" s="821"/>
      <c r="F53" s="2504"/>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88" t="s">
        <v>2957</v>
      </c>
      <c r="B54" s="1728" t="str">
        <f>估价对象房地状况!C21</f>
        <v>估价对象所在区域公共配套设施齐备情况</v>
      </c>
      <c r="C54" s="2773" t="s">
        <v>3092</v>
      </c>
      <c r="D54" s="1288">
        <f t="shared" si="10"/>
        <v>3.2000000000000002E-3</v>
      </c>
      <c r="E54" s="821"/>
      <c r="F54" s="2504"/>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88" t="s">
        <v>2958</v>
      </c>
      <c r="B55" s="2885" t="str">
        <f>估价对象房地状况!C22</f>
        <v>估价对象所在区域基础设施水平</v>
      </c>
      <c r="C55" s="2773" t="s">
        <v>3093</v>
      </c>
      <c r="D55" s="1288">
        <f t="shared" si="10"/>
        <v>1.2999999999999999E-2</v>
      </c>
      <c r="E55" s="821"/>
      <c r="F55" s="2504"/>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89" t="s">
        <v>2959</v>
      </c>
      <c r="B56" s="2890" t="str">
        <f>估价对象房地状况!C20</f>
        <v>区域自然环境：；人文环境；综合评价环境状况一般</v>
      </c>
      <c r="C56" s="2773" t="s">
        <v>3092</v>
      </c>
      <c r="D56" s="1288">
        <f t="shared" si="10"/>
        <v>3.8999999999999998E-3</v>
      </c>
      <c r="E56" s="824"/>
      <c r="F56" s="2504"/>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7" t="s">
        <v>2960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2941</v>
      </c>
      <c r="B58" s="1812"/>
      <c r="C58" s="1812" t="s">
        <v>2943</v>
      </c>
      <c r="D58" s="1812" t="s">
        <v>2944</v>
      </c>
      <c r="E58" s="818" t="s">
        <v>2945</v>
      </c>
      <c r="F58" s="2882" t="s">
        <v>2961</v>
      </c>
      <c r="G58" s="1812" t="s">
        <v>754</v>
      </c>
      <c r="H58" s="2883" t="s">
        <v>2947</v>
      </c>
      <c r="I58" s="1812" t="s">
        <v>2948</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1" t="s">
        <v>2962</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2950</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2951</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2952</v>
      </c>
      <c r="B62" s="2886" t="s">
        <v>2953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2955</v>
      </c>
      <c r="B64" s="2887" t="s">
        <v>2956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2957</v>
      </c>
      <c r="B65" s="1728"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2958</v>
      </c>
      <c r="B66" s="1728"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2959</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2941</v>
      </c>
      <c r="B69" s="1812"/>
      <c r="C69" s="1812" t="s">
        <v>2943</v>
      </c>
      <c r="D69" s="1812" t="s">
        <v>2944</v>
      </c>
      <c r="E69" s="818" t="s">
        <v>2945</v>
      </c>
      <c r="F69" s="2882" t="s">
        <v>2961</v>
      </c>
      <c r="G69" s="1812" t="s">
        <v>754</v>
      </c>
      <c r="H69" s="2883" t="s">
        <v>2947</v>
      </c>
      <c r="I69" s="1812" t="s">
        <v>2948</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1" t="s">
        <v>2964</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2950</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2951</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2957</v>
      </c>
      <c r="B74" s="1728"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2958</v>
      </c>
      <c r="B75" s="1728"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2955</v>
      </c>
      <c r="B76" s="2887" t="s">
        <v>2956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2959</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2967</v>
      </c>
      <c r="B79" s="2878">
        <f>1+E81</f>
        <v>1</v>
      </c>
      <c r="C79" s="813"/>
      <c r="D79" s="813"/>
      <c r="E79" s="814"/>
      <c r="F79" s="2880"/>
      <c r="G79" s="6"/>
      <c r="H79" s="6"/>
      <c r="I79" s="6"/>
      <c r="J79" s="7"/>
      <c r="K79" s="7"/>
      <c r="L79" s="7"/>
      <c r="M79" s="7"/>
      <c r="N79" s="7"/>
      <c r="Z79" s="2723"/>
      <c r="AA79" s="2799"/>
      <c r="AG79" s="1374"/>
      <c r="AK79" s="2799"/>
    </row>
    <row r="80" spans="1:37" ht="24.75">
      <c r="A80" s="2881" t="s">
        <v>2941</v>
      </c>
      <c r="B80" s="1812"/>
      <c r="C80" s="1812" t="s">
        <v>2943</v>
      </c>
      <c r="D80" s="1812" t="s">
        <v>2944</v>
      </c>
      <c r="E80" s="818" t="s">
        <v>2945</v>
      </c>
      <c r="F80" s="2882" t="s">
        <v>2961</v>
      </c>
      <c r="G80" s="1812" t="s">
        <v>754</v>
      </c>
      <c r="H80" s="2883" t="s">
        <v>2947</v>
      </c>
      <c r="I80" s="1812" t="s">
        <v>2948</v>
      </c>
      <c r="J80" s="603" t="s">
        <v>2596</v>
      </c>
      <c r="K80" s="603" t="s">
        <v>2597</v>
      </c>
      <c r="L80" s="603" t="s">
        <v>2598</v>
      </c>
      <c r="M80" s="603" t="s">
        <v>2599</v>
      </c>
      <c r="N80" s="603" t="s">
        <v>2600</v>
      </c>
      <c r="Z80" s="2723"/>
      <c r="AA80" s="2799"/>
      <c r="AG80" s="1374"/>
      <c r="AK80" s="2799"/>
    </row>
    <row r="81" spans="1:37" ht="38.25">
      <c r="A81" s="2881" t="s">
        <v>2968</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2950</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2957</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2958</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2955</v>
      </c>
      <c r="B87" s="2887" t="s">
        <v>2969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2970</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17" t="s">
        <v>2971</v>
      </c>
      <c r="B90" s="3217"/>
      <c r="C90" s="3217"/>
      <c r="D90" s="3217"/>
      <c r="E90" s="3217"/>
      <c r="F90" s="3217"/>
      <c r="G90" s="3217"/>
      <c r="H90" s="3217"/>
      <c r="I90" s="3217"/>
      <c r="J90" s="3217"/>
      <c r="K90" s="2895"/>
      <c r="L90" s="2895"/>
      <c r="M90" s="2895"/>
      <c r="N90" s="2895"/>
    </row>
    <row r="91" spans="1:37">
      <c r="A91" s="3219" t="s">
        <v>2972</v>
      </c>
      <c r="B91" s="3219" t="s">
        <v>2973</v>
      </c>
      <c r="C91" s="2849" t="s">
        <v>2974</v>
      </c>
      <c r="D91" s="2850"/>
      <c r="E91" s="2850"/>
      <c r="F91" s="2850"/>
      <c r="G91" s="2850"/>
      <c r="H91" s="2850"/>
      <c r="I91" s="2850"/>
      <c r="J91" s="2896"/>
      <c r="K91" s="2897"/>
      <c r="L91" s="2897"/>
      <c r="M91" s="2897"/>
      <c r="N91" s="2897"/>
    </row>
    <row r="92" spans="1:37">
      <c r="A92" s="3219"/>
      <c r="B92" s="3219"/>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20"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2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2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2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2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2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21"/>
      <c r="B99" s="2898" t="s">
        <v>2856</v>
      </c>
      <c r="C99" s="2900">
        <f>$I$3</f>
        <v>3</v>
      </c>
      <c r="D99" s="2900">
        <f t="shared" ref="D99:M99" si="30">$I$3</f>
        <v>3</v>
      </c>
      <c r="E99" s="2900">
        <f t="shared" si="30"/>
        <v>3</v>
      </c>
      <c r="F99" s="2900">
        <f t="shared" si="30"/>
        <v>3</v>
      </c>
      <c r="G99" s="2900">
        <f t="shared" si="30"/>
        <v>3</v>
      </c>
      <c r="H99" s="2900">
        <f t="shared" si="30"/>
        <v>3</v>
      </c>
      <c r="I99" s="2900">
        <f t="shared" si="30"/>
        <v>3</v>
      </c>
      <c r="J99" s="2900">
        <f t="shared" si="30"/>
        <v>3</v>
      </c>
      <c r="K99" s="2900">
        <f t="shared" si="30"/>
        <v>3</v>
      </c>
      <c r="L99" s="2900">
        <f t="shared" si="30"/>
        <v>3</v>
      </c>
      <c r="M99" s="2900">
        <f t="shared" si="30"/>
        <v>3</v>
      </c>
      <c r="N99" s="2900">
        <f>$I$3</f>
        <v>3</v>
      </c>
    </row>
    <row r="100" spans="1:14">
      <c r="A100" s="3222"/>
      <c r="B100" s="2898">
        <v>7</v>
      </c>
      <c r="C100" s="2901">
        <f>(-0.163*(C99^2)-0.59*C99+7617)*(10^(-4))</f>
        <v>0.76137630000000001</v>
      </c>
      <c r="D100" s="2901">
        <f>(-0.163*(D99^2)-0.59*D99+7617)*(10^(-4))</f>
        <v>0.76137630000000001</v>
      </c>
      <c r="E100" s="2901">
        <f>(-0.161*(E99^2)-7.509*E99+6533)*(10^(-4))</f>
        <v>0.6509024000000001</v>
      </c>
      <c r="F100" s="2901">
        <f>(-0.161*(F99^2)-7.509*F99+6533)*(10^(-4))</f>
        <v>0.6509024000000001</v>
      </c>
      <c r="G100" s="2901">
        <f>(-0.161*(G99^2)-7.509*G99+6533)*(10^(-4))</f>
        <v>0.6509024000000001</v>
      </c>
      <c r="H100" s="2901">
        <f>(-0.161*(H99^2)-7.509*H99+6533)*(10^(-4))</f>
        <v>0.6509024000000001</v>
      </c>
      <c r="I100" s="2901">
        <f>(-0.161*(I99^2)-7.509*I99+6533)*(10^(-4))</f>
        <v>0.6509024000000001</v>
      </c>
      <c r="J100" s="2901">
        <f>(-0.214*(J99^2)-21.991*J99+4665)*(10^(-4))</f>
        <v>0.45971010000000001</v>
      </c>
      <c r="K100" s="2901">
        <f>(-0.214*(K99^2)-21.991*K99+4665)*(10^(-4))</f>
        <v>0.45971010000000001</v>
      </c>
      <c r="L100" s="2901">
        <f>(-0.214*(L99^2)-21.991*L99+4665)*(10^(-4))</f>
        <v>0.45971010000000001</v>
      </c>
      <c r="M100" s="2901">
        <f>(-0.214*(M99^2)-21.991*M99+4665)*(10^(-4))</f>
        <v>0.45971010000000001</v>
      </c>
      <c r="N100" s="2901">
        <f>(-0.214*(N99^2)-21.991*N99+4665)*(10^(-4))</f>
        <v>0.45971010000000001</v>
      </c>
    </row>
    <row r="101" spans="1:14">
      <c r="A101" s="3220" t="s">
        <v>2976</v>
      </c>
      <c r="B101" s="2902" t="s">
        <v>2977</v>
      </c>
      <c r="C101" s="2903">
        <f>$G$3</f>
        <v>2.81</v>
      </c>
      <c r="D101" s="2903">
        <f t="shared" ref="D101:N101" si="31">$G$3</f>
        <v>2.81</v>
      </c>
      <c r="E101" s="2903">
        <f t="shared" si="31"/>
        <v>2.81</v>
      </c>
      <c r="F101" s="2903">
        <f t="shared" si="31"/>
        <v>2.81</v>
      </c>
      <c r="G101" s="2903">
        <f t="shared" si="31"/>
        <v>2.81</v>
      </c>
      <c r="H101" s="2903">
        <f t="shared" si="31"/>
        <v>2.81</v>
      </c>
      <c r="I101" s="2903">
        <f t="shared" si="31"/>
        <v>2.81</v>
      </c>
      <c r="J101" s="2903">
        <f t="shared" si="31"/>
        <v>2.81</v>
      </c>
      <c r="K101" s="2903">
        <f t="shared" si="31"/>
        <v>2.81</v>
      </c>
      <c r="L101" s="2903">
        <f t="shared" si="31"/>
        <v>2.81</v>
      </c>
      <c r="M101" s="2903">
        <f t="shared" si="31"/>
        <v>2.81</v>
      </c>
      <c r="N101" s="2903">
        <f t="shared" si="31"/>
        <v>2.81</v>
      </c>
    </row>
    <row r="102" spans="1:14">
      <c r="A102" s="3221"/>
      <c r="B102" s="2898">
        <v>1</v>
      </c>
      <c r="C102" s="2899">
        <f>1.9362/C101</f>
        <v>0.68903914590747328</v>
      </c>
      <c r="D102" s="2899">
        <f>1.9362/D101</f>
        <v>0.68903914590747328</v>
      </c>
      <c r="E102" s="2899">
        <f>1.8629/E101</f>
        <v>0.66295373665480428</v>
      </c>
      <c r="F102" s="2899">
        <f>1.8629/F101</f>
        <v>0.66295373665480428</v>
      </c>
      <c r="G102" s="2899">
        <f>1.8629/G101</f>
        <v>0.66295373665480428</v>
      </c>
      <c r="H102" s="2899">
        <f>1.8629/H101</f>
        <v>0.66295373665480428</v>
      </c>
      <c r="I102" s="2899">
        <f>1.8629/I101</f>
        <v>0.66295373665480428</v>
      </c>
      <c r="J102" s="2899">
        <f>1.942/J101</f>
        <v>0.69110320284697502</v>
      </c>
      <c r="K102" s="2899">
        <f>1.942/K101</f>
        <v>0.69110320284697502</v>
      </c>
      <c r="L102" s="2899">
        <f>1.942/L101</f>
        <v>0.69110320284697502</v>
      </c>
      <c r="M102" s="2899">
        <f>1.942/M101</f>
        <v>0.69110320284697502</v>
      </c>
      <c r="N102" s="2899">
        <f>1.942/N101</f>
        <v>0.69110320284697502</v>
      </c>
    </row>
    <row r="103" spans="1:14">
      <c r="A103" s="3221"/>
      <c r="B103" s="2898">
        <v>2</v>
      </c>
      <c r="C103" s="2899">
        <f>1.4198/C101</f>
        <v>0.50526690391459073</v>
      </c>
      <c r="D103" s="2899">
        <f>1.4198/D101</f>
        <v>0.50526690391459073</v>
      </c>
      <c r="E103" s="2899">
        <f>1.3372/E101</f>
        <v>0.4758718861209964</v>
      </c>
      <c r="F103" s="2899">
        <f>1.3372/F101</f>
        <v>0.4758718861209964</v>
      </c>
      <c r="G103" s="2899">
        <f>1.3372/G101</f>
        <v>0.4758718861209964</v>
      </c>
      <c r="H103" s="2899">
        <f>1.3372/H101</f>
        <v>0.4758718861209964</v>
      </c>
      <c r="I103" s="2899">
        <f>1.3372/I101</f>
        <v>0.4758718861209964</v>
      </c>
      <c r="J103" s="2899">
        <f>1.2799/J101</f>
        <v>0.45548042704626335</v>
      </c>
      <c r="K103" s="2899">
        <f>1.2799/K101</f>
        <v>0.45548042704626335</v>
      </c>
      <c r="L103" s="2899">
        <f>1.2799/L101</f>
        <v>0.45548042704626335</v>
      </c>
      <c r="M103" s="2899">
        <f>1.2799/M101</f>
        <v>0.45548042704626335</v>
      </c>
      <c r="N103" s="2899">
        <f>1.2799/N101</f>
        <v>0.45548042704626335</v>
      </c>
    </row>
    <row r="104" spans="1:14">
      <c r="A104" s="3221"/>
      <c r="B104" s="2898">
        <v>3</v>
      </c>
      <c r="C104" s="2899">
        <f>1.1594/C101</f>
        <v>0.41259786476868326</v>
      </c>
      <c r="D104" s="2899">
        <f>1.1594/D101</f>
        <v>0.41259786476868326</v>
      </c>
      <c r="E104" s="2899">
        <f>1.0788/E101</f>
        <v>0.38391459074733092</v>
      </c>
      <c r="F104" s="2899">
        <f>1.0788/F101</f>
        <v>0.38391459074733092</v>
      </c>
      <c r="G104" s="2899">
        <f>1.0788/G101</f>
        <v>0.38391459074733092</v>
      </c>
      <c r="H104" s="2899">
        <f>1.0788/H101</f>
        <v>0.38391459074733092</v>
      </c>
      <c r="I104" s="2899">
        <f>1.0788/I101</f>
        <v>0.38391459074733092</v>
      </c>
      <c r="J104" s="2899">
        <f>1.0072/J101</f>
        <v>0.35843416370106762</v>
      </c>
      <c r="K104" s="2899">
        <f>1.0072/K101</f>
        <v>0.35843416370106762</v>
      </c>
      <c r="L104" s="2899">
        <f>1.0072/L101</f>
        <v>0.35843416370106762</v>
      </c>
      <c r="M104" s="2899">
        <f>1.0072/M101</f>
        <v>0.35843416370106762</v>
      </c>
      <c r="N104" s="2899">
        <f>1.0072/N101</f>
        <v>0.35843416370106762</v>
      </c>
    </row>
    <row r="105" spans="1:14">
      <c r="A105" s="3221"/>
      <c r="B105" s="2898">
        <v>4</v>
      </c>
      <c r="C105" s="2899">
        <f>0.9622/C101</f>
        <v>0.34241992882562278</v>
      </c>
      <c r="D105" s="2899">
        <f>0.9622/D101</f>
        <v>0.34241992882562278</v>
      </c>
      <c r="E105" s="2899">
        <f>0.8656/E101</f>
        <v>0.30804270462633454</v>
      </c>
      <c r="F105" s="2899">
        <f>0.8656/F101</f>
        <v>0.30804270462633454</v>
      </c>
      <c r="G105" s="2899">
        <f>0.8656/G101</f>
        <v>0.30804270462633454</v>
      </c>
      <c r="H105" s="2899">
        <f>0.8656/H101</f>
        <v>0.30804270462633454</v>
      </c>
      <c r="I105" s="2899">
        <f>0.8656/I101</f>
        <v>0.30804270462633454</v>
      </c>
      <c r="J105" s="2899">
        <f>0.7525/J101</f>
        <v>0.26779359430604982</v>
      </c>
      <c r="K105" s="2899">
        <f>0.7525/K101</f>
        <v>0.26779359430604982</v>
      </c>
      <c r="L105" s="2899">
        <f>0.7525/L101</f>
        <v>0.26779359430604982</v>
      </c>
      <c r="M105" s="2899">
        <f>0.7525/M101</f>
        <v>0.26779359430604982</v>
      </c>
      <c r="N105" s="2899">
        <f>0.7525/N101</f>
        <v>0.26779359430604982</v>
      </c>
    </row>
    <row r="106" spans="1:14">
      <c r="A106" s="3221"/>
      <c r="B106" s="2898">
        <v>5</v>
      </c>
      <c r="C106" s="2899">
        <f>0.8417/C101</f>
        <v>0.29953736654804269</v>
      </c>
      <c r="D106" s="2899">
        <f>0.8417/D101</f>
        <v>0.29953736654804269</v>
      </c>
      <c r="E106" s="2899">
        <f>0.7371/E101</f>
        <v>0.26231316725978648</v>
      </c>
      <c r="F106" s="2899">
        <f>0.7371/F101</f>
        <v>0.26231316725978648</v>
      </c>
      <c r="G106" s="2899">
        <f>0.7371/G101</f>
        <v>0.26231316725978648</v>
      </c>
      <c r="H106" s="2899">
        <f>0.7371/H101</f>
        <v>0.26231316725978648</v>
      </c>
      <c r="I106" s="2899">
        <f>0.7371/I101</f>
        <v>0.26231316725978648</v>
      </c>
      <c r="J106" s="2899">
        <f>0.5659/J101</f>
        <v>0.20138790035587187</v>
      </c>
      <c r="K106" s="2899">
        <f>0.5659/K101</f>
        <v>0.20138790035587187</v>
      </c>
      <c r="L106" s="2899">
        <f>0.5659/L101</f>
        <v>0.20138790035587187</v>
      </c>
      <c r="M106" s="2899">
        <f>0.5659/M101</f>
        <v>0.20138790035587187</v>
      </c>
      <c r="N106" s="2899">
        <f>0.5659/N101</f>
        <v>0.20138790035587187</v>
      </c>
    </row>
    <row r="107" spans="1:14">
      <c r="A107" s="3221"/>
      <c r="B107" s="2898">
        <v>6</v>
      </c>
      <c r="C107" s="2899">
        <f>0.7608/C101</f>
        <v>0.27074733096085407</v>
      </c>
      <c r="D107" s="2899">
        <f>0.7608/D101</f>
        <v>0.27074733096085407</v>
      </c>
      <c r="E107" s="2899">
        <f>0.6482/E101</f>
        <v>0.23067615658362989</v>
      </c>
      <c r="F107" s="2899">
        <f>0.6482/F101</f>
        <v>0.23067615658362989</v>
      </c>
      <c r="G107" s="2899">
        <f>0.6482/G101</f>
        <v>0.23067615658362989</v>
      </c>
      <c r="H107" s="2899">
        <f>0.6482/H101</f>
        <v>0.23067615658362989</v>
      </c>
      <c r="I107" s="2899">
        <f>0.6482/I101</f>
        <v>0.23067615658362989</v>
      </c>
      <c r="J107" s="2899">
        <f>0.4525/J101</f>
        <v>0.1610320284697509</v>
      </c>
      <c r="K107" s="2899">
        <f>0.4525/K101</f>
        <v>0.1610320284697509</v>
      </c>
      <c r="L107" s="2899">
        <f>0.4525/L101</f>
        <v>0.1610320284697509</v>
      </c>
      <c r="M107" s="2899">
        <f>0.4525/M101</f>
        <v>0.1610320284697509</v>
      </c>
      <c r="N107" s="2899">
        <f>0.4525/N101</f>
        <v>0.1610320284697509</v>
      </c>
    </row>
    <row r="108" spans="1:14">
      <c r="A108" s="3221"/>
      <c r="B108" s="3133" t="s">
        <v>2978</v>
      </c>
      <c r="C108" s="2900">
        <f>C99</f>
        <v>3</v>
      </c>
      <c r="D108" s="2900">
        <f t="shared" ref="D108:N108" si="32">D99</f>
        <v>3</v>
      </c>
      <c r="E108" s="2900">
        <f t="shared" si="32"/>
        <v>3</v>
      </c>
      <c r="F108" s="2900">
        <f t="shared" si="32"/>
        <v>3</v>
      </c>
      <c r="G108" s="2900">
        <f t="shared" si="32"/>
        <v>3</v>
      </c>
      <c r="H108" s="2900">
        <f t="shared" si="32"/>
        <v>3</v>
      </c>
      <c r="I108" s="2900">
        <f t="shared" si="32"/>
        <v>3</v>
      </c>
      <c r="J108" s="2900">
        <f t="shared" si="32"/>
        <v>3</v>
      </c>
      <c r="K108" s="2900">
        <f t="shared" si="32"/>
        <v>3</v>
      </c>
      <c r="L108" s="2900">
        <f t="shared" si="32"/>
        <v>3</v>
      </c>
      <c r="M108" s="2900">
        <f t="shared" si="32"/>
        <v>3</v>
      </c>
      <c r="N108" s="2900">
        <f t="shared" si="32"/>
        <v>3</v>
      </c>
    </row>
    <row r="109" spans="1:14">
      <c r="A109" s="3222"/>
      <c r="B109" s="3134"/>
      <c r="C109" s="2901">
        <f>(-0.163*(C108^2)-0.59*C108+7617)*(10^(-4))/C101</f>
        <v>0.27095241992882563</v>
      </c>
      <c r="D109" s="2901">
        <f>(-0.163*(D108^2)-0.59*D108+7617)*(10^(-4))/D101</f>
        <v>0.27095241992882563</v>
      </c>
      <c r="E109" s="2901">
        <f>(-0.161*(E108^2)-7.509*E108+6533)*(10^(-4))/E101</f>
        <v>0.23163786476868331</v>
      </c>
      <c r="F109" s="2901">
        <f>(-0.161*(F108^2)-7.509*F108+6533)*(10^(-4))/F101</f>
        <v>0.23163786476868331</v>
      </c>
      <c r="G109" s="2901">
        <f>(-0.161*(G108^2)-7.509*G108+6533)*(10^(-4))/G101</f>
        <v>0.23163786476868331</v>
      </c>
      <c r="H109" s="2901">
        <f>(-0.161*(H108^2)-7.509*H108+6533)*(10^(-4))/H101</f>
        <v>0.23163786476868331</v>
      </c>
      <c r="I109" s="2901">
        <f>(-0.161*(I108^2)-7.509*I108+6533)*(10^(-4))/I101</f>
        <v>0.23163786476868331</v>
      </c>
      <c r="J109" s="2901">
        <f>(-0.214*(J108^2)-21.991*J108+4665)*(10^(-4))/J101</f>
        <v>0.16359790035587188</v>
      </c>
      <c r="K109" s="2901">
        <f>(-0.214*(K108^2)-21.991*K108+4665)*(10^(-4))/K101</f>
        <v>0.16359790035587188</v>
      </c>
      <c r="L109" s="2901">
        <f>(-0.214*(L108^2)-21.991*L108+4665)*(10^(-4))/L101</f>
        <v>0.16359790035587188</v>
      </c>
      <c r="M109" s="2901">
        <f>(-0.214*(M108^2)-21.991*M108+4665)*(10^(-4))/M101</f>
        <v>0.16359790035587188</v>
      </c>
      <c r="N109" s="2901">
        <f>(-0.214*(N108^2)-21.991*N108+4665)*(10^(-4))/N101</f>
        <v>0.16359790035587188</v>
      </c>
    </row>
    <row r="110" spans="1:14">
      <c r="A110" s="3218" t="s">
        <v>2979</v>
      </c>
      <c r="B110" s="3218"/>
      <c r="C110" s="3218"/>
      <c r="D110" s="3218"/>
      <c r="E110" s="3218"/>
      <c r="F110" s="3218"/>
      <c r="G110" s="3218"/>
      <c r="H110" s="3218"/>
      <c r="I110" s="3218"/>
      <c r="J110" s="3218"/>
      <c r="K110" s="2904"/>
      <c r="L110" s="2904"/>
      <c r="M110" s="2904"/>
      <c r="N110" s="2904"/>
    </row>
    <row r="112" spans="1:14" ht="13.5" thickBot="1"/>
    <row r="113" spans="1:13" ht="25.5" thickBot="1">
      <c r="A113" s="902" t="s">
        <v>2980</v>
      </c>
      <c r="B113" s="1289">
        <f>G3</f>
        <v>2.81</v>
      </c>
      <c r="C113" s="903" t="s">
        <v>2981</v>
      </c>
      <c r="D113" s="904">
        <f>SUMPRODUCT((A115:A118=F113)*(B114:M114=H113)*B115:M118)</f>
        <v>0.80249999999999999</v>
      </c>
      <c r="E113" s="2727" t="s">
        <v>2813</v>
      </c>
      <c r="F113" s="2906" t="str">
        <f>E2</f>
        <v>商业</v>
      </c>
      <c r="G113" s="2727" t="s">
        <v>2814</v>
      </c>
      <c r="H113" s="2906" t="str">
        <f>G2</f>
        <v>七级</v>
      </c>
      <c r="I113" s="2727"/>
      <c r="J113" s="2907"/>
      <c r="K113" s="2907"/>
      <c r="L113" s="2907"/>
      <c r="M113" s="2907"/>
    </row>
    <row r="114" spans="1:13">
      <c r="A114" s="907"/>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8" t="s">
        <v>2878</v>
      </c>
      <c r="B115" s="909">
        <f>ROUND(0.9335-0.0094*B113,4)</f>
        <v>0.90710000000000002</v>
      </c>
      <c r="C115" s="909">
        <f>B115</f>
        <v>0.90710000000000002</v>
      </c>
      <c r="D115" s="909">
        <f>ROUND(0.8331-0.0109*B113,4)</f>
        <v>0.80249999999999999</v>
      </c>
      <c r="E115" s="909">
        <f>D115</f>
        <v>0.80249999999999999</v>
      </c>
      <c r="F115" s="909">
        <f>E115</f>
        <v>0.80249999999999999</v>
      </c>
      <c r="G115" s="909">
        <f>F115</f>
        <v>0.80249999999999999</v>
      </c>
      <c r="H115" s="909">
        <f>G115</f>
        <v>0.80249999999999999</v>
      </c>
      <c r="I115" s="909">
        <f>ROUND(0.689-0.0155*B113,4)</f>
        <v>0.64539999999999997</v>
      </c>
      <c r="J115" s="909">
        <f t="shared" ref="J115:M118" si="33">I115</f>
        <v>0.64539999999999997</v>
      </c>
      <c r="K115" s="909">
        <f t="shared" si="33"/>
        <v>0.64539999999999997</v>
      </c>
      <c r="L115" s="909">
        <f t="shared" si="33"/>
        <v>0.64539999999999997</v>
      </c>
      <c r="M115" s="910">
        <f t="shared" si="33"/>
        <v>0.64539999999999997</v>
      </c>
    </row>
    <row r="116" spans="1:13">
      <c r="A116" s="908" t="s">
        <v>2879</v>
      </c>
      <c r="B116" s="909">
        <f>ROUND(0.949-0.012*B113,4)</f>
        <v>0.9153</v>
      </c>
      <c r="C116" s="909">
        <f>B116</f>
        <v>0.9153</v>
      </c>
      <c r="D116" s="909">
        <f>ROUND(0.8567-0.013*B113,4)</f>
        <v>0.82020000000000004</v>
      </c>
      <c r="E116" s="909">
        <f t="shared" ref="E116:H117" si="34">D116</f>
        <v>0.82020000000000004</v>
      </c>
      <c r="F116" s="909">
        <f t="shared" si="34"/>
        <v>0.82020000000000004</v>
      </c>
      <c r="G116" s="909">
        <f t="shared" si="34"/>
        <v>0.82020000000000004</v>
      </c>
      <c r="H116" s="909">
        <f t="shared" si="34"/>
        <v>0.82020000000000004</v>
      </c>
      <c r="I116" s="909">
        <f>ROUND(0.7694-0.014*B113,4)</f>
        <v>0.73009999999999997</v>
      </c>
      <c r="J116" s="909">
        <f t="shared" si="33"/>
        <v>0.73009999999999997</v>
      </c>
      <c r="K116" s="909">
        <f t="shared" si="33"/>
        <v>0.73009999999999997</v>
      </c>
      <c r="L116" s="909">
        <f t="shared" si="33"/>
        <v>0.73009999999999997</v>
      </c>
      <c r="M116" s="910">
        <f t="shared" si="33"/>
        <v>0.73009999999999997</v>
      </c>
    </row>
    <row r="117" spans="1:13">
      <c r="A117" s="908" t="s">
        <v>2880</v>
      </c>
      <c r="B117" s="909">
        <f>ROUND(0.8808-0.006*B113,4)</f>
        <v>0.8639</v>
      </c>
      <c r="C117" s="909">
        <f>B117</f>
        <v>0.8639</v>
      </c>
      <c r="D117" s="909">
        <f>ROUND(0.8748-0.008*B113,4)</f>
        <v>0.85229999999999995</v>
      </c>
      <c r="E117" s="909">
        <f t="shared" si="34"/>
        <v>0.85229999999999995</v>
      </c>
      <c r="F117" s="909">
        <f t="shared" si="34"/>
        <v>0.85229999999999995</v>
      </c>
      <c r="G117" s="909">
        <f t="shared" si="34"/>
        <v>0.85229999999999995</v>
      </c>
      <c r="H117" s="909">
        <f t="shared" si="34"/>
        <v>0.85229999999999995</v>
      </c>
      <c r="I117" s="909">
        <f>ROUND(0.7412-0.0095*B113,4)</f>
        <v>0.71450000000000002</v>
      </c>
      <c r="J117" s="909">
        <f t="shared" si="33"/>
        <v>0.71450000000000002</v>
      </c>
      <c r="K117" s="909">
        <f t="shared" si="33"/>
        <v>0.71450000000000002</v>
      </c>
      <c r="L117" s="909">
        <f t="shared" si="33"/>
        <v>0.71450000000000002</v>
      </c>
      <c r="M117" s="910">
        <f t="shared" si="33"/>
        <v>0.71450000000000002</v>
      </c>
    </row>
    <row r="118" spans="1:13" ht="13.5" thickBot="1">
      <c r="A118" s="714" t="s">
        <v>2881</v>
      </c>
      <c r="B118" s="911">
        <f>ROUND(0.7275-0.01*B113,4)</f>
        <v>0.69940000000000002</v>
      </c>
      <c r="C118" s="911">
        <f>B118</f>
        <v>0.69940000000000002</v>
      </c>
      <c r="D118" s="911">
        <f>ROUND(0.7043-0.012*B113,4)</f>
        <v>0.67059999999999997</v>
      </c>
      <c r="E118" s="911">
        <f>D118</f>
        <v>0.67059999999999997</v>
      </c>
      <c r="F118" s="911">
        <f>E118</f>
        <v>0.67059999999999997</v>
      </c>
      <c r="G118" s="911">
        <f>ROUND(0.6299-0.0122*B113,4)</f>
        <v>0.59560000000000002</v>
      </c>
      <c r="H118" s="911">
        <f>G118</f>
        <v>0.59560000000000002</v>
      </c>
      <c r="I118" s="911">
        <f>ROUND(0.5667-0.0136*B113,4)</f>
        <v>0.52849999999999997</v>
      </c>
      <c r="J118" s="911">
        <f t="shared" si="33"/>
        <v>0.52849999999999997</v>
      </c>
      <c r="K118" s="911">
        <f t="shared" si="33"/>
        <v>0.52849999999999997</v>
      </c>
      <c r="L118" s="911">
        <f t="shared" si="33"/>
        <v>0.52849999999999997</v>
      </c>
      <c r="M118" s="912">
        <f t="shared" si="33"/>
        <v>0.52849999999999997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0" sqref="M20"/>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t="s">
        <v>1378</v>
      </c>
      <c r="D1" s="1583"/>
      <c r="E1" s="320"/>
      <c r="F1" s="320"/>
      <c r="G1" s="1584"/>
      <c r="H1" s="320"/>
      <c r="I1" s="320"/>
      <c r="J1" s="320"/>
      <c r="K1" s="320">
        <f>MATCH(C1,'数据-取费表'!A6:A16,0)+5</f>
        <v>6</v>
      </c>
    </row>
    <row r="2" spans="1:33" ht="18" customHeight="1">
      <c r="A2" s="245" t="s">
        <v>2329</v>
      </c>
      <c r="B2" s="248">
        <f ca="1">C32</f>
        <v>14737</v>
      </c>
      <c r="C2" s="320" t="s">
        <v>2462</v>
      </c>
      <c r="D2" s="320"/>
      <c r="E2" s="320"/>
      <c r="F2" s="320"/>
      <c r="G2" s="320"/>
      <c r="H2" s="320"/>
      <c r="I2" s="320"/>
      <c r="J2" s="320"/>
      <c r="K2" s="320"/>
    </row>
    <row r="3" spans="1:33" ht="18" customHeight="1" thickBot="1">
      <c r="A3" s="247" t="s">
        <v>2331</v>
      </c>
      <c r="B3" s="248">
        <f ca="1">ROUND(B2*10000/IF(C1="",'数据-汇总表'!E3,INDIRECT("'数据-取费表'!K"&amp;$K$1)),0)</f>
        <v>26224</v>
      </c>
      <c r="C3" s="320" t="s">
        <v>2463</v>
      </c>
      <c r="D3" s="320"/>
      <c r="E3" s="320"/>
      <c r="F3" s="320"/>
      <c r="G3" s="320"/>
      <c r="H3" s="320"/>
      <c r="I3" s="320"/>
      <c r="J3" s="320"/>
      <c r="K3" s="320"/>
    </row>
    <row r="4" spans="1:33" s="958" customFormat="1" ht="16.5" customHeight="1">
      <c r="A4" s="955" t="s">
        <v>2464</v>
      </c>
      <c r="B4" s="956"/>
      <c r="C4" s="998">
        <f ca="1">SUM(C8:K8)</f>
        <v>16981</v>
      </c>
      <c r="D4" s="956"/>
      <c r="E4" s="956"/>
      <c r="F4" s="956"/>
      <c r="G4" s="956"/>
      <c r="H4" s="956"/>
      <c r="I4" s="956"/>
      <c r="J4" s="956"/>
      <c r="K4" s="957"/>
    </row>
    <row r="5" spans="1:33" s="962" customFormat="1" ht="15">
      <c r="A5" s="959" t="s">
        <v>2465</v>
      </c>
      <c r="B5" s="960" t="s">
        <v>2466</v>
      </c>
      <c r="C5" s="2557" t="s">
        <v>1378</v>
      </c>
      <c r="D5" s="2557"/>
      <c r="E5" s="2557"/>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964">
        <f ca="1">收益法!B3</f>
        <v>30218</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5619.58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2470</v>
      </c>
      <c r="B8" s="177" t="s">
        <v>2471</v>
      </c>
      <c r="C8" s="999">
        <f ca="1">收益法!B2</f>
        <v>16981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1335</v>
      </c>
      <c r="B11" s="974" t="s">
        <v>2479</v>
      </c>
      <c r="C11" s="323">
        <f ca="1">IF(C1="",'数据-取费表'!P16,INDIRECT("'数据-取费表'!p"&amp;$K$1)+INDIRECT("'数据-取费表'!ar"&amp;$K$1))</f>
        <v>112</v>
      </c>
      <c r="D11" s="975"/>
      <c r="E11" s="375"/>
      <c r="F11" s="976">
        <f ca="1">1-IF('数据-取费表'!B24=0,1,IF(C1="",'数据-取费表'!N16,INDIRECT("'数据-取费表'!n"&amp;$K$1)))</f>
        <v>7.999999999999996E-2</v>
      </c>
      <c r="G11" s="8"/>
      <c r="H11" s="970"/>
      <c r="I11" s="970"/>
      <c r="J11" s="970"/>
      <c r="K11" s="971"/>
    </row>
    <row r="12" spans="1:33" s="977" customFormat="1" ht="13.5" customHeight="1">
      <c r="A12" s="973" t="s">
        <v>1336</v>
      </c>
      <c r="B12" s="974" t="s">
        <v>2480</v>
      </c>
      <c r="C12" s="24">
        <f ca="1">ROUND(C11*F12,0)</f>
        <v>4</v>
      </c>
      <c r="D12" s="975"/>
      <c r="E12" s="375"/>
      <c r="F12" s="978">
        <f>'数据-取费表'!B33</f>
        <v>0.04</v>
      </c>
      <c r="G12" s="8" t="s">
        <v>2481</v>
      </c>
      <c r="H12" s="970"/>
      <c r="I12" s="970"/>
      <c r="J12" s="970"/>
      <c r="K12" s="971"/>
    </row>
    <row r="13" spans="1:33" s="977" customFormat="1" ht="13.5" customHeight="1">
      <c r="A13" s="973" t="s">
        <v>1337</v>
      </c>
      <c r="B13" s="974" t="s">
        <v>2482</v>
      </c>
      <c r="C13" s="24">
        <f ca="1">ROUND(IF(C1="",SUMIF('数据-取费表'!C:C,"住宅",'数据-取费表'!P:P)*F13,IF(INDIRECT("'数据-取费表'!c"&amp;$K$1)="住宅",INDIRECT("'数据-取费表'!P"&amp;$K$1)*F13,0)),0)</f>
        <v>0</v>
      </c>
      <c r="D13" s="1035"/>
      <c r="E13" s="375"/>
      <c r="F13" s="978">
        <f>'数据-取费表'!B34</f>
        <v>0.05</v>
      </c>
      <c r="G13" s="8" t="s">
        <v>2483</v>
      </c>
      <c r="H13" s="970"/>
      <c r="I13" s="970"/>
      <c r="J13" s="970"/>
      <c r="K13" s="971"/>
    </row>
    <row r="14" spans="1:33" s="979" customFormat="1" ht="13.5" customHeight="1">
      <c r="A14" s="973" t="s">
        <v>1338</v>
      </c>
      <c r="B14" s="974" t="s">
        <v>2484</v>
      </c>
      <c r="C14" s="24">
        <f ca="1">ROUND(D14*E14*F11/10000,0)</f>
        <v>9</v>
      </c>
      <c r="D14" s="1035">
        <f ca="1">IF(C1="",'数据-汇总表'!E3,INDIRECT("'数据-取费表'!K"&amp;$K$1)+INDIRECT("'数据-取费表'!S"&amp;$K$1))</f>
        <v>5619.58</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2486</v>
      </c>
      <c r="C15" s="985">
        <f ca="1">ROUND(C11*F15,0)</f>
        <v>2</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127</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112</v>
      </c>
      <c r="D17" s="1035">
        <f ca="1">D14</f>
        <v>5619.58</v>
      </c>
      <c r="E17" s="24">
        <f>'数据-取费表'!B32</f>
        <v>200</v>
      </c>
      <c r="F17" s="980"/>
      <c r="G17" s="140" t="s">
        <v>2490</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2491</v>
      </c>
      <c r="C18" s="24">
        <f ca="1">C19+C20-IF(C1="",'数据-取费表'!B29,IF(G18="已全部缴纳",C19+C20,H18))</f>
        <v>112</v>
      </c>
      <c r="D18" s="1035"/>
      <c r="E18" s="24"/>
      <c r="F18" s="978"/>
      <c r="G18" s="2559"/>
      <c r="H18" s="1580"/>
      <c r="I18" s="2560"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2494</v>
      </c>
      <c r="C20" s="24">
        <f ca="1">ROUND(D20*E20/10000,0)</f>
        <v>112</v>
      </c>
      <c r="D20" s="1035">
        <f ca="1">IF(C1="",'数据-汇总表'!E6,IF(INDIRECT("'数据-取费表'!c"&amp;$K$1)="住宅",INDIRECT("'数据-取费表'!s"&amp;$K$1),INDIRECT("'数据-取费表'!k"&amp;$K$1)+INDIRECT("'数据-取费表'!s"&amp;$K$1)))</f>
        <v>5619.58</v>
      </c>
      <c r="E20" s="24">
        <f>'数据-取费表'!B28</f>
        <v>200</v>
      </c>
      <c r="F20" s="978"/>
      <c r="G20" s="15"/>
      <c r="H20" s="983"/>
      <c r="I20" s="983"/>
      <c r="J20" s="983"/>
      <c r="K20" s="984"/>
    </row>
    <row r="21" spans="1:33" s="977" customFormat="1" ht="13.5" customHeight="1">
      <c r="A21" s="963" t="s">
        <v>802</v>
      </c>
      <c r="B21" s="987" t="s">
        <v>2495</v>
      </c>
      <c r="C21" s="988">
        <f ca="1">C16+C17+C18</f>
        <v>351</v>
      </c>
      <c r="D21" s="989"/>
      <c r="E21" s="325"/>
      <c r="F21" s="325"/>
      <c r="G21" s="140" t="s">
        <v>2496</v>
      </c>
      <c r="H21" s="981"/>
      <c r="I21" s="981"/>
      <c r="J21" s="981"/>
      <c r="K21" s="982"/>
    </row>
    <row r="22" spans="1:33" s="977" customFormat="1" ht="13.5" customHeight="1">
      <c r="A22" s="963" t="s">
        <v>2468</v>
      </c>
      <c r="B22" s="987" t="s">
        <v>2497</v>
      </c>
      <c r="C22" s="988">
        <f ca="1">ROUND(C21*F22,0)</f>
        <v>7</v>
      </c>
      <c r="D22" s="325"/>
      <c r="E22" s="325"/>
      <c r="F22" s="990">
        <f>'数据-取费表'!B37</f>
        <v>0.02</v>
      </c>
      <c r="G22" s="8" t="s">
        <v>2498</v>
      </c>
      <c r="H22" s="970"/>
      <c r="I22" s="970"/>
      <c r="J22" s="970"/>
      <c r="K22" s="971"/>
    </row>
    <row r="23" spans="1:33" s="977" customFormat="1" ht="13.5" customHeight="1">
      <c r="A23" s="963" t="s">
        <v>2470</v>
      </c>
      <c r="B23" s="987" t="s">
        <v>2499</v>
      </c>
      <c r="C23" s="988">
        <f ca="1">ROUND(C4*F23*F11,0)</f>
        <v>27</v>
      </c>
      <c r="D23" s="325"/>
      <c r="E23" s="325"/>
      <c r="F23" s="990">
        <f>'数据-取费表'!B38</f>
        <v>0.02</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2</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2508</v>
      </c>
      <c r="B28" s="2562" t="s">
        <v>2509</v>
      </c>
      <c r="C28" s="331">
        <f ca="1">C30</f>
        <v>96</v>
      </c>
      <c r="D28" s="324">
        <f ca="1">C29</f>
        <v>2.06E-2</v>
      </c>
      <c r="E28" s="326" t="s">
        <v>15</v>
      </c>
      <c r="F28" s="332">
        <f ca="1">IF(C1="",'数据-取费表'!Q16,INDIRECT("'数据-取费表'!q"&amp;$K$1))</f>
        <v>0.25</v>
      </c>
      <c r="G28" s="991"/>
      <c r="H28" s="992"/>
      <c r="I28" s="992"/>
      <c r="J28" s="992"/>
      <c r="K28" s="993"/>
    </row>
    <row r="29" spans="1:33" s="335" customFormat="1" ht="13.5" customHeight="1">
      <c r="A29" s="973" t="s">
        <v>803</v>
      </c>
      <c r="B29" s="996" t="s">
        <v>2510</v>
      </c>
      <c r="C29" s="328">
        <f ca="1">ROUND((1+C24)*F28*'数据-取费表'!B24/'数据-取费表'!B20,4)</f>
        <v>2.06E-2</v>
      </c>
      <c r="D29" s="328"/>
      <c r="E29" s="329"/>
      <c r="F29" s="334"/>
      <c r="G29" s="140" t="s">
        <v>2511</v>
      </c>
      <c r="H29" s="981"/>
      <c r="I29" s="981"/>
      <c r="J29" s="981"/>
      <c r="K29" s="982"/>
    </row>
    <row r="30" spans="1:33" s="335" customFormat="1" ht="13.5" customHeight="1">
      <c r="A30" s="973" t="s">
        <v>804</v>
      </c>
      <c r="B30" s="996" t="s">
        <v>2512</v>
      </c>
      <c r="C30" s="336">
        <f ca="1">ROUND((C21+C22+C23)*F28,0)</f>
        <v>96</v>
      </c>
      <c r="D30" s="328"/>
      <c r="E30" s="329"/>
      <c r="F30" s="334"/>
      <c r="G30" s="140"/>
      <c r="H30" s="981"/>
      <c r="I30" s="981"/>
      <c r="J30" s="981"/>
      <c r="K30" s="982"/>
    </row>
    <row r="31" spans="1:33" s="977" customFormat="1" ht="13.5" customHeight="1" thickBot="1">
      <c r="A31" s="2563" t="s">
        <v>2513</v>
      </c>
      <c r="B31" s="1007" t="s">
        <v>2514</v>
      </c>
      <c r="C31" s="1008">
        <f ca="1">ROUND(C4*F31/(1+'数据-取费表'!C42),0)</f>
        <v>889</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14737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2532</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2533</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2534</v>
      </c>
      <c r="B4" s="402"/>
      <c r="C4" s="3167" t="s">
        <v>2535</v>
      </c>
      <c r="D4" s="3180"/>
      <c r="E4" s="3181" t="s">
        <v>2536</v>
      </c>
      <c r="F4" s="3182"/>
      <c r="G4" s="3167" t="s">
        <v>2537</v>
      </c>
      <c r="H4" s="3180"/>
      <c r="I4" s="3167" t="s">
        <v>2538</v>
      </c>
      <c r="J4" s="3180"/>
      <c r="K4" s="2599" t="s">
        <v>2539</v>
      </c>
      <c r="L4" s="1132"/>
      <c r="M4" s="1133"/>
      <c r="N4" s="1133"/>
      <c r="O4" s="1133"/>
      <c r="P4" s="3183" t="s">
        <v>2540</v>
      </c>
      <c r="Q4" s="3184"/>
      <c r="R4" s="3189" t="s">
        <v>2536</v>
      </c>
      <c r="S4" s="3190"/>
      <c r="T4" s="3189" t="s">
        <v>2537</v>
      </c>
      <c r="U4" s="3190"/>
      <c r="V4" s="3176" t="s">
        <v>2538</v>
      </c>
      <c r="W4" s="3176"/>
      <c r="X4" s="1816"/>
      <c r="Y4" s="3189" t="s">
        <v>2540</v>
      </c>
      <c r="Z4" s="3190"/>
      <c r="AA4" s="3177" t="s">
        <v>2536</v>
      </c>
      <c r="AB4" s="3177" t="s">
        <v>2537</v>
      </c>
      <c r="AC4" s="3177" t="s">
        <v>2538</v>
      </c>
    </row>
    <row r="5" spans="1:29" ht="15">
      <c r="A5" s="404"/>
      <c r="B5" s="405"/>
      <c r="C5" s="3197" t="s">
        <v>2541</v>
      </c>
      <c r="D5" s="3198"/>
      <c r="E5" s="3204" t="s">
        <v>2542</v>
      </c>
      <c r="F5" s="3205"/>
      <c r="G5" s="3197" t="s">
        <v>2543</v>
      </c>
      <c r="H5" s="3198"/>
      <c r="I5" s="3197" t="s">
        <v>2544</v>
      </c>
      <c r="J5" s="3198"/>
      <c r="K5" s="2600"/>
      <c r="L5" s="1132"/>
      <c r="M5" s="1133"/>
      <c r="N5" s="1133"/>
      <c r="O5" s="1133"/>
      <c r="P5" s="3185"/>
      <c r="Q5" s="3186"/>
      <c r="R5" s="3191"/>
      <c r="S5" s="3192"/>
      <c r="T5" s="3191"/>
      <c r="U5" s="3192"/>
      <c r="V5" s="3176"/>
      <c r="W5" s="3176"/>
      <c r="X5" s="1816"/>
      <c r="Y5" s="3191"/>
      <c r="Z5" s="3192"/>
      <c r="AA5" s="3178"/>
      <c r="AB5" s="3178"/>
      <c r="AC5" s="3178"/>
    </row>
    <row r="6" spans="1:29" ht="15.75" thickBot="1">
      <c r="A6" s="406"/>
      <c r="B6" s="407"/>
      <c r="C6" s="3195" t="s">
        <v>2545</v>
      </c>
      <c r="D6" s="3196"/>
      <c r="E6" s="3202" t="s">
        <v>2545</v>
      </c>
      <c r="F6" s="3203"/>
      <c r="G6" s="3195" t="s">
        <v>2545</v>
      </c>
      <c r="H6" s="3196"/>
      <c r="I6" s="3195" t="s">
        <v>2545</v>
      </c>
      <c r="J6" s="3196"/>
      <c r="K6" s="2600" t="s">
        <v>2546</v>
      </c>
      <c r="L6" s="1132"/>
      <c r="M6" s="1133"/>
      <c r="N6" s="1133"/>
      <c r="O6" s="1133"/>
      <c r="P6" s="3187"/>
      <c r="Q6" s="3188"/>
      <c r="R6" s="3191"/>
      <c r="S6" s="3192"/>
      <c r="T6" s="3193"/>
      <c r="U6" s="3194"/>
      <c r="V6" s="3176"/>
      <c r="W6" s="3176"/>
      <c r="X6" s="1816"/>
      <c r="Y6" s="3193"/>
      <c r="Z6" s="3194"/>
      <c r="AA6" s="3179"/>
      <c r="AB6" s="3179"/>
      <c r="AC6" s="3179"/>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99" t="s">
        <v>2548</v>
      </c>
      <c r="Q7" s="3201"/>
      <c r="R7" s="770" t="s">
        <v>23</v>
      </c>
      <c r="S7" s="771">
        <f t="shared" ref="S7:S15" si="0">F7</f>
        <v>0</v>
      </c>
      <c r="T7" s="770" t="s">
        <v>23</v>
      </c>
      <c r="U7" s="771">
        <f t="shared" ref="U7:U15" si="1">H7</f>
        <v>0</v>
      </c>
      <c r="V7" s="770" t="s">
        <v>23</v>
      </c>
      <c r="W7" s="771">
        <f t="shared" ref="W7:W15" si="2">J7</f>
        <v>0</v>
      </c>
      <c r="X7" s="772"/>
      <c r="Y7" s="3199" t="s">
        <v>2548</v>
      </c>
      <c r="Z7" s="3200"/>
      <c r="AA7" s="773" t="e">
        <f>D7/F7</f>
        <v>#DIV/0!</v>
      </c>
      <c r="AB7" s="773" t="e">
        <f>D7/H7</f>
        <v>#DIV/0!</v>
      </c>
      <c r="AC7" s="773" t="e">
        <f>D7/J7</f>
        <v>#DIV/0!</v>
      </c>
    </row>
    <row r="8" spans="1:29" s="117" customFormat="1" ht="15.75" thickBot="1">
      <c r="A8" s="408" t="s">
        <v>2549</v>
      </c>
      <c r="B8" s="409"/>
      <c r="C8" s="414" t="s">
        <v>2550</v>
      </c>
      <c r="D8" s="411">
        <v>100</v>
      </c>
      <c r="E8" s="2602" t="s">
        <v>3048</v>
      </c>
      <c r="F8" s="413">
        <f>SUMIF(61:61,E8,62:62)-SUMIF(61:61,C8,62:62)+100</f>
        <v>100</v>
      </c>
      <c r="G8" s="414" t="s">
        <v>3048</v>
      </c>
      <c r="H8" s="411">
        <f>SUMIF(61:61,G8,62:62)-SUMIF(61:61,C8,62:62)+100</f>
        <v>100</v>
      </c>
      <c r="I8" s="2602" t="s">
        <v>3048</v>
      </c>
      <c r="J8" s="411">
        <f>SUMIF(61:61,I8,62:62)-SUMIF(61:61,C8,62:62)+100</f>
        <v>100</v>
      </c>
      <c r="K8" s="2601"/>
      <c r="L8" s="1134"/>
      <c r="M8" s="1135"/>
      <c r="N8" s="1135"/>
      <c r="O8" s="1135"/>
      <c r="P8" s="3199" t="s">
        <v>2551</v>
      </c>
      <c r="Q8" s="3200"/>
      <c r="R8" s="770" t="s">
        <v>23</v>
      </c>
      <c r="S8" s="771">
        <f t="shared" si="0"/>
        <v>100</v>
      </c>
      <c r="T8" s="770" t="s">
        <v>23</v>
      </c>
      <c r="U8" s="771">
        <f t="shared" si="1"/>
        <v>100</v>
      </c>
      <c r="V8" s="770" t="s">
        <v>23</v>
      </c>
      <c r="W8" s="771">
        <f t="shared" si="2"/>
        <v>100</v>
      </c>
      <c r="X8" s="772"/>
      <c r="Y8" s="3199" t="s">
        <v>2551</v>
      </c>
      <c r="Z8" s="3200"/>
      <c r="AA8" s="773">
        <f t="shared" ref="AA8:AA19" si="3">D8/F8</f>
        <v>1</v>
      </c>
      <c r="AB8" s="773">
        <f t="shared" ref="AB8:AB19" si="4">D8/H8</f>
        <v>1</v>
      </c>
      <c r="AC8" s="773">
        <f t="shared" ref="AC8:AC19" si="5">D8/J8</f>
        <v>1</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169"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69"/>
      <c r="Q11" s="1798"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169"/>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169"/>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169"/>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2558</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2" t="s">
        <v>2559</v>
      </c>
      <c r="Q15" s="1813" t="str">
        <f t="shared" si="6"/>
        <v>居住社区成熟度</v>
      </c>
      <c r="R15" s="774" t="s">
        <v>21</v>
      </c>
      <c r="S15" s="775">
        <f t="shared" si="0"/>
        <v>100</v>
      </c>
      <c r="T15" s="774" t="s">
        <v>21</v>
      </c>
      <c r="U15" s="775">
        <f t="shared" si="1"/>
        <v>100</v>
      </c>
      <c r="V15" s="774" t="s">
        <v>21</v>
      </c>
      <c r="W15" s="775">
        <f t="shared" si="2"/>
        <v>100</v>
      </c>
      <c r="X15" s="1816"/>
      <c r="Y15" s="3172"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33"/>
      <c r="Q16" s="1813"/>
      <c r="R16" s="774"/>
      <c r="S16" s="775"/>
      <c r="T16" s="774"/>
      <c r="U16" s="775"/>
      <c r="V16" s="774"/>
      <c r="W16" s="775"/>
      <c r="X16" s="1816"/>
      <c r="Y16" s="3173"/>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3"/>
      <c r="Q17" s="1813" t="str">
        <f>B17</f>
        <v>交通便捷度</v>
      </c>
      <c r="R17" s="774" t="s">
        <v>21</v>
      </c>
      <c r="S17" s="775">
        <f>F17</f>
        <v>100</v>
      </c>
      <c r="T17" s="774" t="s">
        <v>21</v>
      </c>
      <c r="U17" s="775">
        <f>H17</f>
        <v>100</v>
      </c>
      <c r="V17" s="774" t="s">
        <v>21</v>
      </c>
      <c r="W17" s="775">
        <f>J17</f>
        <v>100</v>
      </c>
      <c r="X17" s="1816"/>
      <c r="Y17" s="317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33"/>
      <c r="Q18" s="1813"/>
      <c r="R18" s="774"/>
      <c r="S18" s="775"/>
      <c r="T18" s="774"/>
      <c r="U18" s="775"/>
      <c r="V18" s="774"/>
      <c r="W18" s="775"/>
      <c r="X18" s="1816"/>
      <c r="Y18" s="3173"/>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3"/>
      <c r="Q19" s="1813" t="str">
        <f>B19</f>
        <v>公共配套设施</v>
      </c>
      <c r="R19" s="774" t="s">
        <v>21</v>
      </c>
      <c r="S19" s="775">
        <f>F19</f>
        <v>100</v>
      </c>
      <c r="T19" s="774" t="s">
        <v>21</v>
      </c>
      <c r="U19" s="775">
        <f>H19</f>
        <v>100</v>
      </c>
      <c r="V19" s="774" t="s">
        <v>21</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33"/>
      <c r="Q20" s="1813"/>
      <c r="R20" s="774"/>
      <c r="S20" s="775"/>
      <c r="T20" s="774"/>
      <c r="U20" s="775"/>
      <c r="V20" s="774"/>
      <c r="W20" s="775"/>
      <c r="X20" s="1816"/>
      <c r="Y20" s="3173"/>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3"/>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33"/>
      <c r="Q22" s="1813"/>
      <c r="R22" s="774"/>
      <c r="S22" s="775"/>
      <c r="T22" s="774"/>
      <c r="U22" s="775"/>
      <c r="V22" s="774"/>
      <c r="W22" s="775"/>
      <c r="X22" s="1816"/>
      <c r="Y22" s="3173"/>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3"/>
      <c r="Q23" s="1813" t="str">
        <f>B23</f>
        <v>自然及人文环境</v>
      </c>
      <c r="R23" s="774" t="s">
        <v>21</v>
      </c>
      <c r="S23" s="775">
        <f>F23</f>
        <v>100</v>
      </c>
      <c r="T23" s="774" t="s">
        <v>21</v>
      </c>
      <c r="U23" s="775">
        <f>H23</f>
        <v>100</v>
      </c>
      <c r="V23" s="774" t="s">
        <v>21</v>
      </c>
      <c r="W23" s="775">
        <f>J23</f>
        <v>100</v>
      </c>
      <c r="X23" s="1816"/>
      <c r="Y23" s="317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33"/>
      <c r="Q24" s="1813"/>
      <c r="R24" s="774"/>
      <c r="S24" s="775"/>
      <c r="T24" s="774"/>
      <c r="U24" s="775"/>
      <c r="V24" s="774"/>
      <c r="W24" s="775"/>
      <c r="X24" s="1816"/>
      <c r="Y24" s="3173"/>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3"/>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3"/>
      <c r="Q26" s="1813" t="str">
        <f t="shared" si="11"/>
        <v>朝向</v>
      </c>
      <c r="R26" s="774" t="s">
        <v>21</v>
      </c>
      <c r="S26" s="775">
        <f t="shared" si="12"/>
        <v>100</v>
      </c>
      <c r="T26" s="774" t="s">
        <v>21</v>
      </c>
      <c r="U26" s="775">
        <f t="shared" si="13"/>
        <v>100</v>
      </c>
      <c r="V26" s="774" t="s">
        <v>21</v>
      </c>
      <c r="W26" s="775">
        <f t="shared" si="14"/>
        <v>100</v>
      </c>
      <c r="X26" s="1816"/>
      <c r="Y26" s="3173"/>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3"/>
      <c r="Q27" s="1798">
        <f t="shared" si="11"/>
        <v>111</v>
      </c>
      <c r="R27" s="770" t="s">
        <v>21</v>
      </c>
      <c r="S27" s="771">
        <f t="shared" si="12"/>
        <v>100</v>
      </c>
      <c r="T27" s="770" t="s">
        <v>21</v>
      </c>
      <c r="U27" s="771">
        <f t="shared" si="13"/>
        <v>100</v>
      </c>
      <c r="V27" s="770" t="s">
        <v>21</v>
      </c>
      <c r="W27" s="771">
        <f t="shared" si="14"/>
        <v>100</v>
      </c>
      <c r="X27" s="772"/>
      <c r="Y27" s="3173"/>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3"/>
      <c r="Q28" s="1813">
        <f t="shared" si="11"/>
        <v>111</v>
      </c>
      <c r="R28" s="774" t="s">
        <v>21</v>
      </c>
      <c r="S28" s="775">
        <f t="shared" si="12"/>
        <v>100</v>
      </c>
      <c r="T28" s="774" t="s">
        <v>21</v>
      </c>
      <c r="U28" s="775">
        <f t="shared" si="13"/>
        <v>100</v>
      </c>
      <c r="V28" s="774" t="s">
        <v>21</v>
      </c>
      <c r="W28" s="775">
        <f t="shared" si="14"/>
        <v>100</v>
      </c>
      <c r="X28" s="1816"/>
      <c r="Y28" s="3173"/>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3"/>
      <c r="Q29" s="1813">
        <f t="shared" si="11"/>
        <v>111</v>
      </c>
      <c r="R29" s="774" t="s">
        <v>21</v>
      </c>
      <c r="S29" s="775">
        <f t="shared" si="12"/>
        <v>100</v>
      </c>
      <c r="T29" s="774" t="s">
        <v>21</v>
      </c>
      <c r="U29" s="775">
        <f t="shared" si="13"/>
        <v>100</v>
      </c>
      <c r="V29" s="774" t="s">
        <v>21</v>
      </c>
      <c r="W29" s="775">
        <f t="shared" si="14"/>
        <v>100</v>
      </c>
      <c r="X29" s="1816"/>
      <c r="Y29" s="3173"/>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3"/>
      <c r="Q30" s="1813">
        <f t="shared" si="11"/>
        <v>111</v>
      </c>
      <c r="R30" s="774" t="s">
        <v>21</v>
      </c>
      <c r="S30" s="775">
        <f t="shared" si="12"/>
        <v>100</v>
      </c>
      <c r="T30" s="774" t="s">
        <v>21</v>
      </c>
      <c r="U30" s="775">
        <f t="shared" si="13"/>
        <v>100</v>
      </c>
      <c r="V30" s="774" t="s">
        <v>21</v>
      </c>
      <c r="W30" s="775">
        <f t="shared" si="14"/>
        <v>100</v>
      </c>
      <c r="X30" s="1816"/>
      <c r="Y30" s="3173"/>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3"/>
      <c r="Q31" s="1813">
        <f t="shared" si="11"/>
        <v>111</v>
      </c>
      <c r="R31" s="774" t="s">
        <v>21</v>
      </c>
      <c r="S31" s="775">
        <f t="shared" si="12"/>
        <v>100</v>
      </c>
      <c r="T31" s="774" t="s">
        <v>21</v>
      </c>
      <c r="U31" s="775">
        <f t="shared" si="13"/>
        <v>100</v>
      </c>
      <c r="V31" s="774" t="s">
        <v>21</v>
      </c>
      <c r="W31" s="775">
        <f t="shared" si="14"/>
        <v>100</v>
      </c>
      <c r="X31" s="1816"/>
      <c r="Y31" s="3173"/>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8" t="s">
        <v>2564</v>
      </c>
      <c r="Q32" s="1813" t="str">
        <f t="shared" si="11"/>
        <v>建筑类型</v>
      </c>
      <c r="R32" s="774" t="s">
        <v>21</v>
      </c>
      <c r="S32" s="775">
        <f t="shared" si="12"/>
        <v>100</v>
      </c>
      <c r="T32" s="774" t="s">
        <v>21</v>
      </c>
      <c r="U32" s="775">
        <f t="shared" si="13"/>
        <v>100</v>
      </c>
      <c r="V32" s="774" t="s">
        <v>21</v>
      </c>
      <c r="W32" s="775">
        <f t="shared" si="14"/>
        <v>100</v>
      </c>
      <c r="X32" s="1816"/>
      <c r="Y32" s="3175"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229"/>
      <c r="Q33" s="776" t="str">
        <f t="shared" si="11"/>
        <v>项目建筑规模</v>
      </c>
      <c r="R33" s="777" t="s">
        <v>21</v>
      </c>
      <c r="S33" s="778">
        <f t="shared" si="12"/>
        <v>100</v>
      </c>
      <c r="T33" s="777" t="s">
        <v>21</v>
      </c>
      <c r="U33" s="778">
        <f t="shared" si="13"/>
        <v>100</v>
      </c>
      <c r="V33" s="777" t="s">
        <v>21</v>
      </c>
      <c r="W33" s="778">
        <f t="shared" si="14"/>
        <v>100</v>
      </c>
      <c r="X33" s="779"/>
      <c r="Y33" s="3175"/>
      <c r="Z33" s="780" t="str">
        <f t="shared" si="18"/>
        <v>项目建筑规模</v>
      </c>
      <c r="AA33" s="1814">
        <f t="shared" si="15"/>
        <v>1</v>
      </c>
      <c r="AB33" s="1814">
        <f t="shared" si="16"/>
        <v>1</v>
      </c>
      <c r="AC33" s="1814">
        <f t="shared" si="17"/>
        <v>1</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9"/>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9"/>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9"/>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9"/>
      <c r="Q37" s="179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9" t="s">
        <v>2564</v>
      </c>
      <c r="Q38" s="1813" t="str">
        <f t="shared" si="11"/>
        <v>物业管理</v>
      </c>
      <c r="R38" s="774" t="s">
        <v>21</v>
      </c>
      <c r="S38" s="775">
        <f t="shared" si="12"/>
        <v>100</v>
      </c>
      <c r="T38" s="774" t="s">
        <v>21</v>
      </c>
      <c r="U38" s="775">
        <f t="shared" si="13"/>
        <v>100</v>
      </c>
      <c r="V38" s="774" t="s">
        <v>21</v>
      </c>
      <c r="W38" s="775">
        <f t="shared" si="14"/>
        <v>100</v>
      </c>
      <c r="X38" s="1816"/>
      <c r="Y38" s="3175"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9"/>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9"/>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9"/>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9"/>
      <c r="Q42" s="1813" t="str">
        <f t="shared" si="11"/>
        <v>内部装修</v>
      </c>
      <c r="R42" s="774" t="s">
        <v>21</v>
      </c>
      <c r="S42" s="775">
        <f t="shared" si="12"/>
        <v>100</v>
      </c>
      <c r="T42" s="774" t="s">
        <v>21</v>
      </c>
      <c r="U42" s="775">
        <f t="shared" si="13"/>
        <v>100</v>
      </c>
      <c r="V42" s="774" t="s">
        <v>21</v>
      </c>
      <c r="W42" s="775">
        <f t="shared" si="14"/>
        <v>100</v>
      </c>
      <c r="X42" s="1816"/>
      <c r="Y42" s="3175"/>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9"/>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9"/>
      <c r="Q44" s="179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9"/>
      <c r="Q45" s="1813">
        <f t="shared" si="11"/>
        <v>111</v>
      </c>
      <c r="R45" s="774" t="s">
        <v>21</v>
      </c>
      <c r="S45" s="775">
        <f t="shared" si="12"/>
        <v>100</v>
      </c>
      <c r="T45" s="774" t="s">
        <v>21</v>
      </c>
      <c r="U45" s="775">
        <f t="shared" si="13"/>
        <v>100</v>
      </c>
      <c r="V45" s="774" t="s">
        <v>21</v>
      </c>
      <c r="W45" s="775">
        <f t="shared" si="14"/>
        <v>100</v>
      </c>
      <c r="X45" s="1816"/>
      <c r="Y45" s="3175"/>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30"/>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2576</v>
      </c>
      <c r="B47" s="480"/>
      <c r="C47" s="1409" t="s">
        <v>19</v>
      </c>
      <c r="D47" s="1410"/>
      <c r="E47" s="1411"/>
      <c r="F47" s="1412"/>
      <c r="G47" s="1413"/>
      <c r="H47" s="1414"/>
      <c r="I47" s="1411"/>
      <c r="J47" s="1414"/>
      <c r="K47" s="2624"/>
      <c r="L47" s="1145"/>
      <c r="M47" s="1146"/>
      <c r="N47" s="1133"/>
      <c r="O47" s="1146"/>
      <c r="P47" s="3170" t="str">
        <f>A47</f>
        <v>成交单价（元/平方米）</v>
      </c>
      <c r="Q47" s="3170"/>
      <c r="R47" s="3227">
        <f>E47</f>
        <v>0</v>
      </c>
      <c r="S47" s="3227"/>
      <c r="T47" s="3227">
        <f>G47</f>
        <v>0</v>
      </c>
      <c r="U47" s="3227"/>
      <c r="V47" s="3227">
        <f>I47</f>
        <v>0</v>
      </c>
      <c r="W47" s="3227"/>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5"/>
      <c r="L48" s="1145"/>
      <c r="M48" s="1146"/>
      <c r="N48" s="1146"/>
      <c r="O48" s="1146"/>
      <c r="P48" s="3170" t="str">
        <f>A48</f>
        <v>比较价值（元/平方米）</v>
      </c>
      <c r="Q48" s="317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6"/>
      <c r="L49" s="1145"/>
      <c r="M49" s="1146"/>
      <c r="N49" s="1146"/>
      <c r="O49" s="1146"/>
      <c r="P49" s="3164" t="str">
        <f>A49</f>
        <v>估价对象XX用房的比较价值（楼面单价，元/平方米）</v>
      </c>
      <c r="Q49" s="3165"/>
      <c r="R49" s="3226" t="e">
        <f>IF(F1="售价",ROUND(AVERAGE(R48:V48),0),ROUND(AVERAGE(R48:V48),1))</f>
        <v>#DIV/0!</v>
      </c>
      <c r="S49" s="3226"/>
      <c r="T49" s="3226"/>
      <c r="U49" s="3226"/>
      <c r="V49" s="3226"/>
      <c r="W49" s="322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2582</v>
      </c>
      <c r="B57" s="759"/>
      <c r="C57" s="764"/>
      <c r="D57" s="764"/>
      <c r="E57" s="764"/>
      <c r="F57" s="765"/>
      <c r="G57" s="765"/>
      <c r="H57" s="764"/>
      <c r="I57" s="764"/>
      <c r="J57" s="764"/>
      <c r="K57" s="1162"/>
      <c r="L57" s="1163"/>
      <c r="M57" s="1161"/>
      <c r="N57" s="1161"/>
      <c r="O57" s="1161"/>
      <c r="P57" s="2629"/>
      <c r="Q57" s="504"/>
    </row>
    <row r="58" spans="1:29" s="508" customFormat="1" ht="15">
      <c r="A58" s="505" t="s">
        <v>2583</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2603</v>
      </c>
      <c r="D82" s="539" t="s">
        <v>2604</v>
      </c>
      <c r="E82" s="539" t="s">
        <v>2605</v>
      </c>
      <c r="F82" s="539" t="s">
        <v>2606</v>
      </c>
      <c r="G82" s="539" t="s">
        <v>2607</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2609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2610</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2562</v>
      </c>
      <c r="B100" s="528" t="s">
        <v>2611</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2612</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2614</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2615</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2616</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2617</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2618</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6">
        <v>6</v>
      </c>
      <c r="C139" s="1087">
        <v>96</v>
      </c>
      <c r="D139" s="2651" t="s">
        <v>2630</v>
      </c>
      <c r="E139" s="1088">
        <v>100</v>
      </c>
      <c r="F139" s="1089">
        <v>102.5</v>
      </c>
      <c r="G139" s="2651" t="s">
        <v>2630</v>
      </c>
      <c r="H139" s="1090">
        <v>105</v>
      </c>
      <c r="I139" s="2652" t="s">
        <v>2631</v>
      </c>
      <c r="J139" s="1087">
        <v>20</v>
      </c>
      <c r="K139" s="1091">
        <f>C145/(J139-2)</f>
        <v>4.0555555555555553E-3</v>
      </c>
    </row>
    <row r="140" spans="1:17" ht="15">
      <c r="B140" s="1092">
        <v>5</v>
      </c>
      <c r="C140" s="1093">
        <v>100</v>
      </c>
      <c r="D140" s="1093"/>
      <c r="E140" s="1094"/>
      <c r="F140" s="1095">
        <v>102</v>
      </c>
      <c r="G140" s="1093"/>
      <c r="H140" s="1096"/>
      <c r="I140" s="2653" t="s">
        <v>2632</v>
      </c>
      <c r="J140" s="315">
        <f>ROUNDUP((J139-1)/2,0)</f>
        <v>10</v>
      </c>
      <c r="K140" s="1097">
        <v>100</v>
      </c>
    </row>
    <row r="141" spans="1:17" ht="15">
      <c r="B141" s="1092">
        <v>4</v>
      </c>
      <c r="C141" s="1093">
        <v>102</v>
      </c>
      <c r="D141" s="1093"/>
      <c r="E141" s="1094"/>
      <c r="F141" s="1095">
        <v>101.5</v>
      </c>
      <c r="G141" s="1093"/>
      <c r="H141" s="1096"/>
      <c r="I141" s="2653" t="s">
        <v>2633</v>
      </c>
      <c r="J141" s="315">
        <v>1</v>
      </c>
      <c r="K141" s="1098">
        <f>ROUND(100+(J141-J140)*K139*100,1)</f>
        <v>96.4</v>
      </c>
    </row>
    <row r="142" spans="1:17" ht="15">
      <c r="B142" s="1092">
        <v>3</v>
      </c>
      <c r="C142" s="1093">
        <v>103</v>
      </c>
      <c r="D142" s="1093"/>
      <c r="E142" s="1094"/>
      <c r="F142" s="1095">
        <v>101</v>
      </c>
      <c r="G142" s="1093"/>
      <c r="H142" s="1096"/>
      <c r="I142" s="2653" t="s">
        <v>2634</v>
      </c>
      <c r="J142" s="315">
        <f>J139</f>
        <v>20</v>
      </c>
      <c r="K142" s="1099">
        <v>95</v>
      </c>
    </row>
    <row r="143" spans="1:17" ht="15">
      <c r="B143" s="1092">
        <v>2</v>
      </c>
      <c r="C143" s="1093">
        <v>100</v>
      </c>
      <c r="D143" s="1093"/>
      <c r="E143" s="1094"/>
      <c r="F143" s="1095">
        <v>100.5</v>
      </c>
      <c r="G143" s="1093"/>
      <c r="H143" s="1096"/>
      <c r="I143" s="2653" t="s">
        <v>2635</v>
      </c>
      <c r="J143" s="1093">
        <v>15</v>
      </c>
      <c r="K143" s="1098">
        <f>ROUND(100+(J143-J140)*K139*100,1)</f>
        <v>102</v>
      </c>
    </row>
    <row r="144" spans="1:17" ht="15">
      <c r="B144" s="1092">
        <v>1</v>
      </c>
      <c r="C144" s="1093">
        <v>98</v>
      </c>
      <c r="D144" s="2654" t="s">
        <v>2636</v>
      </c>
      <c r="E144" s="1094">
        <v>102</v>
      </c>
      <c r="F144" s="1100">
        <v>100</v>
      </c>
      <c r="G144" s="2654" t="s">
        <v>2636</v>
      </c>
      <c r="H144" s="1096">
        <v>105</v>
      </c>
      <c r="I144" s="2653" t="s">
        <v>2635</v>
      </c>
      <c r="J144" s="1093">
        <v>18</v>
      </c>
      <c r="K144" s="1098">
        <f>ROUND(100+(J144-J140)*K139*100,1)</f>
        <v>103.2</v>
      </c>
    </row>
    <row r="145" spans="2:11" ht="15.75" thickBot="1">
      <c r="B145" s="2655" t="s">
        <v>2637</v>
      </c>
      <c r="C145" s="1101">
        <f>ROUND(MAX(C139:C144)/MIN(C139:C144)-1,3)</f>
        <v>7.2999999999999995E-2</v>
      </c>
      <c r="D145" s="1102"/>
      <c r="E145" s="1102"/>
      <c r="F145" s="2656" t="s">
        <v>2638</v>
      </c>
      <c r="G145" s="2657"/>
      <c r="H145" s="2658"/>
      <c r="I145" s="2659" t="s">
        <v>2635</v>
      </c>
      <c r="J145" s="1103">
        <v>8</v>
      </c>
      <c r="K145" s="1104">
        <f>ROUND(100+(J145-J140)*K139*100,1)</f>
        <v>99.2</v>
      </c>
    </row>
    <row r="147" spans="2:11">
      <c r="B147" s="2640" t="s">
        <v>2639</v>
      </c>
    </row>
    <row r="148" spans="2:11">
      <c r="B148" s="264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3" t="s">
        <v>3077</v>
      </c>
      <c r="E1" s="1824" t="s">
        <v>1388</v>
      </c>
      <c r="F1" s="1285">
        <f ca="1">J53</f>
        <v>24.09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16981</v>
      </c>
      <c r="C2" s="1848" t="s">
        <v>1518</v>
      </c>
      <c r="D2" s="1848"/>
      <c r="E2" s="1849"/>
      <c r="F2" s="1850"/>
      <c r="G2" s="1851"/>
      <c r="H2" s="1843"/>
      <c r="I2" s="1843"/>
      <c r="J2" s="1843"/>
      <c r="K2" s="1844"/>
      <c r="L2" s="1843"/>
      <c r="M2" s="1843"/>
    </row>
    <row r="3" spans="1:37" ht="18" customHeight="1" thickBot="1">
      <c r="A3" s="1852" t="s">
        <v>1519</v>
      </c>
      <c r="B3" s="1853">
        <f ca="1">IF(ISERROR(B2*10000/F43),0,ROUND(B2*10000/F43,0))</f>
        <v>30218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1159</v>
      </c>
      <c r="D5" s="1825" t="s">
        <v>1403</v>
      </c>
      <c r="E5" s="1295"/>
      <c r="F5" s="1296"/>
      <c r="G5" s="1854"/>
      <c r="H5" s="344">
        <v>1</v>
      </c>
      <c r="I5" s="345" t="s">
        <v>1402</v>
      </c>
      <c r="J5" s="1294">
        <f ca="1">J6+J10+J12</f>
        <v>0</v>
      </c>
      <c r="K5" s="1825" t="s">
        <v>1403</v>
      </c>
      <c r="L5" s="1295"/>
      <c r="M5" s="1296"/>
    </row>
    <row r="6" spans="1:37" ht="18" customHeight="1">
      <c r="A6" s="1293" t="s">
        <v>1035</v>
      </c>
      <c r="B6" s="3236" t="s">
        <v>1404</v>
      </c>
      <c r="C6" s="1298">
        <f ca="1">ROUND(F6*F8*F7*(1-F9)/10000,0)</f>
        <v>1157</v>
      </c>
      <c r="D6" s="164" t="s">
        <v>3033</v>
      </c>
      <c r="E6" s="347" t="s">
        <v>1406</v>
      </c>
      <c r="F6" s="348">
        <f ca="1">INDIRECT("'数据-取费表'!u"&amp;$G$1)</f>
        <v>6.27</v>
      </c>
      <c r="G6" s="1854"/>
      <c r="H6" s="1293" t="s">
        <v>1035</v>
      </c>
      <c r="I6" s="3236" t="s">
        <v>1404</v>
      </c>
      <c r="J6" s="346">
        <f ca="1">ROUND(M6*M8*M7*(1-M9)/10000,0)</f>
        <v>0</v>
      </c>
      <c r="K6" s="164" t="s">
        <v>3032</v>
      </c>
      <c r="L6" s="347" t="s">
        <v>1406</v>
      </c>
      <c r="M6" s="348">
        <f ca="1">INDIRECT("'数据-取费表'!z"&amp;$G$1)</f>
        <v>0</v>
      </c>
    </row>
    <row r="7" spans="1:37" ht="18" customHeight="1">
      <c r="A7" s="1297"/>
      <c r="B7" s="3237"/>
      <c r="C7" s="1299"/>
      <c r="D7" s="352"/>
      <c r="E7" s="1300" t="s">
        <v>1407</v>
      </c>
      <c r="F7" s="348">
        <f ca="1">IF(INDIRECT("'数据-取费表'!ah"&amp;$G$1)="",INDIRECT("'数据-取费表'!k"&amp;$G$1),INDIRECT("'数据-取费表'!ah"&amp;$G$1))</f>
        <v>5619.58</v>
      </c>
      <c r="G7" s="1854"/>
      <c r="H7" s="349"/>
      <c r="I7" s="3237"/>
      <c r="J7" s="351"/>
      <c r="K7" s="352"/>
      <c r="L7" s="347" t="s">
        <v>1407</v>
      </c>
      <c r="M7" s="348">
        <f ca="1">F7</f>
        <v>5619.58</v>
      </c>
    </row>
    <row r="8" spans="1:37" ht="18" customHeight="1">
      <c r="A8" s="349"/>
      <c r="B8" s="3237"/>
      <c r="C8" s="351"/>
      <c r="D8" s="352"/>
      <c r="E8" s="347" t="s">
        <v>1408</v>
      </c>
      <c r="F8" s="348">
        <f ca="1">INDIRECT("'数据-取费表'!ai"&amp;$G$1)</f>
        <v>365</v>
      </c>
      <c r="G8" s="1854"/>
      <c r="H8" s="349"/>
      <c r="I8" s="3237"/>
      <c r="J8" s="351"/>
      <c r="K8" s="352"/>
      <c r="L8" s="347" t="s">
        <v>1408</v>
      </c>
      <c r="M8" s="348">
        <f ca="1">INDIRECT("'数据-取费表'!ai"&amp;$G$1)</f>
        <v>365</v>
      </c>
    </row>
    <row r="9" spans="1:37" ht="18" customHeight="1">
      <c r="A9" s="349"/>
      <c r="B9" s="3238"/>
      <c r="C9" s="351"/>
      <c r="D9" s="352"/>
      <c r="E9" s="347" t="s">
        <v>1409</v>
      </c>
      <c r="F9" s="357">
        <f ca="1">INDIRECT("'数据-取费表'!w"&amp;$G$1)</f>
        <v>0.1</v>
      </c>
      <c r="G9" s="1854"/>
      <c r="H9" s="349"/>
      <c r="I9" s="323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2</v>
      </c>
      <c r="D10" s="1827" t="s">
        <v>3034</v>
      </c>
      <c r="E10" s="358" t="s">
        <v>1412</v>
      </c>
      <c r="F10" s="1368" t="s">
        <v>3049</v>
      </c>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2312</v>
      </c>
      <c r="D13" s="1333" t="s">
        <v>1417</v>
      </c>
      <c r="E13" s="1333" t="s">
        <v>1418</v>
      </c>
      <c r="F13" s="1334">
        <f ca="1">INDIRECT("'数据-取费表'!y"&amp;$G$1)</f>
        <v>1</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1405</v>
      </c>
      <c r="D14" s="1803" t="s">
        <v>1420</v>
      </c>
      <c r="E14" s="1797"/>
      <c r="F14" s="364"/>
      <c r="G14" s="1854"/>
      <c r="H14" s="1203" t="s">
        <v>1035</v>
      </c>
      <c r="I14" s="347" t="s">
        <v>1421</v>
      </c>
      <c r="J14" s="24">
        <f ca="1">C29</f>
        <v>2312</v>
      </c>
      <c r="K14" s="15"/>
      <c r="L14" s="981"/>
      <c r="M14" s="982"/>
    </row>
    <row r="15" spans="1:37" s="1861" customFormat="1" ht="18" customHeight="1" thickBot="1">
      <c r="A15" s="1203" t="s">
        <v>1036</v>
      </c>
      <c r="B15" s="347" t="s">
        <v>1422</v>
      </c>
      <c r="C15" s="24">
        <f ca="1">ROUND(C14*F15,0)</f>
        <v>56</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54</v>
      </c>
      <c r="K16" s="1339" t="s">
        <v>1427</v>
      </c>
      <c r="L16" s="1340"/>
      <c r="M16" s="1296"/>
    </row>
    <row r="17" spans="1:37" s="1861" customFormat="1" ht="18" customHeight="1">
      <c r="A17" s="1203" t="s">
        <v>1391</v>
      </c>
      <c r="B17" s="347" t="s">
        <v>1428</v>
      </c>
      <c r="C17" s="24">
        <f ca="1">ROUND(F17*(F43+INDIRECT("'数据-取费表'!S"&amp;$G$1))/10000,0)</f>
        <v>112</v>
      </c>
      <c r="D17" s="347" t="s">
        <v>1429</v>
      </c>
      <c r="E17" s="347" t="s">
        <v>1430</v>
      </c>
      <c r="F17" s="26">
        <f>'数据-取费表'!B35</f>
        <v>200</v>
      </c>
      <c r="G17" s="1857"/>
      <c r="H17" s="1203" t="s">
        <v>1035</v>
      </c>
      <c r="I17" s="347" t="s">
        <v>1431</v>
      </c>
      <c r="J17" s="24">
        <f ca="1">ROUND(IF(项目基本情况!B11="自然人",J5*M17,J18+J19+J20),1)</f>
        <v>19.600000000000001</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21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1594</v>
      </c>
      <c r="D19" s="140" t="s">
        <v>1438</v>
      </c>
      <c r="E19" s="1821"/>
      <c r="F19" s="26"/>
      <c r="G19" s="1854"/>
      <c r="H19" s="1203" t="s">
        <v>1036</v>
      </c>
      <c r="I19" s="347" t="s">
        <v>1439</v>
      </c>
      <c r="J19" s="24">
        <f ca="1">IF(K19="按租金收入计税",ROUND(J5*M19,2),ROUND(C29*M19*0.7,2))</f>
        <v>19.420000000000002</v>
      </c>
      <c r="K19" s="1831" t="s">
        <v>1440</v>
      </c>
      <c r="L19" s="347" t="s">
        <v>1424</v>
      </c>
      <c r="M19" s="367">
        <f>IF(K19="按租金收入计税",'数据-取费表'!B51,'数据-取费表'!B50)</f>
        <v>1.2E-2</v>
      </c>
    </row>
    <row r="20" spans="1:37" s="1861" customFormat="1" ht="18" customHeight="1">
      <c r="A20" s="1203" t="s">
        <v>1039</v>
      </c>
      <c r="B20" s="347" t="s">
        <v>1441</v>
      </c>
      <c r="C20" s="24">
        <f ca="1">ROUND(C19*F20,0)</f>
        <v>32</v>
      </c>
      <c r="D20" s="369" t="s">
        <v>1442</v>
      </c>
      <c r="E20" s="347" t="s">
        <v>1424</v>
      </c>
      <c r="F20" s="367">
        <f>'数据-取费表'!B37</f>
        <v>0.02</v>
      </c>
      <c r="G20" s="1857"/>
      <c r="H20" s="1203" t="s">
        <v>1390</v>
      </c>
      <c r="I20" s="164" t="s">
        <v>1443</v>
      </c>
      <c r="J20" s="25">
        <f ca="1">ROUND(M20*M21/10000,2)</f>
        <v>0.18</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1220.22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34.700000000000003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-54</v>
      </c>
      <c r="K25" s="1347" t="s">
        <v>1466</v>
      </c>
      <c r="L25" s="1348"/>
      <c r="M25" s="1349"/>
    </row>
    <row r="26" spans="1:37">
      <c r="A26" s="1203" t="s">
        <v>1034</v>
      </c>
      <c r="B26" s="347" t="s">
        <v>1467</v>
      </c>
      <c r="C26" s="24">
        <f ca="1">ROUND((C19+C20)*F26,0)</f>
        <v>407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2312</v>
      </c>
      <c r="D29" s="1344"/>
      <c r="E29" s="1342"/>
      <c r="F29" s="1345"/>
      <c r="G29" s="1857"/>
      <c r="H29" s="380" t="s">
        <v>1033</v>
      </c>
      <c r="I29" s="381" t="s">
        <v>1481</v>
      </c>
      <c r="J29" s="382">
        <f ca="1">ROUND(J26/(1+F40)^F41,0)</f>
        <v>0</v>
      </c>
      <c r="K29" s="383" t="s">
        <v>1482</v>
      </c>
      <c r="L29" s="384"/>
      <c r="M29" s="385">
        <f ca="1">INDIRECT("'数据-取费表'!k"&amp;$G$1)</f>
        <v>5619.58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142</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80.3</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60.71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19.420000000000002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0.18</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1220.22</v>
      </c>
      <c r="G35" s="1854"/>
      <c r="H35" s="745"/>
      <c r="I35" s="1863"/>
      <c r="J35" s="1864"/>
      <c r="K35" s="1865"/>
      <c r="L35" s="1862"/>
      <c r="M35" s="1862"/>
    </row>
    <row r="36" spans="1:18" ht="18" customHeight="1">
      <c r="A36" s="1354" t="s">
        <v>1039</v>
      </c>
      <c r="B36" s="347" t="s">
        <v>1451</v>
      </c>
      <c r="C36" s="24">
        <f ca="1">ROUND(C29*F36,1)</f>
        <v>34.700000000000003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3.5</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23.2</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1017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16981</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24.09</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30218</v>
      </c>
      <c r="D43" s="383" t="s">
        <v>1490</v>
      </c>
      <c r="E43" s="384" t="s">
        <v>1491</v>
      </c>
      <c r="F43" s="385">
        <f ca="1">INDIRECT("'数据-取费表'!k"&amp;$G$1)</f>
        <v>5619.58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-17745</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3099</v>
      </c>
      <c r="K47" s="1885" t="s">
        <v>1529</v>
      </c>
      <c r="L47" s="1886">
        <f ca="1">INDIRECT("'数据-取费表'!d"&amp;$G$1)</f>
        <v>40</v>
      </c>
      <c r="M47" s="1841" t="str">
        <f>IF(ISNUMBER(FIND("住宅",C1)),"住宅","非住宅")</f>
        <v>非住宅</v>
      </c>
      <c r="O47" s="1887" t="s">
        <v>1040</v>
      </c>
      <c r="P47" s="1888" t="s">
        <v>1530</v>
      </c>
      <c r="Q47" s="1889">
        <f ca="1">C40+J29</f>
        <v>16981</v>
      </c>
      <c r="R47" s="1889" t="s">
        <v>1531</v>
      </c>
    </row>
    <row r="48" spans="1:18" s="1845" customFormat="1" ht="28.5" thickBot="1">
      <c r="A48" s="1362" t="s">
        <v>1135</v>
      </c>
      <c r="B48" s="345" t="s">
        <v>1402</v>
      </c>
      <c r="C48" s="1820">
        <f ca="1">C49+C53+C55</f>
        <v>0</v>
      </c>
      <c r="D48" s="1364"/>
      <c r="E48" s="1365"/>
      <c r="F48" s="1183"/>
      <c r="G48" s="792"/>
      <c r="H48" s="793"/>
      <c r="I48" s="1890" t="s">
        <v>1532</v>
      </c>
      <c r="J48" s="1891" t="s">
        <v>3100</v>
      </c>
      <c r="K48" s="1892" t="s">
        <v>1533</v>
      </c>
      <c r="L48" s="1893">
        <f ca="1">INDIRECT("'数据-取费表'!f"&amp;$G$1)</f>
        <v>24.29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v>2018</v>
      </c>
      <c r="K49" s="1892" t="s">
        <v>1537</v>
      </c>
      <c r="L49" s="1896"/>
      <c r="O49" s="1897" t="s">
        <v>1042</v>
      </c>
      <c r="P49" s="1888" t="s">
        <v>1538</v>
      </c>
      <c r="Q49" s="1889">
        <f ca="1">C29</f>
        <v>2312</v>
      </c>
      <c r="R49" s="1889" t="s">
        <v>1531</v>
      </c>
    </row>
    <row r="50" spans="1:18" s="1845" customFormat="1" ht="13.5" thickBot="1">
      <c r="A50" s="1197"/>
      <c r="B50" s="1200"/>
      <c r="C50" s="1370"/>
      <c r="D50" s="1174"/>
      <c r="E50" s="1279" t="s">
        <v>1407</v>
      </c>
      <c r="F50" s="1280">
        <f ca="1">F7</f>
        <v>5619.58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60</v>
      </c>
      <c r="K51" s="1903" t="s">
        <v>1543</v>
      </c>
      <c r="L51" s="1904">
        <f ca="1">ROUND(-PV(INDIRECT("'数据-取费表'!h"&amp;$G$1),L48,(C39-C13*C76),0),0)</f>
        <v>11554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24.09</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f ca="1">IF(M47="住宅",J51,IF(D1="——",MIN(J51,L48),IF(D1="在建（套用方法）",MIN(J51,L48-'数据-取费表'!B24),IF(D1="土地（套用方法）",MIN(J51,L48-'数据-取费表'!B20)))))</f>
        <v>24.09</v>
      </c>
      <c r="K53" s="3234" t="s">
        <v>1550</v>
      </c>
      <c r="L53" s="3235"/>
      <c r="O53" s="1887" t="s">
        <v>1046</v>
      </c>
      <c r="P53" s="1888" t="s">
        <v>1551</v>
      </c>
      <c r="Q53" s="1889">
        <f ca="1">Q47+Q48</f>
        <v>16981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2312</v>
      </c>
      <c r="D56" s="1917"/>
      <c r="E56" s="1918"/>
      <c r="F56" s="1910"/>
      <c r="I56" s="1919" t="s">
        <v>1556</v>
      </c>
      <c r="J56" s="1920" t="s">
        <v>3101</v>
      </c>
      <c r="K56" s="1890" t="s">
        <v>1557</v>
      </c>
      <c r="L56" s="1893" t="str">
        <f ca="1">IF(L48&lt;J51,"——",L48-J53)</f>
        <v>——</v>
      </c>
      <c r="O56" s="1887" t="s">
        <v>1040</v>
      </c>
      <c r="P56" s="1888" t="s">
        <v>1530</v>
      </c>
      <c r="Q56" s="1889">
        <f ca="1">C40+J29</f>
        <v>16981</v>
      </c>
      <c r="R56" s="1889" t="s">
        <v>1531</v>
      </c>
    </row>
    <row r="57" spans="1:18" s="1845" customFormat="1" ht="24.75" thickBot="1">
      <c r="A57" s="1921"/>
      <c r="B57" s="1171" t="s">
        <v>1480</v>
      </c>
      <c r="C57" s="282">
        <f ca="1">C29</f>
        <v>2312</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58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19.600000000000001</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19.420000000000002</v>
      </c>
      <c r="D61" s="1831" t="s">
        <v>1440</v>
      </c>
      <c r="E61" s="1171"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0.18</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16981</v>
      </c>
      <c r="R62" s="1889" t="s">
        <v>1047</v>
      </c>
    </row>
    <row r="63" spans="1:18" s="1845" customFormat="1" ht="13.5" thickBot="1">
      <c r="A63" s="372"/>
      <c r="B63" s="1177"/>
      <c r="C63" s="29"/>
      <c r="D63" s="1187"/>
      <c r="E63" s="1171" t="s">
        <v>1501</v>
      </c>
      <c r="F63" s="348">
        <f t="shared" ca="1" si="0"/>
        <v>1220.22</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34.700000000000003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3.5</v>
      </c>
      <c r="D65" s="1185" t="s">
        <v>1456</v>
      </c>
      <c r="E65" s="1171" t="s">
        <v>1457</v>
      </c>
      <c r="F65" s="376">
        <f t="shared" ca="1" si="0"/>
        <v>1.5E-3</v>
      </c>
      <c r="I65" s="1932" t="s">
        <v>1581</v>
      </c>
      <c r="J65" s="1933">
        <v>40</v>
      </c>
      <c r="K65" s="1933">
        <v>30</v>
      </c>
      <c r="L65" s="1933">
        <v>50</v>
      </c>
      <c r="M65" s="1935">
        <v>0.02</v>
      </c>
      <c r="O65" s="1887" t="s">
        <v>1040</v>
      </c>
      <c r="P65" s="1888" t="s">
        <v>1582</v>
      </c>
      <c r="Q65" s="1889">
        <f ca="1">C40+J29</f>
        <v>16981</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-58</v>
      </c>
      <c r="D67" s="1184" t="s">
        <v>1466</v>
      </c>
      <c r="E67" s="1189"/>
      <c r="F67" s="1190"/>
      <c r="O67" s="1897" t="s">
        <v>1042</v>
      </c>
      <c r="P67" s="1888" t="s">
        <v>1564</v>
      </c>
      <c r="Q67" s="1936">
        <f ca="1">L51</f>
        <v>11554</v>
      </c>
      <c r="R67" s="1889" t="s">
        <v>1584</v>
      </c>
    </row>
    <row r="68" spans="1:18" s="1845" customFormat="1" ht="16.5" thickBot="1">
      <c r="A68" s="1168" t="s">
        <v>1032</v>
      </c>
      <c r="B68" s="1169" t="s">
        <v>1487</v>
      </c>
      <c r="C68" s="346">
        <f ca="1">ROUND(C67*(1-((1+F70)/(1+F68))^F69)/(F68-F70),0)</f>
        <v>-764</v>
      </c>
      <c r="D68" s="1186" t="s">
        <v>1471</v>
      </c>
      <c r="E68" s="1171" t="s">
        <v>1472</v>
      </c>
      <c r="F68" s="357">
        <f ca="1">F40</f>
        <v>5.5E-2</v>
      </c>
      <c r="O68" s="1897" t="s">
        <v>1043</v>
      </c>
      <c r="P68" s="1937" t="s">
        <v>1585</v>
      </c>
      <c r="Q68" s="1889">
        <f ca="1">ROUND(Q69-Q70*Q71,0)</f>
        <v>832</v>
      </c>
      <c r="R68" s="1889" t="s">
        <v>1051</v>
      </c>
    </row>
    <row r="69" spans="1:18" s="1845" customFormat="1" ht="13.5" thickBot="1">
      <c r="A69" s="1172"/>
      <c r="B69" s="1173"/>
      <c r="C69" s="351"/>
      <c r="D69" s="1191" t="s">
        <v>1475</v>
      </c>
      <c r="E69" s="1171" t="s">
        <v>1476</v>
      </c>
      <c r="F69" s="379">
        <f ca="1">F41</f>
        <v>24.09</v>
      </c>
      <c r="O69" s="1897" t="s">
        <v>1048</v>
      </c>
      <c r="P69" s="1937" t="s">
        <v>1586</v>
      </c>
      <c r="Q69" s="1889">
        <f ca="1">C39</f>
        <v>1017</v>
      </c>
      <c r="R69" s="1889" t="s">
        <v>1531</v>
      </c>
    </row>
    <row r="70" spans="1:18" s="1845" customFormat="1" ht="13.5" thickBot="1">
      <c r="A70" s="1175"/>
      <c r="B70" s="1176"/>
      <c r="C70" s="355"/>
      <c r="D70" s="1187"/>
      <c r="E70" s="1171" t="s">
        <v>1479</v>
      </c>
      <c r="F70" s="1277"/>
      <c r="O70" s="1897" t="s">
        <v>1049</v>
      </c>
      <c r="P70" s="1937" t="s">
        <v>1587</v>
      </c>
      <c r="Q70" s="1889">
        <f ca="1">C13</f>
        <v>2312</v>
      </c>
      <c r="R70" s="1889" t="s">
        <v>1531</v>
      </c>
    </row>
    <row r="71" spans="1:18" s="1845" customFormat="1" ht="13.5" thickBot="1">
      <c r="A71" s="1192" t="s">
        <v>1033</v>
      </c>
      <c r="B71" s="1193" t="s">
        <v>1489</v>
      </c>
      <c r="C71" s="382">
        <f ca="1">ROUND(C68*10000/F71,0)</f>
        <v>-1360</v>
      </c>
      <c r="D71" s="1194" t="s">
        <v>1490</v>
      </c>
      <c r="E71" s="1195" t="s">
        <v>1491</v>
      </c>
      <c r="F71" s="385">
        <f ca="1">F43</f>
        <v>5619.58</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185</v>
      </c>
      <c r="D75" s="1845"/>
      <c r="E75" s="1845"/>
      <c r="F75" s="1845"/>
      <c r="K75" s="1871"/>
      <c r="L75" s="1845"/>
      <c r="O75" s="1887" t="s">
        <v>1046</v>
      </c>
      <c r="P75" s="1888" t="s">
        <v>1551</v>
      </c>
      <c r="Q75" s="1889">
        <f ca="1">Q65+Q66</f>
        <v>16981</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0.81800000000000006</v>
      </c>
    </row>
    <row r="80" spans="1:18">
      <c r="B80" s="386" t="s">
        <v>1513</v>
      </c>
      <c r="C80" s="318">
        <f ca="1">ROUND(C75/C39,3)</f>
        <v>0.182</v>
      </c>
    </row>
    <row r="81" spans="2:3">
      <c r="B81" s="314" t="s">
        <v>1514</v>
      </c>
      <c r="C81" s="282"/>
    </row>
    <row r="82" spans="2:3">
      <c r="B82" s="317" t="s">
        <v>1515</v>
      </c>
      <c r="C82" s="319">
        <f ca="1">1-C83</f>
        <v>0.86399999999999999</v>
      </c>
    </row>
    <row r="83" spans="2:3">
      <c r="B83" s="317" t="s">
        <v>1516</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6" t="s">
        <v>1404</v>
      </c>
      <c r="C6" s="1298">
        <f ca="1">ROUND(F6*F8*F7*(1-F9),0)</f>
        <v>0</v>
      </c>
      <c r="D6" s="164" t="s">
        <v>3028</v>
      </c>
      <c r="E6" s="347" t="s">
        <v>1406</v>
      </c>
      <c r="F6" s="348">
        <f ca="1">INDIRECT("'数据-取费表'!u"&amp;$G$1)</f>
        <v>0</v>
      </c>
      <c r="G6" s="1854"/>
      <c r="H6" s="1293" t="s">
        <v>1035</v>
      </c>
      <c r="I6" s="3236" t="s">
        <v>1404</v>
      </c>
      <c r="J6" s="346">
        <f ca="1">ROUND(M6*M8*M7*(1-M9),0)</f>
        <v>0</v>
      </c>
      <c r="K6" s="1837" t="s">
        <v>3031</v>
      </c>
      <c r="L6" s="347" t="s">
        <v>1406</v>
      </c>
      <c r="M6" s="348">
        <f ca="1">INDIRECT("'数据-取费表'!z"&amp;$G$1)</f>
        <v>0</v>
      </c>
    </row>
    <row r="7" spans="1:37" ht="18" customHeight="1">
      <c r="A7" s="1297"/>
      <c r="B7" s="3237"/>
      <c r="C7" s="1299"/>
      <c r="D7" s="352"/>
      <c r="E7" s="1300" t="s">
        <v>1407</v>
      </c>
      <c r="F7" s="348">
        <f ca="1">IF(INDIRECT("'数据-取费表'!ah"&amp;$G$1)="",INDIRECT("'数据-取费表'!k"&amp;$G$1),INDIRECT("'数据-取费表'!ah"&amp;$G$1))</f>
        <v>0</v>
      </c>
      <c r="G7" s="1854"/>
      <c r="H7" s="349"/>
      <c r="I7" s="3237"/>
      <c r="J7" s="351"/>
      <c r="K7" s="352"/>
      <c r="L7" s="347" t="s">
        <v>1407</v>
      </c>
      <c r="M7" s="348">
        <f ca="1">F7</f>
        <v>0</v>
      </c>
    </row>
    <row r="8" spans="1:37" ht="18" customHeight="1">
      <c r="A8" s="349"/>
      <c r="B8" s="3237"/>
      <c r="C8" s="351"/>
      <c r="D8" s="352"/>
      <c r="E8" s="347" t="s">
        <v>1408</v>
      </c>
      <c r="F8" s="348">
        <f ca="1">INDIRECT("'数据-取费表'!ai"&amp;$G$1)</f>
        <v>0</v>
      </c>
      <c r="G8" s="1854"/>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4"/>
      <c r="H9" s="349"/>
      <c r="I9" s="323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3029</v>
      </c>
      <c r="E10" s="358" t="s">
        <v>1412</v>
      </c>
      <c r="F10" s="1368"/>
      <c r="G10" s="1854"/>
      <c r="H10" s="1293" t="s">
        <v>1039</v>
      </c>
      <c r="I10" s="1826" t="s">
        <v>1410</v>
      </c>
      <c r="J10" s="346">
        <f ca="1">ROUND(IF(M10="押一",M6*M8*M7/12*M11,IF(M10="押二",M6*M8*M7/12*2*M11,IF(M10="押三",M6*M8*M7/12*3*M11,J11*M11))),0)</f>
        <v>0</v>
      </c>
      <c r="K10" s="1838" t="s">
        <v>3030</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4" t="s">
        <v>1550</v>
      </c>
      <c r="L53" s="3235"/>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2329</v>
      </c>
      <c r="B2" s="2568">
        <f ca="1">SUMIF(B6:B13,"&lt;&gt;#ref!",B6:B13)</f>
        <v>16981</v>
      </c>
      <c r="C2" s="2569" t="s">
        <v>2518</v>
      </c>
      <c r="D2" s="2570" t="s">
        <v>2519</v>
      </c>
      <c r="E2" s="2571">
        <f>SUM(E6:E13)</f>
        <v>5619.58</v>
      </c>
    </row>
    <row r="3" spans="1:6" ht="15.75">
      <c r="A3" s="2567" t="s">
        <v>1396</v>
      </c>
      <c r="B3" s="2568">
        <f ca="1">ROUND(B2*10000/E2,0)</f>
        <v>30218</v>
      </c>
      <c r="C3" s="2569" t="s">
        <v>2526</v>
      </c>
      <c r="D3" s="2572"/>
      <c r="E3" s="2573"/>
    </row>
    <row r="4" spans="1:6" ht="15.75">
      <c r="A4" s="2574"/>
      <c r="B4" s="2572"/>
      <c r="C4" s="2572"/>
      <c r="D4" s="2572"/>
      <c r="E4" s="2573"/>
    </row>
    <row r="5" spans="1:6" ht="15">
      <c r="A5" s="2575" t="s">
        <v>2520</v>
      </c>
      <c r="B5" s="3239" t="s">
        <v>2521</v>
      </c>
      <c r="C5" s="3239"/>
      <c r="D5" s="2576"/>
      <c r="E5" s="2577" t="s">
        <v>2522</v>
      </c>
      <c r="F5" s="2578" t="s">
        <v>2523</v>
      </c>
    </row>
    <row r="6" spans="1:6">
      <c r="A6" s="2579" t="str">
        <f>'数据-取费表'!AN6</f>
        <v>收益法</v>
      </c>
      <c r="B6" s="2578">
        <f ca="1">IF(F6="是",'数据-取费表'!AO6,0)</f>
        <v>16981</v>
      </c>
      <c r="C6" s="2569" t="s">
        <v>2518</v>
      </c>
      <c r="D6" s="2572"/>
      <c r="E6" s="2580">
        <f>IF(OR(A6=0,F6="否"),0,'数据-取费表'!K6+'数据-取费表'!S6)</f>
        <v>5619.58</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36">
      <c r="A4" s="1951" t="str">
        <f>"受贵公司委托，我公司对"&amp;项目基本情况!S1&amp;"进行了预评估。"</f>
        <v>受贵公司委托，我公司对北京市大兴区黄村镇兴华中路13号，商业娱乐出让国有建设用地使用权及在建建筑物房地产抵押价值进行了预评估。</v>
      </c>
    </row>
    <row r="5" spans="1:1" ht="18.75">
      <c r="A5" s="1952" t="s">
        <v>1614</v>
      </c>
    </row>
    <row r="6" spans="1:1" ht="18.75">
      <c r="A6" s="1953" t="s">
        <v>1615</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1" ht="57.75">
      <c r="A8" s="1954" t="s">
        <v>1616</v>
      </c>
    </row>
    <row r="9" spans="1:1" ht="18.75">
      <c r="A9" s="1953" t="s">
        <v>1617</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1" spans="1:1" ht="76.5">
      <c r="A11" s="1954" t="s">
        <v>1618</v>
      </c>
    </row>
    <row r="12" spans="1:1" ht="18.75">
      <c r="A12" s="1952" t="s">
        <v>1619</v>
      </c>
    </row>
    <row r="13" spans="1:1" ht="38.25" customHeight="1">
      <c r="A13" s="1955" t="str">
        <f>IF(项目基本情况!B8="抵押",IF(项目基本情况!B5=项目基本情况!B6,定义!C51,定义!B51),定义!D51)</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2018年1月5日（评估专业人员实地查勘之日）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303" t="s">
        <v>1079</v>
      </c>
      <c r="E2" s="1303" t="s">
        <v>1080</v>
      </c>
      <c r="F2" s="1303" t="s">
        <v>1081</v>
      </c>
      <c r="G2" s="1303" t="s">
        <v>1082</v>
      </c>
      <c r="H2" s="1303" t="s">
        <v>1083</v>
      </c>
      <c r="I2" s="1304" t="s">
        <v>1084</v>
      </c>
    </row>
    <row r="3" spans="1:9">
      <c r="A3" s="3246"/>
      <c r="B3" s="3247" t="s">
        <v>1085</v>
      </c>
      <c r="C3" s="3247"/>
      <c r="D3" s="1305"/>
      <c r="E3" s="1303"/>
      <c r="F3" s="1306"/>
      <c r="G3" s="1306"/>
      <c r="H3" s="1307"/>
      <c r="I3" s="1308">
        <f>ROUND(D3*E3*F3*G3*H3/10000,0)</f>
        <v>0</v>
      </c>
    </row>
    <row r="4" spans="1:9">
      <c r="A4" s="3246"/>
      <c r="B4" s="3247" t="s">
        <v>1086</v>
      </c>
      <c r="C4" s="3247"/>
      <c r="D4" s="1305"/>
      <c r="E4" s="1303"/>
      <c r="F4" s="1306"/>
      <c r="G4" s="1306"/>
      <c r="H4" s="1307"/>
      <c r="I4" s="1308">
        <f t="shared" ref="I4:I9" si="0">ROUND(D4*E4*F4*G4*H4/10000,0)</f>
        <v>0</v>
      </c>
    </row>
    <row r="5" spans="1:9">
      <c r="A5" s="3246"/>
      <c r="B5" s="3247" t="s">
        <v>1087</v>
      </c>
      <c r="C5" s="3247"/>
      <c r="D5" s="1305"/>
      <c r="E5" s="1303"/>
      <c r="F5" s="1306"/>
      <c r="G5" s="1306"/>
      <c r="H5" s="1307"/>
      <c r="I5" s="1308">
        <f t="shared" si="0"/>
        <v>0</v>
      </c>
    </row>
    <row r="6" spans="1:9">
      <c r="A6" s="3246"/>
      <c r="B6" s="3247" t="s">
        <v>1088</v>
      </c>
      <c r="C6" s="3247"/>
      <c r="D6" s="1305"/>
      <c r="E6" s="1303"/>
      <c r="F6" s="1306"/>
      <c r="G6" s="1306"/>
      <c r="H6" s="1307"/>
      <c r="I6" s="1308">
        <f t="shared" si="0"/>
        <v>0</v>
      </c>
    </row>
    <row r="7" spans="1:9">
      <c r="A7" s="3246"/>
      <c r="B7" s="3247" t="s">
        <v>1089</v>
      </c>
      <c r="C7" s="3247"/>
      <c r="D7" s="1305"/>
      <c r="E7" s="1303"/>
      <c r="F7" s="1306"/>
      <c r="G7" s="1306"/>
      <c r="H7" s="1307"/>
      <c r="I7" s="1308">
        <f t="shared" si="0"/>
        <v>0</v>
      </c>
    </row>
    <row r="8" spans="1:9">
      <c r="A8" s="3246"/>
      <c r="B8" s="3247" t="s">
        <v>1090</v>
      </c>
      <c r="C8" s="3247"/>
      <c r="D8" s="1305"/>
      <c r="E8" s="1303"/>
      <c r="F8" s="1306"/>
      <c r="G8" s="1306"/>
      <c r="H8" s="1307"/>
      <c r="I8" s="1308">
        <f t="shared" si="0"/>
        <v>0</v>
      </c>
    </row>
    <row r="9" spans="1:9">
      <c r="A9" s="3246"/>
      <c r="B9" s="3247" t="s">
        <v>1091</v>
      </c>
      <c r="C9" s="3247"/>
      <c r="D9" s="1305"/>
      <c r="E9" s="1303"/>
      <c r="F9" s="1306"/>
      <c r="G9" s="1306"/>
      <c r="H9" s="1307"/>
      <c r="I9" s="1308">
        <f t="shared" si="0"/>
        <v>0</v>
      </c>
    </row>
    <row r="10" spans="1:9">
      <c r="A10" s="3246"/>
      <c r="B10" s="3248" t="s">
        <v>1092</v>
      </c>
      <c r="C10" s="3248"/>
      <c r="D10" s="1309"/>
      <c r="E10" s="1309" t="e">
        <f>ROUND(D1*10000/D10/H9,0)</f>
        <v>#DIV/0!</v>
      </c>
      <c r="F10" s="1310"/>
      <c r="G10" s="1310"/>
      <c r="H10" s="1311"/>
      <c r="I10" s="1312">
        <f>SUM(I3:I9)</f>
        <v>0</v>
      </c>
    </row>
    <row r="11" spans="1:9" ht="14.25">
      <c r="A11" s="3246" t="s">
        <v>1093</v>
      </c>
      <c r="B11" s="3247" t="s">
        <v>1094</v>
      </c>
      <c r="C11" s="3247"/>
      <c r="D11" s="1305" t="s">
        <v>1095</v>
      </c>
      <c r="E11" s="1305" t="s">
        <v>1096</v>
      </c>
      <c r="F11" s="1306" t="s">
        <v>1097</v>
      </c>
      <c r="G11" s="1306" t="s">
        <v>1083</v>
      </c>
      <c r="H11" s="1313" t="s">
        <v>1098</v>
      </c>
      <c r="I11" s="1304" t="s">
        <v>1084</v>
      </c>
    </row>
    <row r="12" spans="1:9">
      <c r="A12" s="3246"/>
      <c r="B12" s="3247" t="s">
        <v>1099</v>
      </c>
      <c r="C12" s="3247"/>
      <c r="D12" s="1305"/>
      <c r="E12" s="1305"/>
      <c r="F12" s="1306"/>
      <c r="G12" s="1307"/>
      <c r="H12" s="1314"/>
      <c r="I12" s="1304">
        <f>ROUND(D12*E12*F12*G12/10000,0)</f>
        <v>0</v>
      </c>
    </row>
    <row r="13" spans="1:9">
      <c r="A13" s="3246"/>
      <c r="B13" s="3247" t="s">
        <v>1100</v>
      </c>
      <c r="C13" s="3247"/>
      <c r="D13" s="1305"/>
      <c r="E13" s="1305"/>
      <c r="F13" s="1306"/>
      <c r="G13" s="1307"/>
      <c r="H13" s="1314"/>
      <c r="I13" s="1304">
        <f>ROUND(D13*E13*F13*G13/10000,0)</f>
        <v>0</v>
      </c>
    </row>
    <row r="14" spans="1:9">
      <c r="A14" s="3246"/>
      <c r="B14" s="3247" t="s">
        <v>1101</v>
      </c>
      <c r="C14" s="3247"/>
      <c r="D14" s="1305"/>
      <c r="E14" s="1305"/>
      <c r="F14" s="1306"/>
      <c r="G14" s="1307"/>
      <c r="H14" s="1314"/>
      <c r="I14" s="1304">
        <f>ROUND(D14*E14*F14*G14/10000,0)</f>
        <v>0</v>
      </c>
    </row>
    <row r="15" spans="1:9">
      <c r="A15" s="3246"/>
      <c r="B15" s="3248" t="s">
        <v>1092</v>
      </c>
      <c r="C15" s="3248"/>
      <c r="D15" s="1309"/>
      <c r="E15" s="1309">
        <f>SUM(E12:E14)</f>
        <v>0</v>
      </c>
      <c r="F15" s="1310"/>
      <c r="G15" s="1307"/>
      <c r="H15" s="1314"/>
      <c r="I15" s="1315">
        <f>SUM(I12:I14)</f>
        <v>0</v>
      </c>
    </row>
    <row r="16" spans="1:9" ht="24">
      <c r="A16" s="3246" t="s">
        <v>1102</v>
      </c>
      <c r="B16" s="3247" t="s">
        <v>1103</v>
      </c>
      <c r="C16" s="3247"/>
      <c r="D16" s="1305" t="s">
        <v>1079</v>
      </c>
      <c r="E16" s="1316" t="s">
        <v>1104</v>
      </c>
      <c r="F16" s="1306" t="s">
        <v>1105</v>
      </c>
      <c r="G16" s="1307" t="s">
        <v>1083</v>
      </c>
      <c r="H16" s="1313" t="s">
        <v>1098</v>
      </c>
      <c r="I16" s="1304" t="s">
        <v>1084</v>
      </c>
    </row>
    <row r="17" spans="1:9" ht="14.25">
      <c r="A17" s="3246"/>
      <c r="B17" s="3247" t="s">
        <v>1106</v>
      </c>
      <c r="C17" s="3247"/>
      <c r="D17" s="1305"/>
      <c r="E17" s="1305"/>
      <c r="F17" s="1306"/>
      <c r="G17" s="1307"/>
      <c r="H17" s="1317"/>
      <c r="I17" s="1318">
        <f>ROUND(D17*E17*F17*G17/10000,0)</f>
        <v>0</v>
      </c>
    </row>
    <row r="18" spans="1:9" ht="14.25">
      <c r="A18" s="3246"/>
      <c r="B18" s="3247" t="s">
        <v>1107</v>
      </c>
      <c r="C18" s="3247"/>
      <c r="D18" s="1305"/>
      <c r="E18" s="1305"/>
      <c r="F18" s="1306"/>
      <c r="G18" s="1307"/>
      <c r="H18" s="1317"/>
      <c r="I18" s="1318">
        <f>ROUND(D18*E18*F18*G18/10000,0)</f>
        <v>0</v>
      </c>
    </row>
    <row r="19" spans="1:9" ht="14.25">
      <c r="A19" s="3246"/>
      <c r="B19" s="3247" t="s">
        <v>1108</v>
      </c>
      <c r="C19" s="3247"/>
      <c r="D19" s="1305"/>
      <c r="E19" s="1305"/>
      <c r="F19" s="1306"/>
      <c r="G19" s="1307"/>
      <c r="H19" s="1317"/>
      <c r="I19" s="1318">
        <f>ROUND(D19*E19*F19*G19/10000,0)</f>
        <v>0</v>
      </c>
    </row>
    <row r="20" spans="1:9">
      <c r="A20" s="3246"/>
      <c r="B20" s="3248" t="s">
        <v>1092</v>
      </c>
      <c r="C20" s="3248"/>
      <c r="D20" s="1309">
        <f>SUM(D17:D19)</f>
        <v>0</v>
      </c>
      <c r="E20" s="1309"/>
      <c r="F20" s="1310"/>
      <c r="G20" s="1307"/>
      <c r="H20" s="1314"/>
      <c r="I20" s="1315">
        <f>SUM(I17:I19)</f>
        <v>0</v>
      </c>
    </row>
    <row r="21" spans="1:9">
      <c r="A21" s="3246" t="s">
        <v>1109</v>
      </c>
      <c r="B21" s="3249"/>
      <c r="C21" s="3249"/>
      <c r="D21" s="3249"/>
      <c r="E21" s="3249"/>
      <c r="F21" s="3249"/>
      <c r="G21" s="3249"/>
      <c r="H21" s="1768">
        <v>0.1</v>
      </c>
      <c r="I21" s="1312">
        <f>ROUND(I10*H21,0)</f>
        <v>0</v>
      </c>
    </row>
    <row r="22" spans="1:9" ht="14.25">
      <c r="A22" s="3250" t="s">
        <v>1110</v>
      </c>
      <c r="B22" s="3251"/>
      <c r="C22" s="3252"/>
      <c r="D22" s="1319" t="s">
        <v>1111</v>
      </c>
      <c r="E22" s="1319" t="s">
        <v>1112</v>
      </c>
      <c r="F22" s="1320" t="s">
        <v>1113</v>
      </c>
      <c r="G22" s="1320" t="s">
        <v>1114</v>
      </c>
      <c r="H22" s="1313" t="s">
        <v>1115</v>
      </c>
      <c r="I22" s="1304" t="s">
        <v>1116</v>
      </c>
    </row>
    <row r="23" spans="1:9" ht="14.25" thickBot="1">
      <c r="A23" s="3253"/>
      <c r="B23" s="3254"/>
      <c r="C23" s="3255"/>
      <c r="D23" s="1321"/>
      <c r="E23" s="1321"/>
      <c r="F23" s="1321"/>
      <c r="G23" s="1322"/>
      <c r="H23" s="1323"/>
      <c r="I23" s="1324">
        <f>ROUND(E23*D23*F23*(1-G23)/10000,0)</f>
        <v>0</v>
      </c>
    </row>
    <row r="26" spans="1:9">
      <c r="A26" s="1325" t="s">
        <v>1117</v>
      </c>
      <c r="B26" s="1325"/>
      <c r="C26" s="1325"/>
      <c r="D26" s="1325"/>
      <c r="E26" s="3243">
        <f>C27-C30-C31-C32</f>
        <v>0</v>
      </c>
      <c r="F26" s="3243"/>
      <c r="G26" s="3243"/>
      <c r="H26" s="1740" t="s">
        <v>1341</v>
      </c>
    </row>
    <row r="27" spans="1:9">
      <c r="A27" s="1326">
        <v>1</v>
      </c>
      <c r="B27" s="1327" t="s">
        <v>1118</v>
      </c>
      <c r="C27" s="1327">
        <f>C28+C29</f>
        <v>0</v>
      </c>
      <c r="D27" s="1327"/>
      <c r="E27" s="3244"/>
      <c r="F27" s="3244"/>
      <c r="G27" s="3244"/>
    </row>
    <row r="28" spans="1:9">
      <c r="A28" s="1328" t="s">
        <v>1119</v>
      </c>
      <c r="B28" s="1327" t="s">
        <v>1120</v>
      </c>
      <c r="C28" s="1327"/>
      <c r="D28" s="1327"/>
      <c r="E28" s="3244"/>
      <c r="F28" s="3244"/>
      <c r="G28" s="324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5"/>
      <c r="F32" s="3245"/>
      <c r="G32" s="3245"/>
    </row>
    <row r="33" spans="1:7" hidden="1">
      <c r="A33" s="3240" t="s">
        <v>1129</v>
      </c>
      <c r="B33" s="3241"/>
      <c r="C33" s="3241"/>
      <c r="D33" s="3242"/>
      <c r="E33" s="3243"/>
      <c r="F33" s="3243"/>
      <c r="G33" s="3243"/>
    </row>
    <row r="34" spans="1:7" hidden="1">
      <c r="A34" s="1330">
        <v>1</v>
      </c>
      <c r="B34" s="1327" t="s">
        <v>1130</v>
      </c>
      <c r="C34" s="1327"/>
      <c r="D34" s="1327"/>
      <c r="E34" s="3244"/>
      <c r="F34" s="3244"/>
      <c r="G34" s="3244"/>
    </row>
    <row r="35" spans="1:7" hidden="1">
      <c r="A35" s="1330">
        <v>2</v>
      </c>
      <c r="B35" s="1327" t="s">
        <v>1131</v>
      </c>
      <c r="C35" s="1327"/>
      <c r="D35" s="1327"/>
      <c r="E35" s="3244"/>
      <c r="F35" s="3244"/>
      <c r="G35" s="3244"/>
    </row>
    <row r="36" spans="1:7" hidden="1">
      <c r="A36" s="1330">
        <v>3</v>
      </c>
      <c r="B36" s="1327" t="s">
        <v>1132</v>
      </c>
      <c r="C36" s="1327"/>
      <c r="D36" s="1327"/>
      <c r="E36" s="3244"/>
      <c r="F36" s="3244"/>
      <c r="G36" s="3244"/>
    </row>
    <row r="37" spans="1:7" hidden="1">
      <c r="A37" s="1330">
        <v>4</v>
      </c>
      <c r="B37" s="1327" t="s">
        <v>1133</v>
      </c>
      <c r="C37" s="1327"/>
      <c r="D37" s="1327"/>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0" t="e">
        <f ca="1">IF(C2="——",ROUND(C49*D3/10000,0),ROUND(C49*D3/10000,0)-D2)</f>
        <v>#DIV/0!</v>
      </c>
      <c r="C2" s="2589"/>
      <c r="D2" s="1367" t="e">
        <f ca="1">SUMIF(INDIRECT("'"&amp;F2&amp;"'"&amp;"!A:A"),"承租人权益价值",INDIRECT("'"&amp;F2&amp;"'"&amp;"!c:c"))</f>
        <v>#REF!</v>
      </c>
      <c r="E2" s="2590" t="s">
        <v>2330</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2331</v>
      </c>
      <c r="B3" s="609" t="e">
        <f ca="1">IF(C2="——",C49,ROUND(B2*10000/D3,0))</f>
        <v>#DIV/0!</v>
      </c>
      <c r="C3" s="400" t="s">
        <v>2643</v>
      </c>
      <c r="D3" s="399">
        <f>IF(D1="",'数据-汇总表'!E3,SUMIF('数据-汇总表'!$C19:$C33,D1,'数据-汇总表'!$E19:$E33))</f>
        <v>5619.58</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6" t="s">
        <v>2647</v>
      </c>
      <c r="AC4" s="3177" t="s">
        <v>2648</v>
      </c>
    </row>
    <row r="5" spans="1:29" ht="15">
      <c r="A5" s="404"/>
      <c r="B5" s="405"/>
      <c r="C5" s="3197" t="s">
        <v>2541</v>
      </c>
      <c r="D5" s="3198"/>
      <c r="E5" s="3204" t="s">
        <v>2542</v>
      </c>
      <c r="F5" s="3205"/>
      <c r="G5" s="3197" t="s">
        <v>2543</v>
      </c>
      <c r="H5" s="3198"/>
      <c r="I5" s="3197" t="s">
        <v>2544</v>
      </c>
      <c r="J5" s="3198"/>
      <c r="K5" s="610"/>
      <c r="L5" s="1132"/>
      <c r="M5" s="1133"/>
      <c r="N5" s="1133"/>
      <c r="O5" s="1133"/>
      <c r="P5" s="3185"/>
      <c r="Q5" s="3186"/>
      <c r="R5" s="3191"/>
      <c r="S5" s="3192"/>
      <c r="T5" s="3191"/>
      <c r="U5" s="3192"/>
      <c r="V5" s="3176"/>
      <c r="W5" s="3176"/>
      <c r="X5" s="1816"/>
      <c r="Y5" s="3191"/>
      <c r="Z5" s="3192"/>
      <c r="AA5" s="3178"/>
      <c r="AB5" s="3176"/>
      <c r="AC5" s="3178"/>
    </row>
    <row r="6" spans="1:29" ht="15.75" thickBot="1">
      <c r="A6" s="406"/>
      <c r="B6" s="407"/>
      <c r="C6" s="3195" t="s">
        <v>2545</v>
      </c>
      <c r="D6" s="3196"/>
      <c r="E6" s="3202" t="s">
        <v>2545</v>
      </c>
      <c r="F6" s="3203"/>
      <c r="G6" s="3195" t="s">
        <v>2545</v>
      </c>
      <c r="H6" s="3196"/>
      <c r="I6" s="3195" t="s">
        <v>2545</v>
      </c>
      <c r="J6" s="3196"/>
      <c r="K6" s="610" t="s">
        <v>2546</v>
      </c>
      <c r="L6" s="1132"/>
      <c r="M6" s="1133"/>
      <c r="N6" s="1133"/>
      <c r="O6" s="1133"/>
      <c r="P6" s="3187"/>
      <c r="Q6" s="3188"/>
      <c r="R6" s="3191"/>
      <c r="S6" s="3192"/>
      <c r="T6" s="3193"/>
      <c r="U6" s="3194"/>
      <c r="V6" s="3176"/>
      <c r="W6" s="3176"/>
      <c r="X6" s="1816"/>
      <c r="Y6" s="3193"/>
      <c r="Z6" s="3194"/>
      <c r="AA6" s="3179"/>
      <c r="AB6" s="3176"/>
      <c r="AC6" s="3179"/>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9" t="s">
        <v>2548</v>
      </c>
      <c r="Q7" s="3201"/>
      <c r="R7" s="770" t="s">
        <v>17</v>
      </c>
      <c r="S7" s="771">
        <f t="shared" ref="S7:S15" si="0">F7</f>
        <v>0</v>
      </c>
      <c r="T7" s="770" t="s">
        <v>17</v>
      </c>
      <c r="U7" s="771">
        <f t="shared" ref="U7:U15" si="1">H7</f>
        <v>0</v>
      </c>
      <c r="V7" s="770" t="s">
        <v>17</v>
      </c>
      <c r="W7" s="771">
        <f t="shared" ref="W7:W15" si="2">J7</f>
        <v>0</v>
      </c>
      <c r="X7" s="772"/>
      <c r="Y7" s="3199" t="s">
        <v>2548</v>
      </c>
      <c r="Z7" s="320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9" t="s">
        <v>2551</v>
      </c>
      <c r="Q8" s="3200"/>
      <c r="R8" s="770" t="s">
        <v>17</v>
      </c>
      <c r="S8" s="771">
        <f t="shared" si="0"/>
        <v>0</v>
      </c>
      <c r="T8" s="770" t="s">
        <v>17</v>
      </c>
      <c r="U8" s="771">
        <f t="shared" si="1"/>
        <v>0</v>
      </c>
      <c r="V8" s="770" t="s">
        <v>17</v>
      </c>
      <c r="W8" s="771">
        <f t="shared" si="2"/>
        <v>0</v>
      </c>
      <c r="X8" s="772"/>
      <c r="Y8" s="3199" t="s">
        <v>2551</v>
      </c>
      <c r="Z8" s="320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9"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2" t="s">
        <v>2559</v>
      </c>
      <c r="Q15" s="1813" t="str">
        <f t="shared" si="6"/>
        <v>商业繁华度</v>
      </c>
      <c r="R15" s="774" t="s">
        <v>17</v>
      </c>
      <c r="S15" s="775">
        <f t="shared" si="0"/>
        <v>100</v>
      </c>
      <c r="T15" s="774" t="s">
        <v>17</v>
      </c>
      <c r="U15" s="775">
        <f t="shared" si="1"/>
        <v>100</v>
      </c>
      <c r="V15" s="774" t="s">
        <v>17</v>
      </c>
      <c r="W15" s="775">
        <f t="shared" si="2"/>
        <v>100</v>
      </c>
      <c r="X15" s="1816"/>
      <c r="Y15" s="3172"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33"/>
      <c r="Q16" s="1813"/>
      <c r="R16" s="774"/>
      <c r="S16" s="775"/>
      <c r="T16" s="774"/>
      <c r="U16" s="775"/>
      <c r="V16" s="774"/>
      <c r="W16" s="775"/>
      <c r="X16" s="1816"/>
      <c r="Y16" s="3173"/>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33"/>
      <c r="Q18" s="1813"/>
      <c r="R18" s="774"/>
      <c r="S18" s="775"/>
      <c r="T18" s="774"/>
      <c r="U18" s="775"/>
      <c r="V18" s="774"/>
      <c r="W18" s="775"/>
      <c r="X18" s="1816"/>
      <c r="Y18" s="3173"/>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3"/>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33"/>
      <c r="Q20" s="1813"/>
      <c r="R20" s="774"/>
      <c r="S20" s="775"/>
      <c r="T20" s="774"/>
      <c r="U20" s="775"/>
      <c r="V20" s="774"/>
      <c r="W20" s="775"/>
      <c r="X20" s="1816"/>
      <c r="Y20" s="3173"/>
      <c r="Z20" s="1817"/>
      <c r="AA20" s="1814">
        <v>1</v>
      </c>
      <c r="AB20" s="1814">
        <v>1</v>
      </c>
      <c r="AC20" s="1814">
        <v>1</v>
      </c>
    </row>
    <row r="21" spans="1:29" ht="28.5">
      <c r="A21" s="428"/>
      <c r="B21" s="1386"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3"/>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33"/>
      <c r="Q22" s="1813"/>
      <c r="R22" s="774"/>
      <c r="S22" s="775"/>
      <c r="T22" s="774"/>
      <c r="U22" s="775"/>
      <c r="V22" s="774"/>
      <c r="W22" s="775"/>
      <c r="X22" s="1816"/>
      <c r="Y22" s="3173"/>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3"/>
      <c r="Q23" s="1813" t="str">
        <f>B23</f>
        <v>自然及人文环境</v>
      </c>
      <c r="R23" s="774" t="s">
        <v>17</v>
      </c>
      <c r="S23" s="775">
        <f>F23</f>
        <v>100</v>
      </c>
      <c r="T23" s="774" t="s">
        <v>17</v>
      </c>
      <c r="U23" s="775">
        <f>H23</f>
        <v>100</v>
      </c>
      <c r="V23" s="774" t="s">
        <v>17</v>
      </c>
      <c r="W23" s="775">
        <f>J23</f>
        <v>100</v>
      </c>
      <c r="X23" s="1816"/>
      <c r="Y23" s="317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33"/>
      <c r="Q24" s="1813"/>
      <c r="R24" s="774"/>
      <c r="S24" s="775"/>
      <c r="T24" s="774"/>
      <c r="U24" s="775"/>
      <c r="V24" s="774"/>
      <c r="W24" s="775"/>
      <c r="X24" s="1816"/>
      <c r="Y24" s="3173"/>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3"/>
      <c r="Q25" s="1813" t="str">
        <f t="shared" ref="Q25:Q46" si="11">B25</f>
        <v>临街状况</v>
      </c>
      <c r="R25" s="774" t="s">
        <v>17</v>
      </c>
      <c r="S25" s="775">
        <f>F25</f>
        <v>100</v>
      </c>
      <c r="T25" s="774" t="s">
        <v>17</v>
      </c>
      <c r="U25" s="775">
        <f>H25</f>
        <v>100</v>
      </c>
      <c r="V25" s="774" t="s">
        <v>17</v>
      </c>
      <c r="W25" s="775">
        <f>J25</f>
        <v>100</v>
      </c>
      <c r="X25" s="1816"/>
      <c r="Y25" s="3173"/>
      <c r="Z25" s="1817" t="str">
        <f>Q25</f>
        <v>临街状况</v>
      </c>
      <c r="AA25" s="1814">
        <f t="shared" si="3"/>
        <v>1</v>
      </c>
      <c r="AB25" s="1814">
        <f t="shared" si="4"/>
        <v>1</v>
      </c>
      <c r="AC25" s="1814">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3"/>
      <c r="Q26" s="1813" t="str">
        <f t="shared" si="11"/>
        <v>平面位置/可视性</v>
      </c>
      <c r="R26" s="774" t="s">
        <v>17</v>
      </c>
      <c r="S26" s="775">
        <f>F26</f>
        <v>100</v>
      </c>
      <c r="T26" s="774" t="s">
        <v>17</v>
      </c>
      <c r="U26" s="775">
        <f>H26</f>
        <v>100</v>
      </c>
      <c r="V26" s="774" t="s">
        <v>17</v>
      </c>
      <c r="W26" s="775">
        <f>J26</f>
        <v>100</v>
      </c>
      <c r="X26" s="1816"/>
      <c r="Y26" s="3173"/>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33"/>
      <c r="Q27" s="1798" t="str">
        <f t="shared" si="11"/>
        <v>人流量</v>
      </c>
      <c r="R27" s="770" t="s">
        <v>17</v>
      </c>
      <c r="S27" s="771">
        <f>F27</f>
        <v>100</v>
      </c>
      <c r="T27" s="770" t="s">
        <v>17</v>
      </c>
      <c r="U27" s="771">
        <f>H27</f>
        <v>100</v>
      </c>
      <c r="V27" s="770" t="s">
        <v>17</v>
      </c>
      <c r="W27" s="771">
        <f>J27</f>
        <v>100</v>
      </c>
      <c r="X27" s="772"/>
      <c r="Y27" s="3173"/>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3"/>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3"/>
      <c r="Q29" s="1813">
        <f t="shared" si="11"/>
        <v>111</v>
      </c>
      <c r="R29" s="774" t="s">
        <v>17</v>
      </c>
      <c r="S29" s="775">
        <f t="shared" si="12"/>
        <v>100</v>
      </c>
      <c r="T29" s="774" t="s">
        <v>17</v>
      </c>
      <c r="U29" s="775">
        <f t="shared" si="13"/>
        <v>100</v>
      </c>
      <c r="V29" s="774" t="s">
        <v>17</v>
      </c>
      <c r="W29" s="775">
        <f t="shared" si="14"/>
        <v>100</v>
      </c>
      <c r="X29" s="1816"/>
      <c r="Y29" s="3173"/>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3"/>
      <c r="Q30" s="1813">
        <f t="shared" si="11"/>
        <v>111</v>
      </c>
      <c r="R30" s="774" t="s">
        <v>17</v>
      </c>
      <c r="S30" s="775">
        <f t="shared" si="12"/>
        <v>100</v>
      </c>
      <c r="T30" s="774" t="s">
        <v>17</v>
      </c>
      <c r="U30" s="775">
        <f t="shared" si="13"/>
        <v>100</v>
      </c>
      <c r="V30" s="774" t="s">
        <v>17</v>
      </c>
      <c r="W30" s="775">
        <f t="shared" si="14"/>
        <v>100</v>
      </c>
      <c r="X30" s="1816"/>
      <c r="Y30" s="3173"/>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3"/>
      <c r="Q31" s="1813">
        <f t="shared" si="11"/>
        <v>111</v>
      </c>
      <c r="R31" s="774" t="s">
        <v>17</v>
      </c>
      <c r="S31" s="775">
        <f t="shared" si="12"/>
        <v>100</v>
      </c>
      <c r="T31" s="774" t="s">
        <v>17</v>
      </c>
      <c r="U31" s="775">
        <f t="shared" si="13"/>
        <v>100</v>
      </c>
      <c r="V31" s="774" t="s">
        <v>17</v>
      </c>
      <c r="W31" s="775">
        <f t="shared" si="14"/>
        <v>100</v>
      </c>
      <c r="X31" s="1816"/>
      <c r="Y31" s="3173"/>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28" t="s">
        <v>2564</v>
      </c>
      <c r="Q32" s="1813" t="str">
        <f t="shared" si="11"/>
        <v>商业类型</v>
      </c>
      <c r="R32" s="774" t="s">
        <v>17</v>
      </c>
      <c r="S32" s="775">
        <f t="shared" si="12"/>
        <v>100</v>
      </c>
      <c r="T32" s="774" t="s">
        <v>17</v>
      </c>
      <c r="U32" s="775">
        <f t="shared" si="13"/>
        <v>100</v>
      </c>
      <c r="V32" s="774" t="s">
        <v>17</v>
      </c>
      <c r="W32" s="775">
        <f t="shared" si="14"/>
        <v>100</v>
      </c>
      <c r="X32" s="1816"/>
      <c r="Y32" s="3175"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9"/>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29"/>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29"/>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9"/>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29"/>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29" t="s">
        <v>2564</v>
      </c>
      <c r="Q38" s="1813" t="str">
        <f t="shared" si="11"/>
        <v>业态</v>
      </c>
      <c r="R38" s="774" t="s">
        <v>17</v>
      </c>
      <c r="S38" s="775">
        <f t="shared" si="12"/>
        <v>100</v>
      </c>
      <c r="T38" s="774" t="s">
        <v>17</v>
      </c>
      <c r="U38" s="775">
        <f t="shared" si="13"/>
        <v>100</v>
      </c>
      <c r="V38" s="774" t="s">
        <v>17</v>
      </c>
      <c r="W38" s="775">
        <f t="shared" si="14"/>
        <v>100</v>
      </c>
      <c r="X38" s="1816"/>
      <c r="Y38" s="3175"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29"/>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9"/>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9"/>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29"/>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29"/>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9"/>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9"/>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0"/>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2576</v>
      </c>
      <c r="B47" s="480"/>
      <c r="C47" s="1409" t="s">
        <v>1</v>
      </c>
      <c r="D47" s="1410"/>
      <c r="E47" s="1411"/>
      <c r="F47" s="1412"/>
      <c r="G47" s="1413"/>
      <c r="H47" s="1414"/>
      <c r="I47" s="1411"/>
      <c r="J47" s="1414"/>
      <c r="K47" s="783"/>
      <c r="L47" s="1145"/>
      <c r="M47" s="1146"/>
      <c r="N47" s="1133"/>
      <c r="O47" s="1146"/>
      <c r="P47" s="3170" t="str">
        <f>A47</f>
        <v>成交单价（元/平方米）</v>
      </c>
      <c r="Q47" s="3170"/>
      <c r="R47" s="3176">
        <f>E47</f>
        <v>0</v>
      </c>
      <c r="S47" s="3176"/>
      <c r="T47" s="3176">
        <f>G47</f>
        <v>0</v>
      </c>
      <c r="U47" s="3176"/>
      <c r="V47" s="3176">
        <f>I47</f>
        <v>0</v>
      </c>
      <c r="W47" s="3176"/>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5"/>
      <c r="M48" s="1146"/>
      <c r="N48" s="1133"/>
      <c r="O48" s="1146"/>
      <c r="P48" s="3170" t="str">
        <f>A48</f>
        <v>比较价值（元/平方米）</v>
      </c>
      <c r="Q48" s="317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5"/>
      <c r="M49" s="1146"/>
      <c r="N49" s="1133"/>
      <c r="O49" s="1146"/>
      <c r="P49" s="3164" t="str">
        <f>A49</f>
        <v>估价对象XX用房的比较价值（楼面单价，元/平方米）</v>
      </c>
      <c r="Q49" s="3165"/>
      <c r="R49" s="3226" t="e">
        <f>IF(F1="售价",ROUND(AVERAGE(R48:V48),0),ROUND(AVERAGE(R48:V48),1))</f>
        <v>#DIV/0!</v>
      </c>
      <c r="S49" s="3226"/>
      <c r="T49" s="3226"/>
      <c r="U49" s="3226"/>
      <c r="V49" s="3226"/>
      <c r="W49" s="322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2679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2562</v>
      </c>
      <c r="B100" s="528" t="s">
        <v>2680</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2615</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2681</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2682</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2683</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9"/>
      <c r="D2" s="1367" t="e">
        <f ca="1">SUMIF(INDIRECT("'"&amp;F2&amp;"'"&amp;"!A:A"),"承租人权益价值",INDIRECT("'"&amp;F2&amp;"'"&amp;"!c:c"))</f>
        <v>#REF!</v>
      </c>
      <c r="E2" s="2590" t="s">
        <v>2330</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5619.58</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267" t="s">
        <v>2650</v>
      </c>
      <c r="Q4" s="3268"/>
      <c r="R4" s="3271" t="s">
        <v>2646</v>
      </c>
      <c r="S4" s="3272"/>
      <c r="T4" s="3271" t="s">
        <v>2647</v>
      </c>
      <c r="U4" s="3272"/>
      <c r="V4" s="3273" t="s">
        <v>2648</v>
      </c>
      <c r="W4" s="3273"/>
      <c r="X4" s="2673"/>
      <c r="Y4" s="3271" t="s">
        <v>2650</v>
      </c>
      <c r="Z4" s="3272"/>
      <c r="AA4" s="3275" t="s">
        <v>2646</v>
      </c>
      <c r="AB4" s="3275" t="s">
        <v>2647</v>
      </c>
      <c r="AC4" s="3264" t="s">
        <v>2648</v>
      </c>
    </row>
    <row r="5" spans="1:29" ht="15">
      <c r="A5" s="404"/>
      <c r="B5" s="405"/>
      <c r="C5" s="3197" t="s">
        <v>2541</v>
      </c>
      <c r="D5" s="3198"/>
      <c r="E5" s="3204" t="s">
        <v>2542</v>
      </c>
      <c r="F5" s="3205"/>
      <c r="G5" s="3197" t="s">
        <v>2543</v>
      </c>
      <c r="H5" s="3198"/>
      <c r="I5" s="3197" t="s">
        <v>2544</v>
      </c>
      <c r="J5" s="3198"/>
      <c r="K5" s="610"/>
      <c r="L5" s="1132"/>
      <c r="M5" s="1133"/>
      <c r="N5" s="1133"/>
      <c r="O5" s="1133"/>
      <c r="P5" s="3269"/>
      <c r="Q5" s="3186"/>
      <c r="R5" s="3191"/>
      <c r="S5" s="3192"/>
      <c r="T5" s="3191"/>
      <c r="U5" s="3192"/>
      <c r="V5" s="3176"/>
      <c r="W5" s="3176"/>
      <c r="X5" s="1816"/>
      <c r="Y5" s="3191"/>
      <c r="Z5" s="3192"/>
      <c r="AA5" s="3178"/>
      <c r="AB5" s="3178"/>
      <c r="AC5" s="3265"/>
    </row>
    <row r="6" spans="1:29" ht="15.75" thickBot="1">
      <c r="A6" s="406"/>
      <c r="B6" s="407"/>
      <c r="C6" s="3195" t="s">
        <v>2545</v>
      </c>
      <c r="D6" s="3196"/>
      <c r="E6" s="3202" t="s">
        <v>2545</v>
      </c>
      <c r="F6" s="3203"/>
      <c r="G6" s="3195" t="s">
        <v>2545</v>
      </c>
      <c r="H6" s="3196"/>
      <c r="I6" s="3195" t="s">
        <v>2545</v>
      </c>
      <c r="J6" s="3196"/>
      <c r="K6" s="610" t="s">
        <v>2546</v>
      </c>
      <c r="L6" s="1132"/>
      <c r="M6" s="1133"/>
      <c r="N6" s="1133"/>
      <c r="O6" s="1133"/>
      <c r="P6" s="3270"/>
      <c r="Q6" s="3188"/>
      <c r="R6" s="3191"/>
      <c r="S6" s="3192"/>
      <c r="T6" s="3193"/>
      <c r="U6" s="3194"/>
      <c r="V6" s="3176"/>
      <c r="W6" s="3176"/>
      <c r="X6" s="1816"/>
      <c r="Y6" s="3193"/>
      <c r="Z6" s="3194"/>
      <c r="AA6" s="3179"/>
      <c r="AB6" s="3179"/>
      <c r="AC6" s="3266"/>
    </row>
    <row r="7" spans="1:29" s="117" customFormat="1" ht="15.75" thickBot="1">
      <c r="A7" s="408" t="s">
        <v>2547</v>
      </c>
      <c r="B7" s="409"/>
      <c r="C7" s="410">
        <f>'数据-取费表'!B2</f>
        <v>43105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4" t="s">
        <v>2548</v>
      </c>
      <c r="Q7" s="3201"/>
      <c r="R7" s="770" t="s">
        <v>17</v>
      </c>
      <c r="S7" s="771">
        <f t="shared" ref="S7:S15" si="0">F7</f>
        <v>0</v>
      </c>
      <c r="T7" s="770" t="s">
        <v>17</v>
      </c>
      <c r="U7" s="771">
        <f t="shared" ref="U7:U15" si="1">H7</f>
        <v>0</v>
      </c>
      <c r="V7" s="770" t="s">
        <v>17</v>
      </c>
      <c r="W7" s="771">
        <f t="shared" ref="W7:W15" si="2">J7</f>
        <v>0</v>
      </c>
      <c r="X7" s="772"/>
      <c r="Y7" s="3199" t="s">
        <v>2548</v>
      </c>
      <c r="Z7" s="3200"/>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4" t="s">
        <v>2551</v>
      </c>
      <c r="Q8" s="3200"/>
      <c r="R8" s="770" t="s">
        <v>17</v>
      </c>
      <c r="S8" s="771">
        <f t="shared" si="0"/>
        <v>0</v>
      </c>
      <c r="T8" s="770" t="s">
        <v>17</v>
      </c>
      <c r="U8" s="771">
        <f t="shared" si="1"/>
        <v>0</v>
      </c>
      <c r="V8" s="770" t="s">
        <v>17</v>
      </c>
      <c r="W8" s="771">
        <f t="shared" si="2"/>
        <v>0</v>
      </c>
      <c r="X8" s="772"/>
      <c r="Y8" s="3199" t="s">
        <v>2551</v>
      </c>
      <c r="Z8" s="3200"/>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9"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16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2" t="s">
        <v>2559</v>
      </c>
      <c r="Q15" s="1813" t="str">
        <f t="shared" si="6"/>
        <v>办公集聚程度</v>
      </c>
      <c r="R15" s="774" t="s">
        <v>17</v>
      </c>
      <c r="S15" s="775">
        <f t="shared" si="0"/>
        <v>100</v>
      </c>
      <c r="T15" s="774" t="s">
        <v>17</v>
      </c>
      <c r="U15" s="775">
        <f t="shared" si="1"/>
        <v>100</v>
      </c>
      <c r="V15" s="774" t="s">
        <v>17</v>
      </c>
      <c r="W15" s="775">
        <f t="shared" si="2"/>
        <v>100</v>
      </c>
      <c r="X15" s="1816"/>
      <c r="Y15" s="3172"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33"/>
      <c r="Q16" s="1813"/>
      <c r="R16" s="774"/>
      <c r="S16" s="775"/>
      <c r="T16" s="774"/>
      <c r="U16" s="775"/>
      <c r="V16" s="774"/>
      <c r="W16" s="775"/>
      <c r="X16" s="1816"/>
      <c r="Y16" s="3173"/>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33"/>
      <c r="Q18" s="1813"/>
      <c r="R18" s="774"/>
      <c r="S18" s="775"/>
      <c r="T18" s="774"/>
      <c r="U18" s="775"/>
      <c r="V18" s="774"/>
      <c r="W18" s="775"/>
      <c r="X18" s="1816"/>
      <c r="Y18" s="3173"/>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3"/>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33"/>
      <c r="Q20" s="1813"/>
      <c r="R20" s="774"/>
      <c r="S20" s="775"/>
      <c r="T20" s="774"/>
      <c r="U20" s="775"/>
      <c r="V20" s="774"/>
      <c r="W20" s="775"/>
      <c r="X20" s="1816"/>
      <c r="Y20" s="3173"/>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3"/>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33"/>
      <c r="Q22" s="1813"/>
      <c r="R22" s="774"/>
      <c r="S22" s="775"/>
      <c r="T22" s="774"/>
      <c r="U22" s="775"/>
      <c r="V22" s="774"/>
      <c r="W22" s="775"/>
      <c r="X22" s="1816"/>
      <c r="Y22" s="3173"/>
      <c r="Z22" s="1817"/>
      <c r="AA22" s="1814">
        <v>1</v>
      </c>
      <c r="AB22" s="1814">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3"/>
      <c r="Q23" s="1813" t="str">
        <f>B23</f>
        <v>环境质量</v>
      </c>
      <c r="R23" s="774" t="s">
        <v>17</v>
      </c>
      <c r="S23" s="775">
        <f>F23</f>
        <v>100</v>
      </c>
      <c r="T23" s="774" t="s">
        <v>17</v>
      </c>
      <c r="U23" s="775">
        <f>H23</f>
        <v>100</v>
      </c>
      <c r="V23" s="774" t="s">
        <v>17</v>
      </c>
      <c r="W23" s="775">
        <f>J23</f>
        <v>100</v>
      </c>
      <c r="X23" s="1816"/>
      <c r="Y23" s="3173"/>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33"/>
      <c r="Q24" s="1813"/>
      <c r="R24" s="774"/>
      <c r="S24" s="775"/>
      <c r="T24" s="774"/>
      <c r="U24" s="775"/>
      <c r="V24" s="774"/>
      <c r="W24" s="775"/>
      <c r="X24" s="1816"/>
      <c r="Y24" s="3173"/>
      <c r="Z24" s="1817"/>
      <c r="AA24" s="1814">
        <v>1</v>
      </c>
      <c r="AB24" s="1814">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33"/>
      <c r="Q25" s="1813" t="str">
        <f>B25</f>
        <v>毗邻道路的类型与等级</v>
      </c>
      <c r="R25" s="774" t="s">
        <v>17</v>
      </c>
      <c r="S25" s="775">
        <f>F25</f>
        <v>100</v>
      </c>
      <c r="T25" s="774" t="s">
        <v>17</v>
      </c>
      <c r="U25" s="775">
        <f>H25</f>
        <v>100</v>
      </c>
      <c r="V25" s="774" t="s">
        <v>17</v>
      </c>
      <c r="W25" s="775">
        <f>J25</f>
        <v>100</v>
      </c>
      <c r="X25" s="1816"/>
      <c r="Y25" s="3173"/>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33"/>
      <c r="Q26" s="1813"/>
      <c r="R26" s="774"/>
      <c r="S26" s="775"/>
      <c r="T26" s="774"/>
      <c r="U26" s="775"/>
      <c r="V26" s="774"/>
      <c r="W26" s="775"/>
      <c r="X26" s="1816"/>
      <c r="Y26" s="3173"/>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3"/>
      <c r="Q27" s="1813" t="str">
        <f t="shared" ref="Q27:Q47" si="11">B27</f>
        <v>楼层</v>
      </c>
      <c r="R27" s="774" t="s">
        <v>17</v>
      </c>
      <c r="S27" s="775">
        <f>F27</f>
        <v>100</v>
      </c>
      <c r="T27" s="774" t="s">
        <v>17</v>
      </c>
      <c r="U27" s="775">
        <f>H27</f>
        <v>100</v>
      </c>
      <c r="V27" s="774" t="s">
        <v>17</v>
      </c>
      <c r="W27" s="775">
        <f>J27</f>
        <v>100</v>
      </c>
      <c r="X27" s="1816"/>
      <c r="Y27" s="3173"/>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33"/>
      <c r="Q28" s="1798" t="str">
        <f t="shared" si="11"/>
        <v>朝向</v>
      </c>
      <c r="R28" s="770" t="s">
        <v>17</v>
      </c>
      <c r="S28" s="771">
        <f>F28</f>
        <v>100</v>
      </c>
      <c r="T28" s="770" t="s">
        <v>17</v>
      </c>
      <c r="U28" s="771">
        <f>H28</f>
        <v>100</v>
      </c>
      <c r="V28" s="770" t="s">
        <v>17</v>
      </c>
      <c r="W28" s="771">
        <f>J28</f>
        <v>100</v>
      </c>
      <c r="X28" s="772"/>
      <c r="Y28" s="317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17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33"/>
      <c r="Q30" s="1813">
        <f t="shared" si="11"/>
        <v>111</v>
      </c>
      <c r="R30" s="774" t="s">
        <v>17</v>
      </c>
      <c r="S30" s="775">
        <f t="shared" si="12"/>
        <v>100</v>
      </c>
      <c r="T30" s="774" t="s">
        <v>17</v>
      </c>
      <c r="U30" s="775">
        <f t="shared" si="13"/>
        <v>100</v>
      </c>
      <c r="V30" s="774" t="s">
        <v>17</v>
      </c>
      <c r="W30" s="775">
        <f t="shared" si="14"/>
        <v>100</v>
      </c>
      <c r="X30" s="1816"/>
      <c r="Y30" s="317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33"/>
      <c r="Q31" s="1813">
        <f t="shared" si="11"/>
        <v>111</v>
      </c>
      <c r="R31" s="774" t="s">
        <v>17</v>
      </c>
      <c r="S31" s="775">
        <f t="shared" si="12"/>
        <v>100</v>
      </c>
      <c r="T31" s="774" t="s">
        <v>17</v>
      </c>
      <c r="U31" s="775">
        <f t="shared" si="13"/>
        <v>100</v>
      </c>
      <c r="V31" s="774" t="s">
        <v>17</v>
      </c>
      <c r="W31" s="775">
        <f t="shared" si="14"/>
        <v>100</v>
      </c>
      <c r="X31" s="1816"/>
      <c r="Y31" s="3173"/>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33"/>
      <c r="Q32" s="1813">
        <f t="shared" si="11"/>
        <v>111</v>
      </c>
      <c r="R32" s="774" t="s">
        <v>17</v>
      </c>
      <c r="S32" s="775">
        <f t="shared" si="12"/>
        <v>100</v>
      </c>
      <c r="T32" s="774" t="s">
        <v>17</v>
      </c>
      <c r="U32" s="775">
        <f t="shared" si="13"/>
        <v>100</v>
      </c>
      <c r="V32" s="774" t="s">
        <v>17</v>
      </c>
      <c r="W32" s="775">
        <f t="shared" si="14"/>
        <v>100</v>
      </c>
      <c r="X32" s="1816"/>
      <c r="Y32" s="3173"/>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28" t="s">
        <v>2564</v>
      </c>
      <c r="Q33" s="1813" t="str">
        <f t="shared" si="11"/>
        <v>建筑类型</v>
      </c>
      <c r="R33" s="774" t="s">
        <v>17</v>
      </c>
      <c r="S33" s="775">
        <f t="shared" si="12"/>
        <v>100</v>
      </c>
      <c r="T33" s="774" t="s">
        <v>17</v>
      </c>
      <c r="U33" s="775">
        <f t="shared" si="13"/>
        <v>100</v>
      </c>
      <c r="V33" s="774" t="s">
        <v>17</v>
      </c>
      <c r="W33" s="775">
        <f t="shared" si="14"/>
        <v>100</v>
      </c>
      <c r="X33" s="1816"/>
      <c r="Y33" s="3175"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9"/>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9"/>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9"/>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9"/>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9"/>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9" t="s">
        <v>2564</v>
      </c>
      <c r="Q39" s="1813" t="str">
        <f t="shared" si="11"/>
        <v>物业管理</v>
      </c>
      <c r="R39" s="774" t="s">
        <v>17</v>
      </c>
      <c r="S39" s="775">
        <f t="shared" si="12"/>
        <v>100</v>
      </c>
      <c r="T39" s="774" t="s">
        <v>17</v>
      </c>
      <c r="U39" s="775">
        <f t="shared" si="13"/>
        <v>100</v>
      </c>
      <c r="V39" s="774" t="s">
        <v>17</v>
      </c>
      <c r="W39" s="775">
        <f t="shared" si="14"/>
        <v>100</v>
      </c>
      <c r="X39" s="1816"/>
      <c r="Y39" s="3175"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9"/>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9"/>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9"/>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9"/>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29"/>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9"/>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9"/>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0"/>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7">
        <f t="shared" si="5"/>
        <v>1</v>
      </c>
    </row>
    <row r="48" spans="1:29" ht="15">
      <c r="A48" s="479" t="s">
        <v>2576</v>
      </c>
      <c r="B48" s="480"/>
      <c r="C48" s="1409" t="s">
        <v>1</v>
      </c>
      <c r="D48" s="1410"/>
      <c r="E48" s="1411"/>
      <c r="F48" s="1412"/>
      <c r="G48" s="1413"/>
      <c r="H48" s="1414"/>
      <c r="I48" s="1411"/>
      <c r="J48" s="485"/>
      <c r="K48" s="783"/>
      <c r="L48" s="1145"/>
      <c r="M48" s="1133"/>
      <c r="N48" s="1133"/>
      <c r="O48" s="1133"/>
      <c r="P48" s="3169" t="str">
        <f>A48</f>
        <v>成交单价（元/平方米）</v>
      </c>
      <c r="Q48" s="3170"/>
      <c r="R48" s="3227">
        <f>E48</f>
        <v>0</v>
      </c>
      <c r="S48" s="3227"/>
      <c r="T48" s="3227">
        <f>G48</f>
        <v>0</v>
      </c>
      <c r="U48" s="3227"/>
      <c r="V48" s="3227">
        <f>I48</f>
        <v>0</v>
      </c>
      <c r="W48" s="3227"/>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5"/>
      <c r="M49" s="1133"/>
      <c r="N49" s="1133"/>
      <c r="O49" s="1133"/>
      <c r="P49" s="3169" t="str">
        <f>A49</f>
        <v>比较价值（元/平方米）</v>
      </c>
      <c r="Q49" s="3170"/>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5"/>
      <c r="M50" s="1133"/>
      <c r="N50" s="1133"/>
      <c r="O50" s="1133"/>
      <c r="P50" s="3261" t="str">
        <f>A50</f>
        <v>估价对象XX用房的比较价值（楼面单价，元/平方米）</v>
      </c>
      <c r="Q50" s="3262"/>
      <c r="R50" s="3263" t="e">
        <f>IF(F1="售价",ROUND(AVERAGE(R49:V49),0),ROUND(AVERAGE(R49:V49),1))</f>
        <v>#DIV/0!</v>
      </c>
      <c r="S50" s="3263"/>
      <c r="T50" s="3263"/>
      <c r="U50" s="3263"/>
      <c r="V50" s="3263"/>
      <c r="W50" s="3263"/>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2673</v>
      </c>
      <c r="B58" s="759"/>
      <c r="C58" s="764"/>
      <c r="D58" s="764"/>
      <c r="E58" s="764"/>
      <c r="F58" s="765"/>
      <c r="G58" s="765"/>
      <c r="H58" s="764"/>
      <c r="I58" s="764"/>
      <c r="J58" s="764"/>
      <c r="K58" s="766"/>
      <c r="L58" s="1163"/>
      <c r="M58" s="1161"/>
      <c r="N58" s="1161"/>
      <c r="O58" s="1161"/>
      <c r="P58" s="2684"/>
      <c r="Q58" s="504"/>
    </row>
    <row r="59" spans="1:29" s="508" customFormat="1" ht="15">
      <c r="A59" s="505" t="s">
        <v>2547</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2587</v>
      </c>
      <c r="B64" s="528" t="s">
        <v>2553</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2698</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2562</v>
      </c>
      <c r="B101" s="528" t="s">
        <v>2611</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2613</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2615</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2616</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2617</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2700</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2619</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9"/>
      <c r="D2" s="1126" t="e">
        <f ca="1">SUMIF(INDIRECT("'"&amp;F2&amp;"'"&amp;"!A:A"),"承租人权益价值",INDIRECT("'"&amp;F2&amp;"'"&amp;"!c:c"))</f>
        <v>#REF!</v>
      </c>
      <c r="E2" s="2590" t="s">
        <v>2330</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5619.58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8" t="s">
        <v>2647</v>
      </c>
      <c r="AC4" s="3177" t="s">
        <v>2648</v>
      </c>
    </row>
    <row r="5" spans="1:29" ht="15">
      <c r="A5" s="404"/>
      <c r="B5" s="405"/>
      <c r="C5" s="3197" t="s">
        <v>2541</v>
      </c>
      <c r="D5" s="3198"/>
      <c r="E5" s="3204" t="s">
        <v>2542</v>
      </c>
      <c r="F5" s="3205"/>
      <c r="G5" s="3197" t="s">
        <v>2543</v>
      </c>
      <c r="H5" s="3198"/>
      <c r="I5" s="3197" t="s">
        <v>2544</v>
      </c>
      <c r="J5" s="3198"/>
      <c r="K5" s="610"/>
      <c r="L5" s="1132"/>
      <c r="M5" s="1133"/>
      <c r="N5" s="1133"/>
      <c r="O5" s="1133"/>
      <c r="P5" s="3185"/>
      <c r="Q5" s="3186"/>
      <c r="R5" s="3191"/>
      <c r="S5" s="3192"/>
      <c r="T5" s="3191"/>
      <c r="U5" s="3192"/>
      <c r="V5" s="3176"/>
      <c r="W5" s="3176"/>
      <c r="X5" s="1816"/>
      <c r="Y5" s="3191"/>
      <c r="Z5" s="3192"/>
      <c r="AA5" s="3178"/>
      <c r="AB5" s="3178"/>
      <c r="AC5" s="3178"/>
    </row>
    <row r="6" spans="1:29" ht="15.75" thickBot="1">
      <c r="A6" s="406"/>
      <c r="B6" s="407"/>
      <c r="C6" s="3195" t="s">
        <v>2545</v>
      </c>
      <c r="D6" s="3196"/>
      <c r="E6" s="3202" t="s">
        <v>2545</v>
      </c>
      <c r="F6" s="3203"/>
      <c r="G6" s="3195" t="s">
        <v>2545</v>
      </c>
      <c r="H6" s="3196"/>
      <c r="I6" s="3195" t="s">
        <v>2545</v>
      </c>
      <c r="J6" s="3196"/>
      <c r="K6" s="610" t="s">
        <v>2546</v>
      </c>
      <c r="L6" s="1132"/>
      <c r="M6" s="1133"/>
      <c r="N6" s="1133"/>
      <c r="O6" s="1133"/>
      <c r="P6" s="3187"/>
      <c r="Q6" s="3188"/>
      <c r="R6" s="3191"/>
      <c r="S6" s="3192"/>
      <c r="T6" s="3193"/>
      <c r="U6" s="3194"/>
      <c r="V6" s="3176"/>
      <c r="W6" s="3176"/>
      <c r="X6" s="1816"/>
      <c r="Y6" s="3193"/>
      <c r="Z6" s="3194"/>
      <c r="AA6" s="3179"/>
      <c r="AB6" s="3179"/>
      <c r="AC6" s="3179"/>
    </row>
    <row r="7" spans="1:29" s="117" customFormat="1" ht="15.75" thickBot="1">
      <c r="A7" s="408" t="s">
        <v>2547</v>
      </c>
      <c r="B7" s="409"/>
      <c r="C7" s="410">
        <f>'数据-取费表'!B2</f>
        <v>43105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9" t="s">
        <v>2548</v>
      </c>
      <c r="Q7" s="3201"/>
      <c r="R7" s="770" t="s">
        <v>17</v>
      </c>
      <c r="S7" s="771">
        <f t="shared" ref="S7:S15" si="0">F7</f>
        <v>0</v>
      </c>
      <c r="T7" s="770" t="s">
        <v>17</v>
      </c>
      <c r="U7" s="771">
        <f t="shared" ref="U7:U15" si="1">H7</f>
        <v>0</v>
      </c>
      <c r="V7" s="770" t="s">
        <v>17</v>
      </c>
      <c r="W7" s="771">
        <f t="shared" ref="W7:W15" si="2">J7</f>
        <v>0</v>
      </c>
      <c r="X7" s="772"/>
      <c r="Y7" s="3199" t="s">
        <v>2548</v>
      </c>
      <c r="Z7" s="320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9" t="s">
        <v>2551</v>
      </c>
      <c r="Q8" s="3200"/>
      <c r="R8" s="770" t="s">
        <v>17</v>
      </c>
      <c r="S8" s="771">
        <f t="shared" si="0"/>
        <v>0</v>
      </c>
      <c r="T8" s="770" t="s">
        <v>17</v>
      </c>
      <c r="U8" s="771">
        <f t="shared" si="1"/>
        <v>0</v>
      </c>
      <c r="V8" s="770" t="s">
        <v>17</v>
      </c>
      <c r="W8" s="771">
        <f t="shared" si="2"/>
        <v>0</v>
      </c>
      <c r="X8" s="772"/>
      <c r="Y8" s="3199" t="s">
        <v>2551</v>
      </c>
      <c r="Z8" s="320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0"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0"/>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0"/>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170"/>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170"/>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170"/>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2" t="s">
        <v>2559</v>
      </c>
      <c r="Q15" s="1813" t="str">
        <f t="shared" si="6"/>
        <v>产业集聚程度</v>
      </c>
      <c r="R15" s="774" t="s">
        <v>17</v>
      </c>
      <c r="S15" s="775">
        <f t="shared" si="0"/>
        <v>100</v>
      </c>
      <c r="T15" s="774" t="s">
        <v>17</v>
      </c>
      <c r="U15" s="775">
        <f t="shared" si="1"/>
        <v>100</v>
      </c>
      <c r="V15" s="774" t="s">
        <v>17</v>
      </c>
      <c r="W15" s="775">
        <f t="shared" si="2"/>
        <v>100</v>
      </c>
      <c r="X15" s="1816"/>
      <c r="Y15" s="3172"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73"/>
      <c r="Q16" s="1813"/>
      <c r="R16" s="774"/>
      <c r="S16" s="775"/>
      <c r="T16" s="774"/>
      <c r="U16" s="775"/>
      <c r="V16" s="774"/>
      <c r="W16" s="775"/>
      <c r="X16" s="1816"/>
      <c r="Y16" s="3173"/>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173"/>
      <c r="Q18" s="1813"/>
      <c r="R18" s="774"/>
      <c r="S18" s="775"/>
      <c r="T18" s="774"/>
      <c r="U18" s="775"/>
      <c r="V18" s="774"/>
      <c r="W18" s="775"/>
      <c r="X18" s="1816"/>
      <c r="Y18" s="3173"/>
      <c r="Z18" s="1817"/>
      <c r="AA18" s="1814">
        <v>1</v>
      </c>
      <c r="AB18" s="1814">
        <v>1</v>
      </c>
      <c r="AC18" s="1814">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3"/>
      <c r="Q19" s="1813" t="str">
        <f>B19</f>
        <v>公共配套设施</v>
      </c>
      <c r="R19" s="774" t="s">
        <v>17</v>
      </c>
      <c r="S19" s="775">
        <f>F19</f>
        <v>100</v>
      </c>
      <c r="T19" s="774" t="s">
        <v>17</v>
      </c>
      <c r="U19" s="775">
        <f>H19</f>
        <v>100</v>
      </c>
      <c r="V19" s="774" t="s">
        <v>17</v>
      </c>
      <c r="W19" s="775">
        <f>J19</f>
        <v>100</v>
      </c>
      <c r="X19" s="1816"/>
      <c r="Y19" s="317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173"/>
      <c r="Q20" s="1813"/>
      <c r="R20" s="774"/>
      <c r="S20" s="775"/>
      <c r="T20" s="774"/>
      <c r="U20" s="775"/>
      <c r="V20" s="774"/>
      <c r="W20" s="775"/>
      <c r="X20" s="1816"/>
      <c r="Y20" s="3173"/>
      <c r="Z20" s="1817"/>
      <c r="AA20" s="1814">
        <v>1</v>
      </c>
      <c r="AB20" s="1814">
        <v>1</v>
      </c>
      <c r="AC20" s="1814">
        <v>1</v>
      </c>
    </row>
    <row r="21" spans="1:29" ht="28.5">
      <c r="A21" s="428"/>
      <c r="B21" s="1386"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3"/>
      <c r="Q21" s="1813" t="str">
        <f>B21</f>
        <v>基础设施水平</v>
      </c>
      <c r="R21" s="774" t="s">
        <v>17</v>
      </c>
      <c r="S21" s="775">
        <f>F21</f>
        <v>100</v>
      </c>
      <c r="T21" s="774" t="s">
        <v>17</v>
      </c>
      <c r="U21" s="775">
        <f>H21</f>
        <v>100</v>
      </c>
      <c r="V21" s="774" t="s">
        <v>17</v>
      </c>
      <c r="W21" s="775">
        <f>J21</f>
        <v>100</v>
      </c>
      <c r="X21" s="1816"/>
      <c r="Y21" s="3173"/>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173"/>
      <c r="Q22" s="1813"/>
      <c r="R22" s="774"/>
      <c r="S22" s="775"/>
      <c r="T22" s="774"/>
      <c r="U22" s="775"/>
      <c r="V22" s="774"/>
      <c r="W22" s="775"/>
      <c r="X22" s="1816"/>
      <c r="Y22" s="3173"/>
      <c r="Z22" s="1817"/>
      <c r="AA22" s="1814">
        <v>1</v>
      </c>
      <c r="AB22" s="1814">
        <v>1</v>
      </c>
      <c r="AC22" s="1814">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3"/>
      <c r="Q23" s="1813" t="str">
        <f>B23</f>
        <v>环境质量</v>
      </c>
      <c r="R23" s="774" t="s">
        <v>17</v>
      </c>
      <c r="S23" s="775">
        <f>F23</f>
        <v>100</v>
      </c>
      <c r="T23" s="774" t="s">
        <v>17</v>
      </c>
      <c r="U23" s="775">
        <f>H23</f>
        <v>100</v>
      </c>
      <c r="V23" s="774" t="s">
        <v>17</v>
      </c>
      <c r="W23" s="775">
        <f>J23</f>
        <v>100</v>
      </c>
      <c r="X23" s="1816"/>
      <c r="Y23" s="3173"/>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173"/>
      <c r="Q24" s="1813"/>
      <c r="R24" s="774"/>
      <c r="S24" s="775"/>
      <c r="T24" s="774"/>
      <c r="U24" s="775"/>
      <c r="V24" s="774"/>
      <c r="W24" s="775"/>
      <c r="X24" s="1816"/>
      <c r="Y24" s="3173"/>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3"/>
      <c r="Q25" s="1813">
        <f>B25</f>
        <v>111</v>
      </c>
      <c r="R25" s="774" t="s">
        <v>17</v>
      </c>
      <c r="S25" s="775">
        <f>F25</f>
        <v>100</v>
      </c>
      <c r="T25" s="774" t="s">
        <v>17</v>
      </c>
      <c r="U25" s="775">
        <f>H25</f>
        <v>100</v>
      </c>
      <c r="V25" s="774" t="s">
        <v>17</v>
      </c>
      <c r="W25" s="775">
        <f>J25</f>
        <v>100</v>
      </c>
      <c r="X25" s="1816"/>
      <c r="Y25" s="3173"/>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3"/>
      <c r="Q26" s="1813">
        <f t="shared" ref="Q26:Q40" si="11">B26</f>
        <v>111</v>
      </c>
      <c r="R26" s="774" t="s">
        <v>17</v>
      </c>
      <c r="S26" s="775">
        <f>F26</f>
        <v>100</v>
      </c>
      <c r="T26" s="774" t="s">
        <v>17</v>
      </c>
      <c r="U26" s="775">
        <f>H26</f>
        <v>100</v>
      </c>
      <c r="V26" s="774" t="s">
        <v>17</v>
      </c>
      <c r="W26" s="775">
        <f>J26</f>
        <v>100</v>
      </c>
      <c r="X26" s="1816"/>
      <c r="Y26" s="3173"/>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3"/>
      <c r="Q27" s="1798">
        <f t="shared" si="11"/>
        <v>111</v>
      </c>
      <c r="R27" s="770" t="s">
        <v>17</v>
      </c>
      <c r="S27" s="771">
        <f>F27</f>
        <v>100</v>
      </c>
      <c r="T27" s="770" t="s">
        <v>17</v>
      </c>
      <c r="U27" s="771">
        <f>H27</f>
        <v>100</v>
      </c>
      <c r="V27" s="770" t="s">
        <v>17</v>
      </c>
      <c r="W27" s="771">
        <f>J27</f>
        <v>100</v>
      </c>
      <c r="X27" s="772"/>
      <c r="Y27" s="3173"/>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3"/>
      <c r="Q28" s="1813">
        <f t="shared" si="11"/>
        <v>111</v>
      </c>
      <c r="R28" s="774" t="s">
        <v>17</v>
      </c>
      <c r="S28" s="775">
        <f t="shared" ref="S28:S40" si="12">F28</f>
        <v>100</v>
      </c>
      <c r="T28" s="774" t="s">
        <v>17</v>
      </c>
      <c r="U28" s="775">
        <f t="shared" ref="U28:U40" si="13">H28</f>
        <v>100</v>
      </c>
      <c r="V28" s="774" t="s">
        <v>17</v>
      </c>
      <c r="W28" s="775">
        <f t="shared" ref="W28:W40" si="14">J28</f>
        <v>100</v>
      </c>
      <c r="X28" s="1816"/>
      <c r="Y28" s="3173"/>
      <c r="Z28" s="1817">
        <f t="shared" ref="Z28:Z40" si="15">Q28</f>
        <v>111</v>
      </c>
      <c r="AA28" s="1814">
        <f t="shared" si="3"/>
        <v>1</v>
      </c>
      <c r="AB28" s="1814">
        <f t="shared" si="4"/>
        <v>1</v>
      </c>
      <c r="AC28" s="1814">
        <f t="shared" si="5"/>
        <v>1</v>
      </c>
    </row>
    <row r="29" spans="1:29" ht="1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174" t="s">
        <v>2564</v>
      </c>
      <c r="Q29" s="1813" t="str">
        <f t="shared" si="11"/>
        <v>建筑类型</v>
      </c>
      <c r="R29" s="774" t="s">
        <v>17</v>
      </c>
      <c r="S29" s="775">
        <f t="shared" si="12"/>
        <v>100</v>
      </c>
      <c r="T29" s="774" t="s">
        <v>17</v>
      </c>
      <c r="U29" s="775">
        <f t="shared" si="13"/>
        <v>100</v>
      </c>
      <c r="V29" s="774" t="s">
        <v>17</v>
      </c>
      <c r="W29" s="775">
        <f t="shared" si="14"/>
        <v>100</v>
      </c>
      <c r="X29" s="1816"/>
      <c r="Y29" s="3175"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5" t="s">
        <v>2564</v>
      </c>
      <c r="Q35" s="1813" t="str">
        <f t="shared" si="11"/>
        <v>市政基础设施</v>
      </c>
      <c r="R35" s="774" t="s">
        <v>17</v>
      </c>
      <c r="S35" s="775">
        <f t="shared" si="12"/>
        <v>100</v>
      </c>
      <c r="T35" s="774" t="s">
        <v>17</v>
      </c>
      <c r="U35" s="775">
        <f t="shared" si="13"/>
        <v>100</v>
      </c>
      <c r="V35" s="774" t="s">
        <v>17</v>
      </c>
      <c r="W35" s="775">
        <f t="shared" si="14"/>
        <v>100</v>
      </c>
      <c r="X35" s="1816"/>
      <c r="Y35" s="3175"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2576</v>
      </c>
      <c r="B41" s="480"/>
      <c r="C41" s="1409" t="s">
        <v>1</v>
      </c>
      <c r="D41" s="1410"/>
      <c r="E41" s="1411"/>
      <c r="F41" s="1412"/>
      <c r="G41" s="1413"/>
      <c r="H41" s="1414"/>
      <c r="I41" s="1411"/>
      <c r="J41" s="1414"/>
      <c r="K41" s="783"/>
      <c r="L41" s="1145"/>
      <c r="M41" s="1146"/>
      <c r="N41" s="1133"/>
      <c r="O41" s="1146"/>
      <c r="P41" s="3170" t="str">
        <f>A41</f>
        <v>成交单价（元/平方米）</v>
      </c>
      <c r="Q41" s="3170"/>
      <c r="R41" s="3227">
        <f>E41</f>
        <v>0</v>
      </c>
      <c r="S41" s="3227"/>
      <c r="T41" s="3227">
        <f>G41</f>
        <v>0</v>
      </c>
      <c r="U41" s="3227"/>
      <c r="V41" s="3227">
        <f>I41</f>
        <v>0</v>
      </c>
      <c r="W41" s="3227"/>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5"/>
      <c r="M42" s="1146"/>
      <c r="N42" s="1133"/>
      <c r="O42" s="1146"/>
      <c r="P42" s="3170" t="str">
        <f>A42</f>
        <v>比较价值（元/平方米）</v>
      </c>
      <c r="Q42" s="3170"/>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5"/>
      <c r="M43" s="1146"/>
      <c r="N43" s="1146"/>
      <c r="O43" s="1146"/>
      <c r="P43" s="3164" t="str">
        <f>A43</f>
        <v>估价对象XX用房的比较价值（楼面单价，元/平方米）</v>
      </c>
      <c r="Q43" s="3165"/>
      <c r="R43" s="3226" t="e">
        <f>IF(F1="售价",ROUND(AVERAGE(R42:V42),0),ROUND(AVERAGE(R42:V42),1))</f>
        <v>#DIV/0!</v>
      </c>
      <c r="S43" s="3226"/>
      <c r="T43" s="3226"/>
      <c r="U43" s="3226"/>
      <c r="V43" s="3226"/>
      <c r="W43" s="322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2673</v>
      </c>
      <c r="B51" s="759"/>
      <c r="C51" s="764"/>
      <c r="D51" s="764"/>
      <c r="E51" s="764"/>
      <c r="F51" s="765"/>
      <c r="G51" s="765"/>
      <c r="H51" s="764"/>
      <c r="I51" s="764"/>
      <c r="J51" s="764"/>
      <c r="K51" s="1162"/>
      <c r="L51" s="1163"/>
      <c r="M51" s="1161"/>
      <c r="N51" s="1161"/>
      <c r="O51" s="1161"/>
      <c r="P51" s="503"/>
      <c r="Q51" s="504"/>
    </row>
    <row r="52" spans="1:17" s="508" customFormat="1" ht="15">
      <c r="A52" s="505" t="s">
        <v>2547</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2532</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2533</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2534</v>
      </c>
      <c r="B4" s="402"/>
      <c r="C4" s="3167" t="s">
        <v>2535</v>
      </c>
      <c r="D4" s="3180"/>
      <c r="E4" s="3181" t="s">
        <v>2536</v>
      </c>
      <c r="F4" s="3182"/>
      <c r="G4" s="3167" t="s">
        <v>2537</v>
      </c>
      <c r="H4" s="3180"/>
      <c r="I4" s="3167" t="s">
        <v>2538</v>
      </c>
      <c r="J4" s="3180"/>
      <c r="K4" s="2599" t="s">
        <v>2539</v>
      </c>
      <c r="L4" s="1132"/>
      <c r="M4" s="1133"/>
      <c r="N4" s="1133"/>
      <c r="O4" s="1133"/>
      <c r="P4" s="3183" t="s">
        <v>2540</v>
      </c>
      <c r="Q4" s="3184"/>
      <c r="R4" s="3189" t="s">
        <v>2536</v>
      </c>
      <c r="S4" s="3190"/>
      <c r="T4" s="3189" t="s">
        <v>2537</v>
      </c>
      <c r="U4" s="3190"/>
      <c r="V4" s="3176" t="s">
        <v>2538</v>
      </c>
      <c r="W4" s="3176"/>
      <c r="X4" s="2943"/>
      <c r="Y4" s="3189" t="s">
        <v>2540</v>
      </c>
      <c r="Z4" s="3190"/>
      <c r="AA4" s="3177" t="s">
        <v>2536</v>
      </c>
      <c r="AB4" s="3177" t="s">
        <v>2537</v>
      </c>
      <c r="AC4" s="3177" t="s">
        <v>2538</v>
      </c>
    </row>
    <row r="5" spans="1:29" ht="15">
      <c r="A5" s="404"/>
      <c r="B5" s="405"/>
      <c r="C5" s="3197" t="s">
        <v>2541</v>
      </c>
      <c r="D5" s="3198"/>
      <c r="E5" s="3204" t="s">
        <v>2542</v>
      </c>
      <c r="F5" s="3205"/>
      <c r="G5" s="3197" t="s">
        <v>2543</v>
      </c>
      <c r="H5" s="3198"/>
      <c r="I5" s="3197" t="s">
        <v>2544</v>
      </c>
      <c r="J5" s="3198"/>
      <c r="K5" s="2600"/>
      <c r="L5" s="1132"/>
      <c r="M5" s="1133"/>
      <c r="N5" s="1133"/>
      <c r="O5" s="1133"/>
      <c r="P5" s="3185"/>
      <c r="Q5" s="3186"/>
      <c r="R5" s="3191"/>
      <c r="S5" s="3192"/>
      <c r="T5" s="3191"/>
      <c r="U5" s="3192"/>
      <c r="V5" s="3176"/>
      <c r="W5" s="3176"/>
      <c r="X5" s="2943"/>
      <c r="Y5" s="3191"/>
      <c r="Z5" s="3192"/>
      <c r="AA5" s="3178"/>
      <c r="AB5" s="3178"/>
      <c r="AC5" s="3178"/>
    </row>
    <row r="6" spans="1:29" ht="15.75" thickBot="1">
      <c r="A6" s="406"/>
      <c r="B6" s="407"/>
      <c r="C6" s="3195" t="s">
        <v>2545</v>
      </c>
      <c r="D6" s="3196"/>
      <c r="E6" s="3202" t="s">
        <v>2545</v>
      </c>
      <c r="F6" s="3203"/>
      <c r="G6" s="3195" t="s">
        <v>2545</v>
      </c>
      <c r="H6" s="3196"/>
      <c r="I6" s="3195" t="s">
        <v>2545</v>
      </c>
      <c r="J6" s="3196"/>
      <c r="K6" s="2600" t="s">
        <v>2546</v>
      </c>
      <c r="L6" s="1132"/>
      <c r="M6" s="1133"/>
      <c r="N6" s="1133"/>
      <c r="O6" s="1133"/>
      <c r="P6" s="3187"/>
      <c r="Q6" s="3188"/>
      <c r="R6" s="3191"/>
      <c r="S6" s="3192"/>
      <c r="T6" s="3193"/>
      <c r="U6" s="3194"/>
      <c r="V6" s="3176"/>
      <c r="W6" s="3176"/>
      <c r="X6" s="2943"/>
      <c r="Y6" s="3193"/>
      <c r="Z6" s="3194"/>
      <c r="AA6" s="3179"/>
      <c r="AB6" s="3179"/>
      <c r="AC6" s="3179"/>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99" t="s">
        <v>2548</v>
      </c>
      <c r="Q7" s="3201"/>
      <c r="R7" s="770" t="s">
        <v>23</v>
      </c>
      <c r="S7" s="771">
        <f t="shared" ref="S7:S15" si="0">F7</f>
        <v>0</v>
      </c>
      <c r="T7" s="770" t="s">
        <v>23</v>
      </c>
      <c r="U7" s="771">
        <f t="shared" ref="U7:U15" si="1">H7</f>
        <v>0</v>
      </c>
      <c r="V7" s="770" t="s">
        <v>23</v>
      </c>
      <c r="W7" s="771">
        <f t="shared" ref="W7:W15" si="2">J7</f>
        <v>0</v>
      </c>
      <c r="X7" s="772"/>
      <c r="Y7" s="3199" t="s">
        <v>2548</v>
      </c>
      <c r="Z7" s="3200"/>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199" t="s">
        <v>2551</v>
      </c>
      <c r="Q8" s="3200"/>
      <c r="R8" s="770" t="s">
        <v>23</v>
      </c>
      <c r="S8" s="771">
        <f t="shared" si="0"/>
        <v>0</v>
      </c>
      <c r="T8" s="770" t="s">
        <v>23</v>
      </c>
      <c r="U8" s="771">
        <f t="shared" si="1"/>
        <v>0</v>
      </c>
      <c r="V8" s="770" t="s">
        <v>23</v>
      </c>
      <c r="W8" s="771">
        <f t="shared" si="2"/>
        <v>0</v>
      </c>
      <c r="X8" s="772"/>
      <c r="Y8" s="3199" t="s">
        <v>2551</v>
      </c>
      <c r="Z8" s="320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169" t="s">
        <v>2554</v>
      </c>
      <c r="Q9" s="2929" t="str">
        <f t="shared" ref="Q9:Q15" si="6">B9</f>
        <v>用途</v>
      </c>
      <c r="R9" s="770" t="s">
        <v>17</v>
      </c>
      <c r="S9" s="771">
        <f t="shared" si="0"/>
        <v>100</v>
      </c>
      <c r="T9" s="770" t="s">
        <v>17</v>
      </c>
      <c r="U9" s="771">
        <f t="shared" si="1"/>
        <v>100</v>
      </c>
      <c r="V9" s="770" t="s">
        <v>17</v>
      </c>
      <c r="W9" s="771">
        <f t="shared" si="2"/>
        <v>100</v>
      </c>
      <c r="X9" s="772"/>
      <c r="Y9" s="3017" t="s">
        <v>2555</v>
      </c>
      <c r="Z9" s="2930" t="str">
        <f t="shared" ref="Z9:Z15" si="7">Q9</f>
        <v>用途</v>
      </c>
      <c r="AA9" s="773">
        <f t="shared" si="3"/>
        <v>1</v>
      </c>
      <c r="AB9" s="773">
        <f t="shared" si="4"/>
        <v>1</v>
      </c>
      <c r="AC9" s="773">
        <f t="shared" si="5"/>
        <v>1</v>
      </c>
    </row>
    <row r="10" spans="1:29" s="427" customFormat="1" ht="27">
      <c r="A10" s="421"/>
      <c r="B10" s="2935" t="s">
        <v>2556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9"/>
      <c r="Q10" s="2929" t="str">
        <f t="shared" si="6"/>
        <v>土地使用年限（年）</v>
      </c>
      <c r="R10" s="770" t="s">
        <v>17</v>
      </c>
      <c r="S10" s="771">
        <f t="shared" si="0"/>
        <v>100</v>
      </c>
      <c r="T10" s="770" t="s">
        <v>17</v>
      </c>
      <c r="U10" s="771">
        <f t="shared" si="1"/>
        <v>100</v>
      </c>
      <c r="V10" s="770" t="s">
        <v>17</v>
      </c>
      <c r="W10" s="771">
        <f t="shared" si="2"/>
        <v>100</v>
      </c>
      <c r="X10" s="772"/>
      <c r="Y10" s="3017"/>
      <c r="Z10" s="2930" t="str">
        <f t="shared" si="7"/>
        <v>土地使用年限（年）</v>
      </c>
      <c r="AA10" s="773">
        <f t="shared" si="3"/>
        <v>1</v>
      </c>
      <c r="AB10" s="773">
        <f t="shared" si="4"/>
        <v>1</v>
      </c>
      <c r="AC10" s="773">
        <f t="shared" si="5"/>
        <v>1</v>
      </c>
    </row>
    <row r="11" spans="1:29" ht="15">
      <c r="A11" s="428"/>
      <c r="B11" s="2935"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9"/>
      <c r="Q11" s="2929" t="str">
        <f t="shared" si="6"/>
        <v>容积率</v>
      </c>
      <c r="R11" s="770" t="s">
        <v>21</v>
      </c>
      <c r="S11" s="771" t="e">
        <f t="shared" si="0"/>
        <v>#N/A</v>
      </c>
      <c r="T11" s="770" t="s">
        <v>21</v>
      </c>
      <c r="U11" s="771" t="e">
        <f t="shared" si="1"/>
        <v>#N/A</v>
      </c>
      <c r="V11" s="770" t="s">
        <v>21</v>
      </c>
      <c r="W11" s="771" t="e">
        <f t="shared" si="2"/>
        <v>#N/A</v>
      </c>
      <c r="X11" s="772"/>
      <c r="Y11" s="3017"/>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169"/>
      <c r="Q12" s="2929">
        <f t="shared" si="6"/>
        <v>111</v>
      </c>
      <c r="R12" s="770" t="s">
        <v>21</v>
      </c>
      <c r="S12" s="771">
        <f t="shared" si="0"/>
        <v>100</v>
      </c>
      <c r="T12" s="770" t="s">
        <v>21</v>
      </c>
      <c r="U12" s="771">
        <f t="shared" si="1"/>
        <v>100</v>
      </c>
      <c r="V12" s="770" t="s">
        <v>21</v>
      </c>
      <c r="W12" s="771">
        <f t="shared" si="2"/>
        <v>100</v>
      </c>
      <c r="X12" s="772"/>
      <c r="Y12" s="3017"/>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169"/>
      <c r="Q13" s="2929">
        <f t="shared" si="6"/>
        <v>111</v>
      </c>
      <c r="R13" s="770" t="s">
        <v>21</v>
      </c>
      <c r="S13" s="771">
        <f t="shared" si="0"/>
        <v>100</v>
      </c>
      <c r="T13" s="770" t="s">
        <v>21</v>
      </c>
      <c r="U13" s="771">
        <f t="shared" si="1"/>
        <v>100</v>
      </c>
      <c r="V13" s="770" t="s">
        <v>21</v>
      </c>
      <c r="W13" s="771">
        <f t="shared" si="2"/>
        <v>100</v>
      </c>
      <c r="X13" s="772"/>
      <c r="Y13" s="3017"/>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169"/>
      <c r="Q14" s="2929">
        <f t="shared" si="6"/>
        <v>111</v>
      </c>
      <c r="R14" s="770" t="s">
        <v>21</v>
      </c>
      <c r="S14" s="771">
        <f t="shared" si="0"/>
        <v>100</v>
      </c>
      <c r="T14" s="770" t="s">
        <v>21</v>
      </c>
      <c r="U14" s="771">
        <f t="shared" si="1"/>
        <v>100</v>
      </c>
      <c r="V14" s="770" t="s">
        <v>21</v>
      </c>
      <c r="W14" s="771">
        <f t="shared" si="2"/>
        <v>100</v>
      </c>
      <c r="X14" s="772"/>
      <c r="Y14" s="3017"/>
      <c r="Z14" s="2930">
        <f t="shared" si="7"/>
        <v>111</v>
      </c>
      <c r="AA14" s="773">
        <f t="shared" si="3"/>
        <v>1</v>
      </c>
      <c r="AB14" s="773">
        <f t="shared" si="4"/>
        <v>1</v>
      </c>
      <c r="AC14" s="773">
        <f t="shared" si="5"/>
        <v>1</v>
      </c>
    </row>
    <row r="15" spans="1:29" ht="99.75">
      <c r="A15" s="440" t="s">
        <v>2558</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2" t="s">
        <v>2559</v>
      </c>
      <c r="Q15" s="2941" t="str">
        <f t="shared" si="6"/>
        <v>居住社区成熟度</v>
      </c>
      <c r="R15" s="774" t="s">
        <v>21</v>
      </c>
      <c r="S15" s="775">
        <f t="shared" si="0"/>
        <v>100</v>
      </c>
      <c r="T15" s="774" t="s">
        <v>21</v>
      </c>
      <c r="U15" s="775">
        <f t="shared" si="1"/>
        <v>100</v>
      </c>
      <c r="V15" s="774" t="s">
        <v>21</v>
      </c>
      <c r="W15" s="775">
        <f t="shared" si="2"/>
        <v>100</v>
      </c>
      <c r="X15" s="2943"/>
      <c r="Y15" s="3172" t="s">
        <v>2559</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33"/>
      <c r="Q16" s="2941"/>
      <c r="R16" s="774"/>
      <c r="S16" s="775"/>
      <c r="T16" s="774"/>
      <c r="U16" s="775"/>
      <c r="V16" s="774"/>
      <c r="W16" s="775"/>
      <c r="X16" s="2943"/>
      <c r="Y16" s="3173"/>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3"/>
      <c r="Q17" s="2941" t="str">
        <f>B17</f>
        <v>交通便捷度</v>
      </c>
      <c r="R17" s="774" t="s">
        <v>21</v>
      </c>
      <c r="S17" s="775">
        <f>F17</f>
        <v>100</v>
      </c>
      <c r="T17" s="774" t="s">
        <v>21</v>
      </c>
      <c r="U17" s="775">
        <f>H17</f>
        <v>100</v>
      </c>
      <c r="V17" s="774" t="s">
        <v>21</v>
      </c>
      <c r="W17" s="775">
        <f>J17</f>
        <v>100</v>
      </c>
      <c r="X17" s="2943"/>
      <c r="Y17" s="3173"/>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33"/>
      <c r="Q18" s="2941"/>
      <c r="R18" s="774"/>
      <c r="S18" s="775"/>
      <c r="T18" s="774"/>
      <c r="U18" s="775"/>
      <c r="V18" s="774"/>
      <c r="W18" s="775"/>
      <c r="X18" s="2943"/>
      <c r="Y18" s="3173"/>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3"/>
      <c r="Q19" s="2941" t="str">
        <f>B19</f>
        <v>公共配套设施</v>
      </c>
      <c r="R19" s="774" t="s">
        <v>21</v>
      </c>
      <c r="S19" s="775">
        <f>F19</f>
        <v>100</v>
      </c>
      <c r="T19" s="774" t="s">
        <v>21</v>
      </c>
      <c r="U19" s="775">
        <f>H19</f>
        <v>100</v>
      </c>
      <c r="V19" s="774" t="s">
        <v>21</v>
      </c>
      <c r="W19" s="775">
        <f>J19</f>
        <v>100</v>
      </c>
      <c r="X19" s="2943"/>
      <c r="Y19" s="3173"/>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33"/>
      <c r="Q20" s="2941"/>
      <c r="R20" s="774"/>
      <c r="S20" s="775"/>
      <c r="T20" s="774"/>
      <c r="U20" s="775"/>
      <c r="V20" s="774"/>
      <c r="W20" s="775"/>
      <c r="X20" s="2943"/>
      <c r="Y20" s="3173"/>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3"/>
      <c r="Q21" s="2941" t="str">
        <f>B21</f>
        <v>基础设施水平</v>
      </c>
      <c r="R21" s="774" t="s">
        <v>17</v>
      </c>
      <c r="S21" s="775">
        <f>F21</f>
        <v>100</v>
      </c>
      <c r="T21" s="774" t="s">
        <v>17</v>
      </c>
      <c r="U21" s="775">
        <f>H21</f>
        <v>100</v>
      </c>
      <c r="V21" s="774" t="s">
        <v>17</v>
      </c>
      <c r="W21" s="775">
        <f>J21</f>
        <v>100</v>
      </c>
      <c r="X21" s="2943"/>
      <c r="Y21" s="3173"/>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33"/>
      <c r="Q22" s="2941"/>
      <c r="R22" s="774"/>
      <c r="S22" s="775"/>
      <c r="T22" s="774"/>
      <c r="U22" s="775"/>
      <c r="V22" s="774"/>
      <c r="W22" s="775"/>
      <c r="X22" s="2943"/>
      <c r="Y22" s="3173"/>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3"/>
      <c r="Q23" s="2941" t="str">
        <f>B23</f>
        <v>自然及人文环境</v>
      </c>
      <c r="R23" s="774" t="s">
        <v>21</v>
      </c>
      <c r="S23" s="775">
        <f>F23</f>
        <v>100</v>
      </c>
      <c r="T23" s="774" t="s">
        <v>21</v>
      </c>
      <c r="U23" s="775">
        <f>H23</f>
        <v>100</v>
      </c>
      <c r="V23" s="774" t="s">
        <v>21</v>
      </c>
      <c r="W23" s="775">
        <f>J23</f>
        <v>100</v>
      </c>
      <c r="X23" s="2943"/>
      <c r="Y23" s="3173"/>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33"/>
      <c r="Q24" s="2941"/>
      <c r="R24" s="774"/>
      <c r="S24" s="775"/>
      <c r="T24" s="774"/>
      <c r="U24" s="775"/>
      <c r="V24" s="774"/>
      <c r="W24" s="775"/>
      <c r="X24" s="2943"/>
      <c r="Y24" s="3173"/>
      <c r="Z24" s="2944"/>
      <c r="AA24" s="2942">
        <v>1</v>
      </c>
      <c r="AB24" s="2942">
        <v>1</v>
      </c>
      <c r="AC24" s="2942">
        <v>1</v>
      </c>
    </row>
    <row r="25" spans="1:29" ht="15">
      <c r="A25" s="428"/>
      <c r="B25" s="2935"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3"/>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173"/>
      <c r="Z25" s="2944" t="str">
        <f>Q25</f>
        <v>楼层-1</v>
      </c>
      <c r="AA25" s="2942">
        <f t="shared" ref="AA25:AA46" si="15">D25/F25</f>
        <v>1</v>
      </c>
      <c r="AB25" s="2942">
        <f t="shared" ref="AB25:AB46" si="16">D25/H25</f>
        <v>1</v>
      </c>
      <c r="AC25" s="2942">
        <f t="shared" ref="AC25:AC46" si="17">D25/J25</f>
        <v>1</v>
      </c>
    </row>
    <row r="26" spans="1:29" ht="15">
      <c r="A26" s="428"/>
      <c r="B26" s="2935"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3"/>
      <c r="Q26" s="2941" t="str">
        <f t="shared" si="11"/>
        <v>朝向</v>
      </c>
      <c r="R26" s="774" t="s">
        <v>21</v>
      </c>
      <c r="S26" s="775">
        <f t="shared" si="12"/>
        <v>100</v>
      </c>
      <c r="T26" s="774" t="s">
        <v>21</v>
      </c>
      <c r="U26" s="775">
        <f t="shared" si="13"/>
        <v>100</v>
      </c>
      <c r="V26" s="774" t="s">
        <v>21</v>
      </c>
      <c r="W26" s="775">
        <f t="shared" si="14"/>
        <v>100</v>
      </c>
      <c r="X26" s="2943"/>
      <c r="Y26" s="3173"/>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3"/>
      <c r="Q27" s="2929">
        <f t="shared" si="11"/>
        <v>111</v>
      </c>
      <c r="R27" s="770" t="s">
        <v>21</v>
      </c>
      <c r="S27" s="771">
        <f t="shared" si="12"/>
        <v>100</v>
      </c>
      <c r="T27" s="770" t="s">
        <v>21</v>
      </c>
      <c r="U27" s="771">
        <f t="shared" si="13"/>
        <v>100</v>
      </c>
      <c r="V27" s="770" t="s">
        <v>21</v>
      </c>
      <c r="W27" s="771">
        <f t="shared" si="14"/>
        <v>100</v>
      </c>
      <c r="X27" s="772"/>
      <c r="Y27" s="3173"/>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3"/>
      <c r="Q28" s="2941">
        <f t="shared" si="11"/>
        <v>111</v>
      </c>
      <c r="R28" s="774" t="s">
        <v>21</v>
      </c>
      <c r="S28" s="775">
        <f t="shared" si="12"/>
        <v>100</v>
      </c>
      <c r="T28" s="774" t="s">
        <v>21</v>
      </c>
      <c r="U28" s="775">
        <f t="shared" si="13"/>
        <v>100</v>
      </c>
      <c r="V28" s="774" t="s">
        <v>21</v>
      </c>
      <c r="W28" s="775">
        <f t="shared" si="14"/>
        <v>100</v>
      </c>
      <c r="X28" s="2943"/>
      <c r="Y28" s="3173"/>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3"/>
      <c r="Q29" s="2941">
        <f t="shared" si="11"/>
        <v>111</v>
      </c>
      <c r="R29" s="774" t="s">
        <v>21</v>
      </c>
      <c r="S29" s="775">
        <f t="shared" si="12"/>
        <v>100</v>
      </c>
      <c r="T29" s="774" t="s">
        <v>21</v>
      </c>
      <c r="U29" s="775">
        <f t="shared" si="13"/>
        <v>100</v>
      </c>
      <c r="V29" s="774" t="s">
        <v>21</v>
      </c>
      <c r="W29" s="775">
        <f t="shared" si="14"/>
        <v>100</v>
      </c>
      <c r="X29" s="2943"/>
      <c r="Y29" s="3173"/>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3"/>
      <c r="Q30" s="2941">
        <f t="shared" si="11"/>
        <v>111</v>
      </c>
      <c r="R30" s="774" t="s">
        <v>21</v>
      </c>
      <c r="S30" s="775">
        <f t="shared" si="12"/>
        <v>100</v>
      </c>
      <c r="T30" s="774" t="s">
        <v>21</v>
      </c>
      <c r="U30" s="775">
        <f t="shared" si="13"/>
        <v>100</v>
      </c>
      <c r="V30" s="774" t="s">
        <v>21</v>
      </c>
      <c r="W30" s="775">
        <f t="shared" si="14"/>
        <v>100</v>
      </c>
      <c r="X30" s="2943"/>
      <c r="Y30" s="3173"/>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3"/>
      <c r="Q31" s="2941">
        <f t="shared" si="11"/>
        <v>111</v>
      </c>
      <c r="R31" s="774" t="s">
        <v>21</v>
      </c>
      <c r="S31" s="775">
        <f t="shared" si="12"/>
        <v>100</v>
      </c>
      <c r="T31" s="774" t="s">
        <v>21</v>
      </c>
      <c r="U31" s="775">
        <f t="shared" si="13"/>
        <v>100</v>
      </c>
      <c r="V31" s="774" t="s">
        <v>21</v>
      </c>
      <c r="W31" s="775">
        <f t="shared" si="14"/>
        <v>100</v>
      </c>
      <c r="X31" s="2943"/>
      <c r="Y31" s="3173"/>
      <c r="Z31" s="2944">
        <f t="shared" si="18"/>
        <v>111</v>
      </c>
      <c r="AA31" s="2942">
        <f t="shared" si="15"/>
        <v>1</v>
      </c>
      <c r="AB31" s="2942">
        <f t="shared" si="16"/>
        <v>1</v>
      </c>
      <c r="AC31" s="2942">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8" t="s">
        <v>2564</v>
      </c>
      <c r="Q32" s="2941" t="str">
        <f t="shared" si="11"/>
        <v>建筑类型</v>
      </c>
      <c r="R32" s="774" t="s">
        <v>21</v>
      </c>
      <c r="S32" s="775">
        <f t="shared" si="12"/>
        <v>100</v>
      </c>
      <c r="T32" s="774" t="s">
        <v>21</v>
      </c>
      <c r="U32" s="775">
        <f t="shared" si="13"/>
        <v>100</v>
      </c>
      <c r="V32" s="774" t="s">
        <v>21</v>
      </c>
      <c r="W32" s="775">
        <f t="shared" si="14"/>
        <v>100</v>
      </c>
      <c r="X32" s="2943"/>
      <c r="Y32" s="3175" t="s">
        <v>2564</v>
      </c>
      <c r="Z32" s="2944" t="str">
        <f t="shared" si="18"/>
        <v>建筑类型</v>
      </c>
      <c r="AA32" s="2942">
        <f t="shared" si="15"/>
        <v>1</v>
      </c>
      <c r="AB32" s="2942">
        <f t="shared" si="16"/>
        <v>1</v>
      </c>
      <c r="AC32" s="2942">
        <f t="shared" si="17"/>
        <v>1</v>
      </c>
    </row>
    <row r="33" spans="1:29" s="471" customFormat="1" ht="15">
      <c r="A33" s="468"/>
      <c r="B33" s="2935"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29"/>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2942" t="e">
        <f t="shared" si="15"/>
        <v>#N/A</v>
      </c>
      <c r="AB33" s="2942" t="e">
        <f t="shared" si="16"/>
        <v>#N/A</v>
      </c>
      <c r="AC33" s="2942" t="e">
        <f t="shared" si="17"/>
        <v>#N/A</v>
      </c>
    </row>
    <row r="34" spans="1:29" ht="15">
      <c r="A34" s="472"/>
      <c r="B34" s="2935"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9"/>
      <c r="Q34" s="2941" t="str">
        <f t="shared" si="11"/>
        <v>建筑结构</v>
      </c>
      <c r="R34" s="774" t="s">
        <v>21</v>
      </c>
      <c r="S34" s="775">
        <f t="shared" si="12"/>
        <v>100</v>
      </c>
      <c r="T34" s="774" t="s">
        <v>21</v>
      </c>
      <c r="U34" s="775">
        <f t="shared" si="13"/>
        <v>100</v>
      </c>
      <c r="V34" s="774" t="s">
        <v>21</v>
      </c>
      <c r="W34" s="775">
        <f t="shared" si="14"/>
        <v>100</v>
      </c>
      <c r="X34" s="2943"/>
      <c r="Y34" s="3175"/>
      <c r="Z34" s="2944" t="str">
        <f t="shared" si="18"/>
        <v>建筑结构</v>
      </c>
      <c r="AA34" s="2942">
        <f t="shared" si="15"/>
        <v>1</v>
      </c>
      <c r="AB34" s="2942">
        <f t="shared" si="16"/>
        <v>1</v>
      </c>
      <c r="AC34" s="2942">
        <f t="shared" si="17"/>
        <v>1</v>
      </c>
    </row>
    <row r="35" spans="1:29" ht="15">
      <c r="A35" s="472"/>
      <c r="B35" s="2935"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9"/>
      <c r="Q35" s="2941" t="str">
        <f t="shared" si="11"/>
        <v>建筑品质</v>
      </c>
      <c r="R35" s="774" t="s">
        <v>21</v>
      </c>
      <c r="S35" s="775">
        <f t="shared" si="12"/>
        <v>100</v>
      </c>
      <c r="T35" s="774" t="s">
        <v>21</v>
      </c>
      <c r="U35" s="775">
        <f t="shared" si="13"/>
        <v>100</v>
      </c>
      <c r="V35" s="774" t="s">
        <v>21</v>
      </c>
      <c r="W35" s="775">
        <f t="shared" si="14"/>
        <v>100</v>
      </c>
      <c r="X35" s="2943"/>
      <c r="Y35" s="3175"/>
      <c r="Z35" s="2944" t="str">
        <f t="shared" si="18"/>
        <v>建筑品质</v>
      </c>
      <c r="AA35" s="2942">
        <f t="shared" si="15"/>
        <v>1</v>
      </c>
      <c r="AB35" s="2942">
        <f t="shared" si="16"/>
        <v>1</v>
      </c>
      <c r="AC35" s="2942">
        <f t="shared" si="17"/>
        <v>1</v>
      </c>
    </row>
    <row r="36" spans="1:29" ht="15">
      <c r="A36" s="472"/>
      <c r="B36" s="2935"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9"/>
      <c r="Q36" s="2941" t="str">
        <f t="shared" si="11"/>
        <v>公共部分装修</v>
      </c>
      <c r="R36" s="774" t="s">
        <v>21</v>
      </c>
      <c r="S36" s="775">
        <f t="shared" si="12"/>
        <v>100</v>
      </c>
      <c r="T36" s="774" t="s">
        <v>21</v>
      </c>
      <c r="U36" s="775">
        <f t="shared" si="13"/>
        <v>100</v>
      </c>
      <c r="V36" s="774" t="s">
        <v>21</v>
      </c>
      <c r="W36" s="775">
        <f t="shared" si="14"/>
        <v>100</v>
      </c>
      <c r="X36" s="2943"/>
      <c r="Y36" s="3175"/>
      <c r="Z36" s="2944" t="str">
        <f t="shared" si="18"/>
        <v>公共部分装修</v>
      </c>
      <c r="AA36" s="2942">
        <f t="shared" si="15"/>
        <v>1</v>
      </c>
      <c r="AB36" s="2942">
        <f t="shared" si="16"/>
        <v>1</v>
      </c>
      <c r="AC36" s="2942">
        <f t="shared" si="17"/>
        <v>1</v>
      </c>
    </row>
    <row r="37" spans="1:29" s="117" customFormat="1" ht="15">
      <c r="A37" s="473"/>
      <c r="B37" s="2935"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9"/>
      <c r="Q37" s="2929" t="str">
        <f t="shared" si="11"/>
        <v>成新度</v>
      </c>
      <c r="R37" s="770" t="s">
        <v>21</v>
      </c>
      <c r="S37" s="771" t="e">
        <f t="shared" si="12"/>
        <v>#N/A</v>
      </c>
      <c r="T37" s="770" t="s">
        <v>21</v>
      </c>
      <c r="U37" s="771" t="e">
        <f t="shared" si="13"/>
        <v>#N/A</v>
      </c>
      <c r="V37" s="770" t="s">
        <v>21</v>
      </c>
      <c r="W37" s="771" t="e">
        <f t="shared" si="14"/>
        <v>#N/A</v>
      </c>
      <c r="X37" s="772"/>
      <c r="Y37" s="3175"/>
      <c r="Z37" s="2930" t="str">
        <f t="shared" si="18"/>
        <v>成新度</v>
      </c>
      <c r="AA37" s="773" t="e">
        <f t="shared" si="15"/>
        <v>#N/A</v>
      </c>
      <c r="AB37" s="773" t="e">
        <f t="shared" si="16"/>
        <v>#N/A</v>
      </c>
      <c r="AC37" s="773" t="e">
        <f t="shared" si="17"/>
        <v>#N/A</v>
      </c>
    </row>
    <row r="38" spans="1:29" ht="15">
      <c r="A38" s="472"/>
      <c r="B38" s="2935"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9" t="s">
        <v>2564</v>
      </c>
      <c r="Q38" s="2941" t="str">
        <f t="shared" si="11"/>
        <v>物业管理</v>
      </c>
      <c r="R38" s="774" t="s">
        <v>21</v>
      </c>
      <c r="S38" s="775">
        <f t="shared" si="12"/>
        <v>100</v>
      </c>
      <c r="T38" s="774" t="s">
        <v>21</v>
      </c>
      <c r="U38" s="775">
        <f t="shared" si="13"/>
        <v>100</v>
      </c>
      <c r="V38" s="774" t="s">
        <v>21</v>
      </c>
      <c r="W38" s="775">
        <f t="shared" si="14"/>
        <v>100</v>
      </c>
      <c r="X38" s="2943"/>
      <c r="Y38" s="3175" t="s">
        <v>2564</v>
      </c>
      <c r="Z38" s="2944" t="str">
        <f t="shared" si="18"/>
        <v>物业管理</v>
      </c>
      <c r="AA38" s="2942">
        <f t="shared" si="15"/>
        <v>1</v>
      </c>
      <c r="AB38" s="2942">
        <f t="shared" si="16"/>
        <v>1</v>
      </c>
      <c r="AC38" s="2942">
        <f t="shared" si="17"/>
        <v>1</v>
      </c>
    </row>
    <row r="39" spans="1:29" ht="15">
      <c r="A39" s="472"/>
      <c r="B39" s="2935"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9"/>
      <c r="Q39" s="2941" t="str">
        <f t="shared" si="11"/>
        <v>市政基础设施</v>
      </c>
      <c r="R39" s="774" t="s">
        <v>21</v>
      </c>
      <c r="S39" s="775">
        <f t="shared" si="12"/>
        <v>100</v>
      </c>
      <c r="T39" s="774" t="s">
        <v>21</v>
      </c>
      <c r="U39" s="775">
        <f t="shared" si="13"/>
        <v>100</v>
      </c>
      <c r="V39" s="774" t="s">
        <v>21</v>
      </c>
      <c r="W39" s="775">
        <f t="shared" si="14"/>
        <v>100</v>
      </c>
      <c r="X39" s="2943"/>
      <c r="Y39" s="3175"/>
      <c r="Z39" s="2944" t="str">
        <f t="shared" si="18"/>
        <v>市政基础设施</v>
      </c>
      <c r="AA39" s="2942">
        <f t="shared" si="15"/>
        <v>1</v>
      </c>
      <c r="AB39" s="2942">
        <f t="shared" si="16"/>
        <v>1</v>
      </c>
      <c r="AC39" s="2942">
        <f t="shared" si="17"/>
        <v>1</v>
      </c>
    </row>
    <row r="40" spans="1:29" ht="15">
      <c r="A40" s="472"/>
      <c r="B40" s="2935"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9"/>
      <c r="Q40" s="2941" t="str">
        <f t="shared" si="11"/>
        <v>房型</v>
      </c>
      <c r="R40" s="774" t="s">
        <v>21</v>
      </c>
      <c r="S40" s="775">
        <f t="shared" si="12"/>
        <v>100</v>
      </c>
      <c r="T40" s="774" t="s">
        <v>21</v>
      </c>
      <c r="U40" s="775">
        <f t="shared" si="13"/>
        <v>100</v>
      </c>
      <c r="V40" s="774" t="s">
        <v>21</v>
      </c>
      <c r="W40" s="775">
        <f t="shared" si="14"/>
        <v>100</v>
      </c>
      <c r="X40" s="2943"/>
      <c r="Y40" s="3175"/>
      <c r="Z40" s="2944" t="str">
        <f t="shared" si="18"/>
        <v>房型</v>
      </c>
      <c r="AA40" s="2942">
        <f t="shared" si="15"/>
        <v>1</v>
      </c>
      <c r="AB40" s="2942">
        <f t="shared" si="16"/>
        <v>1</v>
      </c>
      <c r="AC40" s="2942">
        <f t="shared" si="17"/>
        <v>1</v>
      </c>
    </row>
    <row r="41" spans="1:29" s="471" customFormat="1" ht="28.5">
      <c r="A41" s="468"/>
      <c r="B41" s="2935"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9"/>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2942">
        <f t="shared" si="15"/>
        <v>1</v>
      </c>
      <c r="AB41" s="2942">
        <f t="shared" si="16"/>
        <v>1</v>
      </c>
      <c r="AC41" s="2942">
        <f t="shared" si="17"/>
        <v>1</v>
      </c>
    </row>
    <row r="42" spans="1:29" ht="15">
      <c r="A42" s="472"/>
      <c r="B42" s="2935"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9"/>
      <c r="Q42" s="2941" t="str">
        <f t="shared" si="11"/>
        <v>内部装修</v>
      </c>
      <c r="R42" s="774" t="s">
        <v>21</v>
      </c>
      <c r="S42" s="775">
        <f t="shared" si="12"/>
        <v>100</v>
      </c>
      <c r="T42" s="774" t="s">
        <v>21</v>
      </c>
      <c r="U42" s="775">
        <f t="shared" si="13"/>
        <v>100</v>
      </c>
      <c r="V42" s="774" t="s">
        <v>21</v>
      </c>
      <c r="W42" s="775">
        <f t="shared" si="14"/>
        <v>100</v>
      </c>
      <c r="X42" s="2943"/>
      <c r="Y42" s="3175"/>
      <c r="Z42" s="2944" t="str">
        <f t="shared" si="18"/>
        <v>内部装修</v>
      </c>
      <c r="AA42" s="2942">
        <f t="shared" si="15"/>
        <v>1</v>
      </c>
      <c r="AB42" s="2942">
        <f t="shared" si="16"/>
        <v>1</v>
      </c>
      <c r="AC42" s="2942">
        <f t="shared" si="17"/>
        <v>1</v>
      </c>
    </row>
    <row r="43" spans="1:29" ht="15">
      <c r="A43" s="472"/>
      <c r="B43" s="2935"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9"/>
      <c r="Q43" s="2941" t="str">
        <f t="shared" si="11"/>
        <v>内部装修维护情况</v>
      </c>
      <c r="R43" s="774" t="s">
        <v>21</v>
      </c>
      <c r="S43" s="775">
        <f t="shared" si="12"/>
        <v>100</v>
      </c>
      <c r="T43" s="774" t="s">
        <v>21</v>
      </c>
      <c r="U43" s="775">
        <f t="shared" si="13"/>
        <v>100</v>
      </c>
      <c r="V43" s="774" t="s">
        <v>21</v>
      </c>
      <c r="W43" s="775">
        <f t="shared" si="14"/>
        <v>100</v>
      </c>
      <c r="X43" s="2943"/>
      <c r="Y43" s="3175"/>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9"/>
      <c r="Q44" s="2929">
        <f t="shared" si="11"/>
        <v>111</v>
      </c>
      <c r="R44" s="770" t="s">
        <v>21</v>
      </c>
      <c r="S44" s="771">
        <f t="shared" si="12"/>
        <v>100</v>
      </c>
      <c r="T44" s="770" t="s">
        <v>21</v>
      </c>
      <c r="U44" s="771">
        <f t="shared" si="13"/>
        <v>100</v>
      </c>
      <c r="V44" s="770" t="s">
        <v>21</v>
      </c>
      <c r="W44" s="771">
        <f t="shared" si="14"/>
        <v>100</v>
      </c>
      <c r="X44" s="772"/>
      <c r="Y44" s="3175"/>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9"/>
      <c r="Q45" s="2941">
        <f t="shared" si="11"/>
        <v>111</v>
      </c>
      <c r="R45" s="774" t="s">
        <v>21</v>
      </c>
      <c r="S45" s="775">
        <f t="shared" si="12"/>
        <v>100</v>
      </c>
      <c r="T45" s="774" t="s">
        <v>21</v>
      </c>
      <c r="U45" s="775">
        <f t="shared" si="13"/>
        <v>100</v>
      </c>
      <c r="V45" s="774" t="s">
        <v>21</v>
      </c>
      <c r="W45" s="775">
        <f t="shared" si="14"/>
        <v>100</v>
      </c>
      <c r="X45" s="2943"/>
      <c r="Y45" s="3175"/>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30"/>
      <c r="Q46" s="2941">
        <f t="shared" si="11"/>
        <v>111</v>
      </c>
      <c r="R46" s="774" t="s">
        <v>20</v>
      </c>
      <c r="S46" s="775">
        <f t="shared" si="12"/>
        <v>100</v>
      </c>
      <c r="T46" s="774" t="s">
        <v>20</v>
      </c>
      <c r="U46" s="775">
        <f t="shared" si="13"/>
        <v>100</v>
      </c>
      <c r="V46" s="774" t="s">
        <v>20</v>
      </c>
      <c r="W46" s="775">
        <f t="shared" si="14"/>
        <v>100</v>
      </c>
      <c r="X46" s="2943"/>
      <c r="Y46" s="3231"/>
      <c r="Z46" s="2944">
        <f t="shared" si="18"/>
        <v>111</v>
      </c>
      <c r="AA46" s="2942">
        <f t="shared" si="15"/>
        <v>1</v>
      </c>
      <c r="AB46" s="2942">
        <f t="shared" si="16"/>
        <v>1</v>
      </c>
      <c r="AC46" s="2942">
        <f t="shared" si="17"/>
        <v>1</v>
      </c>
    </row>
    <row r="47" spans="1:29" ht="15">
      <c r="A47" s="479" t="s">
        <v>2576</v>
      </c>
      <c r="B47" s="480"/>
      <c r="C47" s="1409" t="s">
        <v>19</v>
      </c>
      <c r="D47" s="1410"/>
      <c r="E47" s="1411"/>
      <c r="F47" s="1412"/>
      <c r="G47" s="1413"/>
      <c r="H47" s="1414"/>
      <c r="I47" s="1411"/>
      <c r="J47" s="1414"/>
      <c r="K47" s="2624"/>
      <c r="L47" s="1145"/>
      <c r="M47" s="1146"/>
      <c r="N47" s="1133"/>
      <c r="O47" s="1146"/>
      <c r="P47" s="3170" t="str">
        <f>A47</f>
        <v>成交单价（元/平方米）</v>
      </c>
      <c r="Q47" s="3170"/>
      <c r="R47" s="3227">
        <f>E47</f>
        <v>0</v>
      </c>
      <c r="S47" s="3227"/>
      <c r="T47" s="3227">
        <f>G47</f>
        <v>0</v>
      </c>
      <c r="U47" s="3227"/>
      <c r="V47" s="3227">
        <f>I47</f>
        <v>0</v>
      </c>
      <c r="W47" s="3227"/>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5"/>
      <c r="L48" s="1145"/>
      <c r="M48" s="1146"/>
      <c r="N48" s="1146"/>
      <c r="O48" s="1146"/>
      <c r="P48" s="3170" t="str">
        <f>A48</f>
        <v>比较价值（元/平方米）</v>
      </c>
      <c r="Q48" s="317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6"/>
      <c r="L49" s="1145"/>
      <c r="M49" s="1146"/>
      <c r="N49" s="1146"/>
      <c r="O49" s="1146"/>
      <c r="P49" s="3164" t="str">
        <f>A49</f>
        <v>估价对象XX用房的比较价值（楼面单价，元/平方米）</v>
      </c>
      <c r="Q49" s="3165"/>
      <c r="R49" s="3226" t="e">
        <f>IF(F1="售价",ROUND(AVERAGE(R48:V48),0),ROUND(AVERAGE(R48:V48),1))</f>
        <v>#DIV/0!</v>
      </c>
      <c r="S49" s="3226"/>
      <c r="T49" s="3226"/>
      <c r="U49" s="3226"/>
      <c r="V49" s="3226"/>
      <c r="W49" s="322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2582</v>
      </c>
      <c r="B57" s="759"/>
      <c r="C57" s="764"/>
      <c r="D57" s="764"/>
      <c r="E57" s="764"/>
      <c r="F57" s="765"/>
      <c r="G57" s="765"/>
      <c r="H57" s="764"/>
      <c r="I57" s="764"/>
      <c r="J57" s="764"/>
      <c r="K57" s="1162"/>
      <c r="L57" s="1163"/>
      <c r="M57" s="1161"/>
      <c r="N57" s="1161"/>
      <c r="O57" s="1161"/>
      <c r="P57" s="2629"/>
      <c r="Q57" s="504"/>
    </row>
    <row r="58" spans="1:29" s="508" customFormat="1" ht="15">
      <c r="A58" s="505" t="s">
        <v>2583</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2603</v>
      </c>
      <c r="D82" s="539" t="s">
        <v>2604</v>
      </c>
      <c r="E82" s="539" t="s">
        <v>2605</v>
      </c>
      <c r="F82" s="539" t="s">
        <v>2606</v>
      </c>
      <c r="G82" s="539" t="s">
        <v>2607</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2609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2610</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2562</v>
      </c>
      <c r="B100" s="528" t="s">
        <v>2611</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2614</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2615</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2616</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2617</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2618</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6">
        <v>6</v>
      </c>
      <c r="C139" s="1087">
        <v>96</v>
      </c>
      <c r="D139" s="2651" t="s">
        <v>2630</v>
      </c>
      <c r="E139" s="1088">
        <v>100</v>
      </c>
      <c r="F139" s="1089">
        <v>102.5</v>
      </c>
      <c r="G139" s="2651" t="s">
        <v>2630</v>
      </c>
      <c r="H139" s="1090">
        <v>105</v>
      </c>
      <c r="I139" s="2652" t="s">
        <v>2631</v>
      </c>
      <c r="J139" s="1087">
        <v>20</v>
      </c>
      <c r="K139" s="1091">
        <f>C145/(J139-2)</f>
        <v>4.0555555555555553E-3</v>
      </c>
    </row>
    <row r="140" spans="1:17" ht="15">
      <c r="B140" s="1092">
        <v>5</v>
      </c>
      <c r="C140" s="1093">
        <v>100</v>
      </c>
      <c r="D140" s="1093"/>
      <c r="E140" s="1094"/>
      <c r="F140" s="1095">
        <v>102</v>
      </c>
      <c r="G140" s="1093"/>
      <c r="H140" s="1096"/>
      <c r="I140" s="2653" t="s">
        <v>2632</v>
      </c>
      <c r="J140" s="315">
        <f>ROUNDUP((J139-1)/2,0)</f>
        <v>10</v>
      </c>
      <c r="K140" s="1097">
        <v>100</v>
      </c>
    </row>
    <row r="141" spans="1:17" ht="15">
      <c r="B141" s="1092">
        <v>4</v>
      </c>
      <c r="C141" s="1093">
        <v>102</v>
      </c>
      <c r="D141" s="1093"/>
      <c r="E141" s="1094"/>
      <c r="F141" s="1095">
        <v>101.5</v>
      </c>
      <c r="G141" s="1093"/>
      <c r="H141" s="1096"/>
      <c r="I141" s="2653" t="s">
        <v>2633</v>
      </c>
      <c r="J141" s="315">
        <v>1</v>
      </c>
      <c r="K141" s="1098">
        <f>ROUND(100+(J141-J140)*K139*100,1)</f>
        <v>96.4</v>
      </c>
    </row>
    <row r="142" spans="1:17" ht="15">
      <c r="B142" s="1092">
        <v>3</v>
      </c>
      <c r="C142" s="1093">
        <v>103</v>
      </c>
      <c r="D142" s="1093"/>
      <c r="E142" s="1094"/>
      <c r="F142" s="1095">
        <v>101</v>
      </c>
      <c r="G142" s="1093"/>
      <c r="H142" s="1096"/>
      <c r="I142" s="2653" t="s">
        <v>2634</v>
      </c>
      <c r="J142" s="315">
        <f>J139</f>
        <v>20</v>
      </c>
      <c r="K142" s="1099">
        <v>95</v>
      </c>
    </row>
    <row r="143" spans="1:17" ht="15">
      <c r="B143" s="1092">
        <v>2</v>
      </c>
      <c r="C143" s="1093">
        <v>100</v>
      </c>
      <c r="D143" s="1093"/>
      <c r="E143" s="1094"/>
      <c r="F143" s="1095">
        <v>100.5</v>
      </c>
      <c r="G143" s="1093"/>
      <c r="H143" s="1096"/>
      <c r="I143" s="2653" t="s">
        <v>2635</v>
      </c>
      <c r="J143" s="1093">
        <v>15</v>
      </c>
      <c r="K143" s="1098">
        <f>ROUND(100+(J143-J140)*K139*100,1)</f>
        <v>102</v>
      </c>
    </row>
    <row r="144" spans="1:17" ht="15">
      <c r="B144" s="1092">
        <v>1</v>
      </c>
      <c r="C144" s="1093">
        <v>98</v>
      </c>
      <c r="D144" s="2654" t="s">
        <v>2636</v>
      </c>
      <c r="E144" s="1094">
        <v>102</v>
      </c>
      <c r="F144" s="1100">
        <v>100</v>
      </c>
      <c r="G144" s="2654" t="s">
        <v>2636</v>
      </c>
      <c r="H144" s="1096">
        <v>105</v>
      </c>
      <c r="I144" s="2653" t="s">
        <v>2635</v>
      </c>
      <c r="J144" s="1093">
        <v>18</v>
      </c>
      <c r="K144" s="1098">
        <f>ROUND(100+(J144-J140)*K139*100,1)</f>
        <v>103.2</v>
      </c>
    </row>
    <row r="145" spans="2:11" ht="15.75" thickBot="1">
      <c r="B145" s="2655" t="s">
        <v>2637</v>
      </c>
      <c r="C145" s="1101">
        <f>ROUND(MAX(C139:C144)/MIN(C139:C144)-1,3)</f>
        <v>7.2999999999999995E-2</v>
      </c>
      <c r="D145" s="1102"/>
      <c r="E145" s="1102"/>
      <c r="F145" s="2656" t="s">
        <v>2638</v>
      </c>
      <c r="G145" s="2657"/>
      <c r="H145" s="2658"/>
      <c r="I145" s="2659" t="s">
        <v>2635</v>
      </c>
      <c r="J145" s="1103">
        <v>8</v>
      </c>
      <c r="K145" s="1104">
        <f>ROUND(100+(J145-J140)*K139*100,1)</f>
        <v>99.2</v>
      </c>
    </row>
    <row r="147" spans="2:11">
      <c r="B147" s="2640" t="s">
        <v>2639</v>
      </c>
    </row>
    <row r="148" spans="2:11">
      <c r="B148" s="2640" t="s">
        <v>2640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6" t="s">
        <v>1404</v>
      </c>
      <c r="C6" s="1298">
        <f ca="1">ROUND(F6*F8*F7*(1-F9)/10000,0)</f>
        <v>0</v>
      </c>
      <c r="D6" s="164" t="s">
        <v>3033</v>
      </c>
      <c r="E6" s="347" t="s">
        <v>1406</v>
      </c>
      <c r="F6" s="348">
        <f ca="1">INDIRECT("'数据-取费表'!u"&amp;$G$1)</f>
        <v>0</v>
      </c>
      <c r="G6" s="1854"/>
      <c r="H6" s="1293" t="s">
        <v>1035</v>
      </c>
      <c r="I6" s="3236" t="s">
        <v>1404</v>
      </c>
      <c r="J6" s="346">
        <f ca="1">ROUND(M6*M8*M7*(1-M9)/10000,0)</f>
        <v>0</v>
      </c>
      <c r="K6" s="164" t="s">
        <v>3032</v>
      </c>
      <c r="L6" s="347" t="s">
        <v>1406</v>
      </c>
      <c r="M6" s="348">
        <f ca="1">INDIRECT("'数据-取费表'!z"&amp;$G$1)</f>
        <v>0</v>
      </c>
    </row>
    <row r="7" spans="1:37" ht="18" customHeight="1">
      <c r="A7" s="1297"/>
      <c r="B7" s="3237"/>
      <c r="C7" s="1299"/>
      <c r="D7" s="352"/>
      <c r="E7" s="2940" t="s">
        <v>1407</v>
      </c>
      <c r="F7" s="348">
        <f ca="1">IF(INDIRECT("'数据-取费表'!ah"&amp;$G$1)="",INDIRECT("'数据-取费表'!k"&amp;$G$1),INDIRECT("'数据-取费表'!ah"&amp;$G$1))</f>
        <v>0</v>
      </c>
      <c r="G7" s="1854"/>
      <c r="H7" s="349"/>
      <c r="I7" s="3237"/>
      <c r="J7" s="351"/>
      <c r="K7" s="352"/>
      <c r="L7" s="347" t="s">
        <v>1407</v>
      </c>
      <c r="M7" s="348">
        <f ca="1">F7</f>
        <v>0</v>
      </c>
    </row>
    <row r="8" spans="1:37" ht="18" customHeight="1">
      <c r="A8" s="349"/>
      <c r="B8" s="3237"/>
      <c r="C8" s="351"/>
      <c r="D8" s="352"/>
      <c r="E8" s="347" t="s">
        <v>1408</v>
      </c>
      <c r="F8" s="348">
        <f ca="1">INDIRECT("'数据-取费表'!ai"&amp;$G$1)</f>
        <v>0</v>
      </c>
      <c r="G8" s="1854"/>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4"/>
      <c r="H9" s="349"/>
      <c r="I9" s="323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3034</v>
      </c>
      <c r="E10" s="358" t="s">
        <v>1412</v>
      </c>
      <c r="F10" s="1368"/>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t="b">
        <f>IF(M47="住宅",J51,IF(D1="——",MIN(J51,L48),IF(D1="在建（套用方法）",MIN(J51,L48-'数据-取费表'!B24),IF(D1="土地（套用方法）",MIN(J51,L48-'数据-取费表'!B20)))))</f>
        <v>0</v>
      </c>
      <c r="K53" s="3234" t="s">
        <v>1550</v>
      </c>
      <c r="L53" s="3235"/>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9"/>
      <c r="D2" s="1126" t="e">
        <f ca="1">SUMIF(INDIRECT("'"&amp;F2&amp;"'"&amp;"!A:A"),"承租人权益价值",INDIRECT("'"&amp;F2&amp;"'"&amp;"!c:c"))</f>
        <v>#REF!</v>
      </c>
      <c r="E2" s="2590" t="s">
        <v>2330</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8" t="s">
        <v>2647</v>
      </c>
      <c r="AC4" s="3177" t="s">
        <v>2648</v>
      </c>
    </row>
    <row r="5" spans="1:29" ht="15">
      <c r="A5" s="404"/>
      <c r="B5" s="405"/>
      <c r="C5" s="3197" t="s">
        <v>2541</v>
      </c>
      <c r="D5" s="3198"/>
      <c r="E5" s="3204" t="s">
        <v>2542</v>
      </c>
      <c r="F5" s="3205"/>
      <c r="G5" s="3197" t="s">
        <v>2543</v>
      </c>
      <c r="H5" s="3198"/>
      <c r="I5" s="3197" t="s">
        <v>2544</v>
      </c>
      <c r="J5" s="3198"/>
      <c r="K5" s="610"/>
      <c r="L5" s="1132"/>
      <c r="M5" s="1133"/>
      <c r="N5" s="1133"/>
      <c r="O5" s="1133"/>
      <c r="P5" s="3185"/>
      <c r="Q5" s="3186"/>
      <c r="R5" s="3191"/>
      <c r="S5" s="3192"/>
      <c r="T5" s="3191"/>
      <c r="U5" s="3192"/>
      <c r="V5" s="3176"/>
      <c r="W5" s="3176"/>
      <c r="X5" s="1816"/>
      <c r="Y5" s="3191"/>
      <c r="Z5" s="3192"/>
      <c r="AA5" s="3178"/>
      <c r="AB5" s="3178"/>
      <c r="AC5" s="3178"/>
    </row>
    <row r="6" spans="1:29" ht="15.75" thickBot="1">
      <c r="A6" s="406"/>
      <c r="B6" s="407"/>
      <c r="C6" s="3195" t="s">
        <v>2545</v>
      </c>
      <c r="D6" s="3196"/>
      <c r="E6" s="3202" t="s">
        <v>2545</v>
      </c>
      <c r="F6" s="3203"/>
      <c r="G6" s="3195" t="s">
        <v>2545</v>
      </c>
      <c r="H6" s="3196"/>
      <c r="I6" s="3195" t="s">
        <v>2545</v>
      </c>
      <c r="J6" s="3196"/>
      <c r="K6" s="610" t="s">
        <v>2546</v>
      </c>
      <c r="L6" s="1132"/>
      <c r="M6" s="1133"/>
      <c r="N6" s="1133"/>
      <c r="O6" s="1133"/>
      <c r="P6" s="3187"/>
      <c r="Q6" s="3188"/>
      <c r="R6" s="3191"/>
      <c r="S6" s="3192"/>
      <c r="T6" s="3193"/>
      <c r="U6" s="3194"/>
      <c r="V6" s="3176"/>
      <c r="W6" s="3176"/>
      <c r="X6" s="1816"/>
      <c r="Y6" s="3193"/>
      <c r="Z6" s="3194"/>
      <c r="AA6" s="3179"/>
      <c r="AB6" s="3179"/>
      <c r="AC6" s="3179"/>
    </row>
    <row r="7" spans="1:29" s="117" customFormat="1" ht="15.75" thickBot="1">
      <c r="A7" s="408" t="s">
        <v>2547</v>
      </c>
      <c r="B7" s="409"/>
      <c r="C7" s="410">
        <f>'数据-取费表'!B2</f>
        <v>43105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9" t="s">
        <v>2548</v>
      </c>
      <c r="Q7" s="3201"/>
      <c r="R7" s="770" t="s">
        <v>17</v>
      </c>
      <c r="S7" s="771">
        <f t="shared" ref="S7:S14" si="0">F7</f>
        <v>0</v>
      </c>
      <c r="T7" s="770" t="s">
        <v>17</v>
      </c>
      <c r="U7" s="771">
        <f t="shared" ref="U7:U14" si="1">H7</f>
        <v>0</v>
      </c>
      <c r="V7" s="770" t="s">
        <v>17</v>
      </c>
      <c r="W7" s="771">
        <f t="shared" ref="W7:W14" si="2">J7</f>
        <v>0</v>
      </c>
      <c r="X7" s="772"/>
      <c r="Y7" s="3199" t="s">
        <v>2548</v>
      </c>
      <c r="Z7" s="320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9" t="s">
        <v>2551</v>
      </c>
      <c r="Q8" s="3200"/>
      <c r="R8" s="770" t="s">
        <v>17</v>
      </c>
      <c r="S8" s="771">
        <f t="shared" si="0"/>
        <v>0</v>
      </c>
      <c r="T8" s="770" t="s">
        <v>17</v>
      </c>
      <c r="U8" s="771">
        <f t="shared" si="1"/>
        <v>0</v>
      </c>
      <c r="V8" s="770" t="s">
        <v>17</v>
      </c>
      <c r="W8" s="771">
        <f t="shared" si="2"/>
        <v>0</v>
      </c>
      <c r="X8" s="772"/>
      <c r="Y8" s="3199" t="s">
        <v>2551</v>
      </c>
      <c r="Z8" s="320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0" t="s">
        <v>2554</v>
      </c>
      <c r="Q9" s="1798"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0"/>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2" t="s">
        <v>2559</v>
      </c>
      <c r="Q14" s="1813" t="str">
        <f t="shared" si="6"/>
        <v>交通便捷度</v>
      </c>
      <c r="R14" s="774" t="s">
        <v>17</v>
      </c>
      <c r="S14" s="775">
        <f t="shared" si="0"/>
        <v>100</v>
      </c>
      <c r="T14" s="774" t="s">
        <v>17</v>
      </c>
      <c r="U14" s="775">
        <f t="shared" si="1"/>
        <v>100</v>
      </c>
      <c r="V14" s="774" t="s">
        <v>17</v>
      </c>
      <c r="W14" s="775">
        <f t="shared" si="2"/>
        <v>100</v>
      </c>
      <c r="X14" s="1816"/>
      <c r="Y14" s="3172"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73"/>
      <c r="Q15" s="1813"/>
      <c r="R15" s="774"/>
      <c r="S15" s="775"/>
      <c r="T15" s="774"/>
      <c r="U15" s="775"/>
      <c r="V15" s="774"/>
      <c r="W15" s="775"/>
      <c r="X15" s="1816"/>
      <c r="Y15" s="3173"/>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3"/>
      <c r="Q16" s="1813" t="str">
        <f>B16</f>
        <v>公共配套设施</v>
      </c>
      <c r="R16" s="774" t="s">
        <v>17</v>
      </c>
      <c r="S16" s="775">
        <f>F16</f>
        <v>100</v>
      </c>
      <c r="T16" s="774" t="s">
        <v>17</v>
      </c>
      <c r="U16" s="775">
        <f>H16</f>
        <v>100</v>
      </c>
      <c r="V16" s="774" t="s">
        <v>17</v>
      </c>
      <c r="W16" s="775">
        <f>J16</f>
        <v>100</v>
      </c>
      <c r="X16" s="1816"/>
      <c r="Y16" s="3173"/>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173"/>
      <c r="Q17" s="1813"/>
      <c r="R17" s="774"/>
      <c r="S17" s="775"/>
      <c r="T17" s="774"/>
      <c r="U17" s="775"/>
      <c r="V17" s="774"/>
      <c r="W17" s="775"/>
      <c r="X17" s="1816"/>
      <c r="Y17" s="3173"/>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3"/>
      <c r="Q18" s="1813" t="str">
        <f>B18</f>
        <v>基础设施水平</v>
      </c>
      <c r="R18" s="774" t="s">
        <v>17</v>
      </c>
      <c r="S18" s="775">
        <f>F18</f>
        <v>100</v>
      </c>
      <c r="T18" s="774" t="s">
        <v>17</v>
      </c>
      <c r="U18" s="775">
        <f>H18</f>
        <v>100</v>
      </c>
      <c r="V18" s="774" t="s">
        <v>17</v>
      </c>
      <c r="W18" s="775">
        <f>J18</f>
        <v>100</v>
      </c>
      <c r="X18" s="1816"/>
      <c r="Y18" s="3173"/>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173"/>
      <c r="Q19" s="1813"/>
      <c r="R19" s="774"/>
      <c r="S19" s="775"/>
      <c r="T19" s="774"/>
      <c r="U19" s="775"/>
      <c r="V19" s="774"/>
      <c r="W19" s="775"/>
      <c r="X19" s="1816"/>
      <c r="Y19" s="3173"/>
      <c r="Z19" s="1817"/>
      <c r="AA19" s="1814">
        <v>1</v>
      </c>
      <c r="AB19" s="1814">
        <v>1</v>
      </c>
      <c r="AC19" s="1814">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3"/>
      <c r="Q20" s="1813" t="str">
        <f>B20</f>
        <v>自然及人文环境</v>
      </c>
      <c r="R20" s="774" t="s">
        <v>17</v>
      </c>
      <c r="S20" s="775">
        <f>F20</f>
        <v>100</v>
      </c>
      <c r="T20" s="774" t="s">
        <v>17</v>
      </c>
      <c r="U20" s="775">
        <f>H20</f>
        <v>100</v>
      </c>
      <c r="V20" s="774" t="s">
        <v>17</v>
      </c>
      <c r="W20" s="775">
        <f>J20</f>
        <v>100</v>
      </c>
      <c r="X20" s="1816"/>
      <c r="Y20" s="317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73"/>
      <c r="Q21" s="1813"/>
      <c r="R21" s="774"/>
      <c r="S21" s="775"/>
      <c r="T21" s="774"/>
      <c r="U21" s="775"/>
      <c r="V21" s="774"/>
      <c r="W21" s="775"/>
      <c r="X21" s="1816"/>
      <c r="Y21" s="3173"/>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3"/>
      <c r="Q22" s="1813" t="str">
        <f>B22</f>
        <v>楼层</v>
      </c>
      <c r="R22" s="774" t="s">
        <v>17</v>
      </c>
      <c r="S22" s="775">
        <f>F22</f>
        <v>100</v>
      </c>
      <c r="T22" s="774" t="s">
        <v>17</v>
      </c>
      <c r="U22" s="775">
        <f>H22</f>
        <v>100</v>
      </c>
      <c r="V22" s="774" t="s">
        <v>17</v>
      </c>
      <c r="W22" s="775">
        <f>J22</f>
        <v>100</v>
      </c>
      <c r="X22" s="1816"/>
      <c r="Y22" s="317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3"/>
      <c r="Q23" s="1813">
        <f>B23</f>
        <v>111</v>
      </c>
      <c r="R23" s="774" t="s">
        <v>17</v>
      </c>
      <c r="S23" s="775">
        <f>F23</f>
        <v>100</v>
      </c>
      <c r="T23" s="774" t="s">
        <v>17</v>
      </c>
      <c r="U23" s="775">
        <f>H23</f>
        <v>100</v>
      </c>
      <c r="V23" s="774" t="s">
        <v>17</v>
      </c>
      <c r="W23" s="775">
        <f>J23</f>
        <v>100</v>
      </c>
      <c r="X23" s="1816"/>
      <c r="Y23" s="317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3"/>
      <c r="Q24" s="1813">
        <f t="shared" ref="Q24:Q36" si="11">B24</f>
        <v>111</v>
      </c>
      <c r="R24" s="774" t="s">
        <v>17</v>
      </c>
      <c r="S24" s="775">
        <f>F24</f>
        <v>100</v>
      </c>
      <c r="T24" s="774" t="s">
        <v>17</v>
      </c>
      <c r="U24" s="775">
        <f>H24</f>
        <v>100</v>
      </c>
      <c r="V24" s="774" t="s">
        <v>17</v>
      </c>
      <c r="W24" s="775">
        <f>J24</f>
        <v>100</v>
      </c>
      <c r="X24" s="1816"/>
      <c r="Y24" s="317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3"/>
      <c r="Q25" s="1798">
        <f t="shared" si="11"/>
        <v>111</v>
      </c>
      <c r="R25" s="770" t="s">
        <v>17</v>
      </c>
      <c r="S25" s="771">
        <f>F25</f>
        <v>100</v>
      </c>
      <c r="T25" s="770" t="s">
        <v>17</v>
      </c>
      <c r="U25" s="771">
        <f>H25</f>
        <v>100</v>
      </c>
      <c r="V25" s="770" t="s">
        <v>17</v>
      </c>
      <c r="W25" s="771">
        <f>J25</f>
        <v>100</v>
      </c>
      <c r="X25" s="772"/>
      <c r="Y25" s="3173"/>
      <c r="Z25" s="55">
        <f>Q25</f>
        <v>111</v>
      </c>
      <c r="AA25" s="1814">
        <f>D25/F25</f>
        <v>1</v>
      </c>
      <c r="AB25" s="1814">
        <f>D25/H25</f>
        <v>1</v>
      </c>
      <c r="AC25" s="1814">
        <f>D25/J25</f>
        <v>1</v>
      </c>
    </row>
    <row r="26" spans="1:29" ht="1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5" t="s">
        <v>2564</v>
      </c>
      <c r="Q32" s="1813" t="str">
        <f t="shared" si="11"/>
        <v>车位类型</v>
      </c>
      <c r="R32" s="774" t="s">
        <v>17</v>
      </c>
      <c r="S32" s="775">
        <f t="shared" si="12"/>
        <v>100</v>
      </c>
      <c r="T32" s="774" t="s">
        <v>17</v>
      </c>
      <c r="U32" s="775">
        <f t="shared" si="13"/>
        <v>100</v>
      </c>
      <c r="V32" s="774" t="s">
        <v>17</v>
      </c>
      <c r="W32" s="775">
        <f t="shared" si="14"/>
        <v>100</v>
      </c>
      <c r="X32" s="1816"/>
      <c r="Y32" s="3175"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5">
      <c r="A37" s="479" t="s">
        <v>2719</v>
      </c>
      <c r="B37" s="2698" t="s">
        <v>2720</v>
      </c>
      <c r="C37" s="1409" t="s">
        <v>1</v>
      </c>
      <c r="D37" s="1410"/>
      <c r="E37" s="1411">
        <v>7000</v>
      </c>
      <c r="F37" s="1412"/>
      <c r="G37" s="1413">
        <v>7000</v>
      </c>
      <c r="H37" s="1414"/>
      <c r="I37" s="1411">
        <v>7000</v>
      </c>
      <c r="J37" s="1414"/>
      <c r="K37" s="619"/>
      <c r="L37" s="1145"/>
      <c r="M37" s="1146"/>
      <c r="N37" s="1133"/>
      <c r="O37" s="1146"/>
      <c r="P37" s="3170" t="str">
        <f>A37</f>
        <v>成交单价</v>
      </c>
      <c r="Q37" s="3170"/>
      <c r="R37" s="3227">
        <f>E37</f>
        <v>7000</v>
      </c>
      <c r="S37" s="3227"/>
      <c r="T37" s="3227">
        <f>G37</f>
        <v>7000</v>
      </c>
      <c r="U37" s="3227"/>
      <c r="V37" s="3227">
        <f>I37</f>
        <v>7000</v>
      </c>
      <c r="W37" s="3227"/>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0" t="str">
        <f>A38</f>
        <v>比较价值（元/平方米）</v>
      </c>
      <c r="Q38" s="3170"/>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5"/>
      <c r="M39" s="1146"/>
      <c r="N39" s="1146"/>
      <c r="O39" s="1146"/>
      <c r="P39" s="3164" t="str">
        <f>A39</f>
        <v>估价对象XX用房的比较价值（楼面单价，元/平方米）</v>
      </c>
      <c r="Q39" s="3165"/>
      <c r="R39" s="3226" t="e">
        <f>IF(F1="售价",ROUND(AVERAGE(R38:V38),0),ROUND(AVERAGE(R38:V38),1))</f>
        <v>#DIV/0!</v>
      </c>
      <c r="S39" s="3226"/>
      <c r="T39" s="3226"/>
      <c r="U39" s="3226"/>
      <c r="V39" s="3226"/>
      <c r="W39" s="322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6" t="s">
        <v>1404</v>
      </c>
      <c r="C6" s="1298">
        <f ca="1">ROUND(F6*F8*F7*(1-F9)/10000,0)</f>
        <v>0</v>
      </c>
      <c r="D6" s="164" t="s">
        <v>3033</v>
      </c>
      <c r="E6" s="347" t="s">
        <v>1406</v>
      </c>
      <c r="F6" s="348">
        <f ca="1">INDIRECT("'数据-取费表'!u"&amp;$G$1)</f>
        <v>0</v>
      </c>
      <c r="G6" s="1854"/>
      <c r="H6" s="1293" t="s">
        <v>1035</v>
      </c>
      <c r="I6" s="3236" t="s">
        <v>1404</v>
      </c>
      <c r="J6" s="346">
        <f ca="1">ROUND(M6*M8*M7*(1-M9)/10000,0)</f>
        <v>0</v>
      </c>
      <c r="K6" s="164" t="s">
        <v>3032</v>
      </c>
      <c r="L6" s="347" t="s">
        <v>1406</v>
      </c>
      <c r="M6" s="348">
        <f ca="1">INDIRECT("'数据-取费表'!z"&amp;$G$1)</f>
        <v>0</v>
      </c>
    </row>
    <row r="7" spans="1:37" ht="18" customHeight="1">
      <c r="A7" s="1297"/>
      <c r="B7" s="3237"/>
      <c r="C7" s="1299"/>
      <c r="D7" s="352"/>
      <c r="E7" s="2940" t="s">
        <v>1407</v>
      </c>
      <c r="F7" s="348">
        <f ca="1">IF(INDIRECT("'数据-取费表'!ah"&amp;$G$1)="",INDIRECT("'数据-取费表'!k"&amp;$G$1),INDIRECT("'数据-取费表'!ah"&amp;$G$1))</f>
        <v>0</v>
      </c>
      <c r="G7" s="1854"/>
      <c r="H7" s="349"/>
      <c r="I7" s="3237"/>
      <c r="J7" s="351"/>
      <c r="K7" s="352"/>
      <c r="L7" s="347" t="s">
        <v>1407</v>
      </c>
      <c r="M7" s="348">
        <f ca="1">F7</f>
        <v>0</v>
      </c>
    </row>
    <row r="8" spans="1:37" ht="18" customHeight="1">
      <c r="A8" s="349"/>
      <c r="B8" s="3237"/>
      <c r="C8" s="351"/>
      <c r="D8" s="352"/>
      <c r="E8" s="347" t="s">
        <v>1408</v>
      </c>
      <c r="F8" s="348">
        <f ca="1">INDIRECT("'数据-取费表'!ai"&amp;$G$1)</f>
        <v>0</v>
      </c>
      <c r="G8" s="1854"/>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4"/>
      <c r="H9" s="349"/>
      <c r="I9" s="323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3034</v>
      </c>
      <c r="E10" s="358" t="s">
        <v>1412</v>
      </c>
      <c r="F10" s="1368"/>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t="b">
        <f>IF(M47="住宅",J51,IF(D1="——",MIN(J51,L48),IF(D1="在建（套用方法）",MIN(J51,L48-'数据-取费表'!B24),IF(D1="土地（套用方法）",MIN(J51,L48-'数据-取费表'!B20)))))</f>
        <v>0</v>
      </c>
      <c r="K53" s="3234" t="s">
        <v>1550</v>
      </c>
      <c r="L53" s="3235"/>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9"/>
      <c r="D2" s="1126" t="e">
        <f ca="1">SUMIF(INDIRECT("'"&amp;F2&amp;"'"&amp;"!A:A"),"承租人权益价值",INDIRECT("'"&amp;F2&amp;"'"&amp;"!c:c"))</f>
        <v>#REF!</v>
      </c>
      <c r="E2" s="2590" t="s">
        <v>2330</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8" t="s">
        <v>2647</v>
      </c>
      <c r="AC4" s="3177" t="s">
        <v>2648</v>
      </c>
    </row>
    <row r="5" spans="1:29" ht="15">
      <c r="A5" s="404"/>
      <c r="B5" s="405"/>
      <c r="C5" s="3197" t="s">
        <v>2541</v>
      </c>
      <c r="D5" s="3198"/>
      <c r="E5" s="3204" t="s">
        <v>2542</v>
      </c>
      <c r="F5" s="3205"/>
      <c r="G5" s="3197" t="s">
        <v>2543</v>
      </c>
      <c r="H5" s="3198"/>
      <c r="I5" s="3197" t="s">
        <v>2544</v>
      </c>
      <c r="J5" s="3198"/>
      <c r="K5" s="610"/>
      <c r="L5" s="1132"/>
      <c r="M5" s="1133"/>
      <c r="N5" s="1133"/>
      <c r="O5" s="1133"/>
      <c r="P5" s="3185"/>
      <c r="Q5" s="3186"/>
      <c r="R5" s="3191"/>
      <c r="S5" s="3192"/>
      <c r="T5" s="3191"/>
      <c r="U5" s="3192"/>
      <c r="V5" s="3176"/>
      <c r="W5" s="3176"/>
      <c r="X5" s="1816"/>
      <c r="Y5" s="3191"/>
      <c r="Z5" s="3192"/>
      <c r="AA5" s="3178"/>
      <c r="AB5" s="3178"/>
      <c r="AC5" s="3178"/>
    </row>
    <row r="6" spans="1:29" ht="15.75" thickBot="1">
      <c r="A6" s="406"/>
      <c r="B6" s="407"/>
      <c r="C6" s="3195" t="s">
        <v>2545</v>
      </c>
      <c r="D6" s="3196"/>
      <c r="E6" s="3202" t="s">
        <v>2545</v>
      </c>
      <c r="F6" s="3203"/>
      <c r="G6" s="3195" t="s">
        <v>2545</v>
      </c>
      <c r="H6" s="3196"/>
      <c r="I6" s="3195" t="s">
        <v>2545</v>
      </c>
      <c r="J6" s="3196"/>
      <c r="K6" s="610" t="s">
        <v>2546</v>
      </c>
      <c r="L6" s="1132"/>
      <c r="M6" s="1133"/>
      <c r="N6" s="1133"/>
      <c r="O6" s="1133"/>
      <c r="P6" s="3187"/>
      <c r="Q6" s="3188"/>
      <c r="R6" s="3191"/>
      <c r="S6" s="3192"/>
      <c r="T6" s="3193"/>
      <c r="U6" s="3194"/>
      <c r="V6" s="3176"/>
      <c r="W6" s="3176"/>
      <c r="X6" s="1816"/>
      <c r="Y6" s="3193"/>
      <c r="Z6" s="3194"/>
      <c r="AA6" s="3179"/>
      <c r="AB6" s="3179"/>
      <c r="AC6" s="3179"/>
    </row>
    <row r="7" spans="1:29" s="117" customFormat="1" ht="15.75" thickBot="1">
      <c r="A7" s="408" t="s">
        <v>2547</v>
      </c>
      <c r="B7" s="409"/>
      <c r="C7" s="410">
        <f>'数据-取费表'!B2</f>
        <v>43105</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199" t="s">
        <v>2548</v>
      </c>
      <c r="Q7" s="3201"/>
      <c r="R7" s="770" t="s">
        <v>17</v>
      </c>
      <c r="S7" s="771">
        <f t="shared" ref="S7:S14" si="0">F7</f>
        <v>0</v>
      </c>
      <c r="T7" s="770" t="s">
        <v>17</v>
      </c>
      <c r="U7" s="771">
        <f t="shared" ref="U7:U14" si="1">H7</f>
        <v>0</v>
      </c>
      <c r="V7" s="770" t="s">
        <v>17</v>
      </c>
      <c r="W7" s="771">
        <f t="shared" ref="W7:W14" si="2">J7</f>
        <v>0</v>
      </c>
      <c r="X7" s="772"/>
      <c r="Y7" s="3199" t="s">
        <v>2548</v>
      </c>
      <c r="Z7" s="320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9" t="s">
        <v>2551</v>
      </c>
      <c r="Q8" s="3200"/>
      <c r="R8" s="770" t="s">
        <v>17</v>
      </c>
      <c r="S8" s="771">
        <f t="shared" si="0"/>
        <v>0</v>
      </c>
      <c r="T8" s="770" t="s">
        <v>17</v>
      </c>
      <c r="U8" s="771">
        <f t="shared" si="1"/>
        <v>0</v>
      </c>
      <c r="V8" s="770" t="s">
        <v>17</v>
      </c>
      <c r="W8" s="771">
        <f t="shared" si="2"/>
        <v>0</v>
      </c>
      <c r="X8" s="772"/>
      <c r="Y8" s="3199" t="s">
        <v>2551</v>
      </c>
      <c r="Z8" s="320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0" t="s">
        <v>2554</v>
      </c>
      <c r="Q9" s="1798"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0"/>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0"/>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0"/>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170"/>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2" t="s">
        <v>2559</v>
      </c>
      <c r="Q14" s="1813" t="str">
        <f t="shared" si="6"/>
        <v>交通便捷度</v>
      </c>
      <c r="R14" s="774" t="s">
        <v>17</v>
      </c>
      <c r="S14" s="775">
        <f t="shared" si="0"/>
        <v>100</v>
      </c>
      <c r="T14" s="774" t="s">
        <v>17</v>
      </c>
      <c r="U14" s="775">
        <f t="shared" si="1"/>
        <v>100</v>
      </c>
      <c r="V14" s="774" t="s">
        <v>17</v>
      </c>
      <c r="W14" s="775">
        <f t="shared" si="2"/>
        <v>100</v>
      </c>
      <c r="X14" s="1816"/>
      <c r="Y14" s="3172"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73"/>
      <c r="Q15" s="1813"/>
      <c r="R15" s="774"/>
      <c r="S15" s="775"/>
      <c r="T15" s="774"/>
      <c r="U15" s="775"/>
      <c r="V15" s="774"/>
      <c r="W15" s="775"/>
      <c r="X15" s="1816"/>
      <c r="Y15" s="3173"/>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3"/>
      <c r="Q16" s="1813" t="str">
        <f>B16</f>
        <v>公共配套设施</v>
      </c>
      <c r="R16" s="774" t="s">
        <v>17</v>
      </c>
      <c r="S16" s="775">
        <f>F16</f>
        <v>100</v>
      </c>
      <c r="T16" s="774" t="s">
        <v>17</v>
      </c>
      <c r="U16" s="775">
        <f>H16</f>
        <v>100</v>
      </c>
      <c r="V16" s="774" t="s">
        <v>17</v>
      </c>
      <c r="W16" s="775">
        <f>J16</f>
        <v>100</v>
      </c>
      <c r="X16" s="1816"/>
      <c r="Y16" s="317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173"/>
      <c r="Q17" s="1813"/>
      <c r="R17" s="774"/>
      <c r="S17" s="775"/>
      <c r="T17" s="774"/>
      <c r="U17" s="775"/>
      <c r="V17" s="774"/>
      <c r="W17" s="775"/>
      <c r="X17" s="1816"/>
      <c r="Y17" s="3173"/>
      <c r="Z17" s="1817"/>
      <c r="AA17" s="1814">
        <v>1</v>
      </c>
      <c r="AB17" s="1814">
        <v>1</v>
      </c>
      <c r="AC17" s="1814">
        <v>1</v>
      </c>
    </row>
    <row r="18" spans="1:29" ht="28.5">
      <c r="A18" s="428"/>
      <c r="B18" s="1386"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3"/>
      <c r="Q18" s="1813" t="str">
        <f>B18</f>
        <v>基础设施水平</v>
      </c>
      <c r="R18" s="774" t="s">
        <v>17</v>
      </c>
      <c r="S18" s="775">
        <f>F18</f>
        <v>100</v>
      </c>
      <c r="T18" s="774" t="s">
        <v>17</v>
      </c>
      <c r="U18" s="775">
        <f>H18</f>
        <v>100</v>
      </c>
      <c r="V18" s="774" t="s">
        <v>17</v>
      </c>
      <c r="W18" s="775">
        <f>J18</f>
        <v>100</v>
      </c>
      <c r="X18" s="1816"/>
      <c r="Y18" s="3173"/>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173"/>
      <c r="Q19" s="1813"/>
      <c r="R19" s="774"/>
      <c r="S19" s="775"/>
      <c r="T19" s="774"/>
      <c r="U19" s="775"/>
      <c r="V19" s="774"/>
      <c r="W19" s="775"/>
      <c r="X19" s="1816"/>
      <c r="Y19" s="3173"/>
      <c r="Z19" s="1817"/>
      <c r="AA19" s="1814">
        <v>1</v>
      </c>
      <c r="AB19" s="1814">
        <v>1</v>
      </c>
      <c r="AC19" s="1814">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3"/>
      <c r="Q20" s="1813" t="str">
        <f>B20</f>
        <v>自然及人文环境</v>
      </c>
      <c r="R20" s="774" t="s">
        <v>17</v>
      </c>
      <c r="S20" s="775">
        <f>F20</f>
        <v>100</v>
      </c>
      <c r="T20" s="774" t="s">
        <v>17</v>
      </c>
      <c r="U20" s="775">
        <f>H20</f>
        <v>100</v>
      </c>
      <c r="V20" s="774" t="s">
        <v>17</v>
      </c>
      <c r="W20" s="775">
        <f>J20</f>
        <v>100</v>
      </c>
      <c r="X20" s="1816"/>
      <c r="Y20" s="317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73"/>
      <c r="Q21" s="1813"/>
      <c r="R21" s="774"/>
      <c r="S21" s="775"/>
      <c r="T21" s="774"/>
      <c r="U21" s="775"/>
      <c r="V21" s="774"/>
      <c r="W21" s="775"/>
      <c r="X21" s="1816"/>
      <c r="Y21" s="3173"/>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3"/>
      <c r="Q22" s="1813" t="str">
        <f>B22</f>
        <v>楼层</v>
      </c>
      <c r="R22" s="774" t="s">
        <v>17</v>
      </c>
      <c r="S22" s="775">
        <f>F22</f>
        <v>100</v>
      </c>
      <c r="T22" s="774" t="s">
        <v>17</v>
      </c>
      <c r="U22" s="775">
        <f>H22</f>
        <v>100</v>
      </c>
      <c r="V22" s="774" t="s">
        <v>17</v>
      </c>
      <c r="W22" s="775">
        <f>J22</f>
        <v>100</v>
      </c>
      <c r="X22" s="1816"/>
      <c r="Y22" s="317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3"/>
      <c r="Q23" s="1813">
        <f>B23</f>
        <v>111</v>
      </c>
      <c r="R23" s="774" t="s">
        <v>17</v>
      </c>
      <c r="S23" s="775">
        <f>F23</f>
        <v>100</v>
      </c>
      <c r="T23" s="774" t="s">
        <v>17</v>
      </c>
      <c r="U23" s="775">
        <f>H23</f>
        <v>100</v>
      </c>
      <c r="V23" s="774" t="s">
        <v>17</v>
      </c>
      <c r="W23" s="775">
        <f>J23</f>
        <v>100</v>
      </c>
      <c r="X23" s="1816"/>
      <c r="Y23" s="317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3"/>
      <c r="Q24" s="1813">
        <f t="shared" ref="Q24:Q34" si="11">B24</f>
        <v>111</v>
      </c>
      <c r="R24" s="774" t="s">
        <v>17</v>
      </c>
      <c r="S24" s="775">
        <f>F24</f>
        <v>100</v>
      </c>
      <c r="T24" s="774" t="s">
        <v>17</v>
      </c>
      <c r="U24" s="775">
        <f>H24</f>
        <v>100</v>
      </c>
      <c r="V24" s="774" t="s">
        <v>17</v>
      </c>
      <c r="W24" s="775">
        <f>J24</f>
        <v>100</v>
      </c>
      <c r="X24" s="1816"/>
      <c r="Y24" s="3173"/>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173"/>
      <c r="Q25" s="1798">
        <f t="shared" si="11"/>
        <v>111</v>
      </c>
      <c r="R25" s="770" t="s">
        <v>17</v>
      </c>
      <c r="S25" s="771">
        <f>F25</f>
        <v>100</v>
      </c>
      <c r="T25" s="770" t="s">
        <v>17</v>
      </c>
      <c r="U25" s="771">
        <f>H25</f>
        <v>100</v>
      </c>
      <c r="V25" s="770" t="s">
        <v>17</v>
      </c>
      <c r="W25" s="771">
        <f>J25</f>
        <v>100</v>
      </c>
      <c r="X25" s="772"/>
      <c r="Y25" s="3173"/>
      <c r="Z25" s="55">
        <f>Q25</f>
        <v>111</v>
      </c>
      <c r="AA25" s="1814">
        <f>D25/F25</f>
        <v>1</v>
      </c>
      <c r="AB25" s="1814">
        <f>D25/H25</f>
        <v>1</v>
      </c>
      <c r="AC25" s="1814">
        <f>D25/J25</f>
        <v>1</v>
      </c>
    </row>
    <row r="26" spans="1:29" ht="1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17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5" t="s">
        <v>2564</v>
      </c>
      <c r="Q32" s="1813">
        <f t="shared" si="11"/>
        <v>111</v>
      </c>
      <c r="R32" s="774" t="s">
        <v>17</v>
      </c>
      <c r="S32" s="775">
        <f t="shared" si="12"/>
        <v>100</v>
      </c>
      <c r="T32" s="774" t="s">
        <v>17</v>
      </c>
      <c r="U32" s="775">
        <f t="shared" si="13"/>
        <v>100</v>
      </c>
      <c r="V32" s="774" t="s">
        <v>17</v>
      </c>
      <c r="W32" s="775">
        <f t="shared" si="14"/>
        <v>100</v>
      </c>
      <c r="X32" s="1816"/>
      <c r="Y32" s="3175"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5">
      <c r="A35" s="479" t="s">
        <v>2576</v>
      </c>
      <c r="B35" s="480"/>
      <c r="C35" s="1409" t="s">
        <v>1</v>
      </c>
      <c r="D35" s="1410"/>
      <c r="E35" s="1411"/>
      <c r="F35" s="1412"/>
      <c r="G35" s="1413"/>
      <c r="H35" s="1414"/>
      <c r="I35" s="1411"/>
      <c r="J35" s="1414"/>
      <c r="K35" s="783"/>
      <c r="L35" s="1145"/>
      <c r="M35" s="1146"/>
      <c r="N35" s="1133"/>
      <c r="O35" s="1146"/>
      <c r="P35" s="3170" t="str">
        <f>A35</f>
        <v>成交单价（元/平方米）</v>
      </c>
      <c r="Q35" s="3170"/>
      <c r="R35" s="3227">
        <f>E35</f>
        <v>0</v>
      </c>
      <c r="S35" s="3227"/>
      <c r="T35" s="3227">
        <f>G35</f>
        <v>0</v>
      </c>
      <c r="U35" s="3227"/>
      <c r="V35" s="3227">
        <f>I35</f>
        <v>0</v>
      </c>
      <c r="W35" s="3227"/>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5"/>
      <c r="M36" s="1146"/>
      <c r="N36" s="1133"/>
      <c r="O36" s="1146"/>
      <c r="P36" s="3170" t="str">
        <f>A36</f>
        <v>比较价值（元/平方米）</v>
      </c>
      <c r="Q36" s="3170"/>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5"/>
      <c r="M37" s="1146"/>
      <c r="N37" s="1146"/>
      <c r="O37" s="1146"/>
      <c r="P37" s="3164" t="str">
        <f>A37</f>
        <v>估价对象XX用房的比较价值（楼面单价，元/平方米）</v>
      </c>
      <c r="Q37" s="3165"/>
      <c r="R37" s="3226" t="e">
        <f>IF(F1="售价",ROUND(AVERAGE(R36:V36),0),ROUND(AVERAGE(R36:V36),1))</f>
        <v>#DIV/0!</v>
      </c>
      <c r="S37" s="3226"/>
      <c r="T37" s="3226"/>
      <c r="U37" s="3226"/>
      <c r="V37" s="3226"/>
      <c r="W37" s="322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67" t="s">
        <v>2645</v>
      </c>
      <c r="D4" s="3180"/>
      <c r="E4" s="3181" t="s">
        <v>2646</v>
      </c>
      <c r="F4" s="3182"/>
      <c r="G4" s="3167" t="s">
        <v>2647</v>
      </c>
      <c r="H4" s="3180"/>
      <c r="I4" s="3167" t="s">
        <v>2648</v>
      </c>
      <c r="J4" s="3180"/>
      <c r="K4" s="610" t="s">
        <v>2649</v>
      </c>
      <c r="L4" s="1132"/>
      <c r="M4" s="1133"/>
      <c r="N4" s="1133"/>
      <c r="O4" s="1133"/>
      <c r="P4" s="3183" t="s">
        <v>2650</v>
      </c>
      <c r="Q4" s="3184"/>
      <c r="R4" s="3189" t="s">
        <v>2646</v>
      </c>
      <c r="S4" s="3190"/>
      <c r="T4" s="3189" t="s">
        <v>2647</v>
      </c>
      <c r="U4" s="3190"/>
      <c r="V4" s="3176" t="s">
        <v>2648</v>
      </c>
      <c r="W4" s="3176"/>
      <c r="X4" s="1816"/>
      <c r="Y4" s="3189" t="s">
        <v>2650</v>
      </c>
      <c r="Z4" s="3190"/>
      <c r="AA4" s="3177" t="s">
        <v>2646</v>
      </c>
      <c r="AB4" s="3178" t="s">
        <v>2647</v>
      </c>
      <c r="AC4" s="3177" t="s">
        <v>2648</v>
      </c>
    </row>
    <row r="5" spans="1:29" ht="15">
      <c r="A5" s="404"/>
      <c r="B5" s="405"/>
      <c r="C5" s="3197" t="s">
        <v>2541</v>
      </c>
      <c r="D5" s="3198"/>
      <c r="E5" s="3204" t="s">
        <v>2542</v>
      </c>
      <c r="F5" s="3205"/>
      <c r="G5" s="3197" t="s">
        <v>2543</v>
      </c>
      <c r="H5" s="3198"/>
      <c r="I5" s="3197" t="s">
        <v>2544</v>
      </c>
      <c r="J5" s="3198"/>
      <c r="K5" s="610"/>
      <c r="L5" s="1132"/>
      <c r="M5" s="1133"/>
      <c r="N5" s="1133"/>
      <c r="O5" s="1133"/>
      <c r="P5" s="3185"/>
      <c r="Q5" s="3186"/>
      <c r="R5" s="3191"/>
      <c r="S5" s="3192"/>
      <c r="T5" s="3191"/>
      <c r="U5" s="3192"/>
      <c r="V5" s="3176"/>
      <c r="W5" s="3176"/>
      <c r="X5" s="1816"/>
      <c r="Y5" s="3191"/>
      <c r="Z5" s="3192"/>
      <c r="AA5" s="3178"/>
      <c r="AB5" s="3178"/>
      <c r="AC5" s="3178"/>
    </row>
    <row r="6" spans="1:29" ht="15.75" thickBot="1">
      <c r="A6" s="406"/>
      <c r="B6" s="407"/>
      <c r="C6" s="3276" t="s">
        <v>2796</v>
      </c>
      <c r="D6" s="3277"/>
      <c r="E6" s="3278" t="s">
        <v>2796</v>
      </c>
      <c r="F6" s="3279"/>
      <c r="G6" s="3276" t="s">
        <v>2796</v>
      </c>
      <c r="H6" s="3277"/>
      <c r="I6" s="3276" t="s">
        <v>2796</v>
      </c>
      <c r="J6" s="3277"/>
      <c r="K6" s="610" t="s">
        <v>2546</v>
      </c>
      <c r="L6" s="1132"/>
      <c r="M6" s="1133"/>
      <c r="N6" s="1133"/>
      <c r="O6" s="1133"/>
      <c r="P6" s="3187"/>
      <c r="Q6" s="3188"/>
      <c r="R6" s="3191"/>
      <c r="S6" s="3192"/>
      <c r="T6" s="3193"/>
      <c r="U6" s="3194"/>
      <c r="V6" s="3176"/>
      <c r="W6" s="3176"/>
      <c r="X6" s="1816"/>
      <c r="Y6" s="3193"/>
      <c r="Z6" s="3194"/>
      <c r="AA6" s="3179"/>
      <c r="AB6" s="3179"/>
      <c r="AC6" s="3179"/>
    </row>
    <row r="7" spans="1:29" s="117" customFormat="1" ht="15.75" thickBot="1">
      <c r="A7" s="408" t="s">
        <v>2547</v>
      </c>
      <c r="B7" s="409"/>
      <c r="C7" s="410">
        <f>'数据-取费表'!B2</f>
        <v>43105</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199" t="s">
        <v>2548</v>
      </c>
      <c r="Q7" s="3201"/>
      <c r="R7" s="770" t="s">
        <v>17</v>
      </c>
      <c r="S7" s="771">
        <f t="shared" ref="S7:S15" si="0">F7</f>
        <v>0</v>
      </c>
      <c r="T7" s="770" t="s">
        <v>17</v>
      </c>
      <c r="U7" s="771">
        <f t="shared" ref="U7:U15" si="1">H7</f>
        <v>0</v>
      </c>
      <c r="V7" s="770" t="s">
        <v>17</v>
      </c>
      <c r="W7" s="771">
        <f t="shared" ref="W7:W15" si="2">J7</f>
        <v>0</v>
      </c>
      <c r="X7" s="772"/>
      <c r="Y7" s="3199" t="s">
        <v>2548</v>
      </c>
      <c r="Z7" s="320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9" t="s">
        <v>2551</v>
      </c>
      <c r="Q8" s="3200"/>
      <c r="R8" s="770" t="s">
        <v>17</v>
      </c>
      <c r="S8" s="771">
        <f t="shared" si="0"/>
        <v>0</v>
      </c>
      <c r="T8" s="770" t="s">
        <v>17</v>
      </c>
      <c r="U8" s="771">
        <f t="shared" si="1"/>
        <v>0</v>
      </c>
      <c r="V8" s="770" t="s">
        <v>17</v>
      </c>
      <c r="W8" s="771">
        <f t="shared" si="2"/>
        <v>0</v>
      </c>
      <c r="X8" s="772"/>
      <c r="Y8" s="3199" t="s">
        <v>2551</v>
      </c>
      <c r="Z8" s="3200"/>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170"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170"/>
      <c r="Q10" s="1798" t="str">
        <f t="shared" si="6"/>
        <v>土地使用年限（年）</v>
      </c>
      <c r="R10" s="770" t="s">
        <v>17</v>
      </c>
      <c r="S10" s="771">
        <f t="shared" si="0"/>
        <v>124</v>
      </c>
      <c r="T10" s="770" t="s">
        <v>17</v>
      </c>
      <c r="U10" s="771">
        <f t="shared" si="1"/>
        <v>124</v>
      </c>
      <c r="V10" s="770" t="s">
        <v>17</v>
      </c>
      <c r="W10" s="771">
        <f t="shared" si="2"/>
        <v>124</v>
      </c>
      <c r="X10" s="772"/>
      <c r="Y10" s="3017"/>
      <c r="Z10" s="55" t="str">
        <f t="shared" si="7"/>
        <v>土地使用年限（年）</v>
      </c>
      <c r="AA10" s="773">
        <f t="shared" si="3"/>
        <v>0.80645161290322576</v>
      </c>
      <c r="AB10" s="773">
        <f t="shared" si="4"/>
        <v>0.80645161290322576</v>
      </c>
      <c r="AC10" s="773">
        <f t="shared" si="5"/>
        <v>0.80645161290322576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0"/>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0"/>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0"/>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0"/>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2" t="s">
        <v>2559</v>
      </c>
      <c r="Q15" s="1813" t="str">
        <f t="shared" si="6"/>
        <v>产业集聚程度</v>
      </c>
      <c r="R15" s="774" t="s">
        <v>17</v>
      </c>
      <c r="S15" s="775">
        <f t="shared" si="0"/>
        <v>100</v>
      </c>
      <c r="T15" s="774" t="s">
        <v>17</v>
      </c>
      <c r="U15" s="775">
        <f t="shared" si="1"/>
        <v>100</v>
      </c>
      <c r="V15" s="774" t="s">
        <v>17</v>
      </c>
      <c r="W15" s="775">
        <f t="shared" si="2"/>
        <v>100</v>
      </c>
      <c r="X15" s="1816"/>
      <c r="Y15" s="3172"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173"/>
      <c r="Q16" s="1813"/>
      <c r="R16" s="774"/>
      <c r="S16" s="775"/>
      <c r="T16" s="774"/>
      <c r="U16" s="775"/>
      <c r="V16" s="774"/>
      <c r="W16" s="775"/>
      <c r="X16" s="1816"/>
      <c r="Y16" s="3173"/>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3"/>
      <c r="Q17" s="1813" t="str">
        <f>B17</f>
        <v>交通便捷度</v>
      </c>
      <c r="R17" s="774" t="s">
        <v>17</v>
      </c>
      <c r="S17" s="775">
        <f>F17</f>
        <v>100</v>
      </c>
      <c r="T17" s="774" t="s">
        <v>17</v>
      </c>
      <c r="U17" s="775">
        <f>H17</f>
        <v>100</v>
      </c>
      <c r="V17" s="774" t="s">
        <v>17</v>
      </c>
      <c r="W17" s="775">
        <f>J17</f>
        <v>100</v>
      </c>
      <c r="X17" s="1816"/>
      <c r="Y17" s="317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173"/>
      <c r="Q18" s="1813"/>
      <c r="R18" s="774"/>
      <c r="S18" s="775"/>
      <c r="T18" s="774"/>
      <c r="U18" s="775"/>
      <c r="V18" s="774"/>
      <c r="W18" s="775"/>
      <c r="X18" s="1816"/>
      <c r="Y18" s="3173"/>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3"/>
      <c r="Q19" s="1813" t="str">
        <f t="shared" ref="Q19:Q33" si="8">B19</f>
        <v>区域土地利用方向</v>
      </c>
      <c r="R19" s="774" t="s">
        <v>17</v>
      </c>
      <c r="S19" s="775">
        <f>F19</f>
        <v>100</v>
      </c>
      <c r="T19" s="774" t="s">
        <v>17</v>
      </c>
      <c r="U19" s="775">
        <f>H19</f>
        <v>100</v>
      </c>
      <c r="V19" s="774" t="s">
        <v>17</v>
      </c>
      <c r="W19" s="775">
        <f>J19</f>
        <v>100</v>
      </c>
      <c r="X19" s="1816"/>
      <c r="Y19" s="317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173"/>
      <c r="Q20" s="1813"/>
      <c r="R20" s="774"/>
      <c r="S20" s="775"/>
      <c r="T20" s="774"/>
      <c r="U20" s="775"/>
      <c r="V20" s="774"/>
      <c r="W20" s="775"/>
      <c r="X20" s="1816"/>
      <c r="Y20" s="3173"/>
      <c r="Z20" s="1817"/>
      <c r="AA20" s="1814"/>
      <c r="AB20" s="1814"/>
      <c r="AC20" s="1814"/>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3"/>
      <c r="Q21" s="1813" t="str">
        <f t="shared" si="8"/>
        <v>环境状况</v>
      </c>
      <c r="R21" s="774" t="s">
        <v>17</v>
      </c>
      <c r="S21" s="775">
        <f>F21</f>
        <v>100</v>
      </c>
      <c r="T21" s="774" t="s">
        <v>17</v>
      </c>
      <c r="U21" s="775">
        <f>H21</f>
        <v>100</v>
      </c>
      <c r="V21" s="774" t="s">
        <v>17</v>
      </c>
      <c r="W21" s="775">
        <f>J21</f>
        <v>100</v>
      </c>
      <c r="X21" s="1816"/>
      <c r="Y21" s="317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173"/>
      <c r="Q22" s="1813"/>
      <c r="R22" s="774"/>
      <c r="S22" s="775"/>
      <c r="T22" s="774"/>
      <c r="U22" s="775"/>
      <c r="V22" s="774"/>
      <c r="W22" s="775"/>
      <c r="X22" s="1816"/>
      <c r="Y22" s="3173"/>
      <c r="Z22" s="1817"/>
      <c r="AA22" s="1814">
        <v>1</v>
      </c>
      <c r="AB22" s="1814">
        <v>1</v>
      </c>
      <c r="AC22" s="1814">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3"/>
      <c r="Q23" s="1798" t="str">
        <f t="shared" si="8"/>
        <v>公共配套设施</v>
      </c>
      <c r="R23" s="770" t="s">
        <v>17</v>
      </c>
      <c r="S23" s="771">
        <f>F23</f>
        <v>100</v>
      </c>
      <c r="T23" s="770" t="s">
        <v>17</v>
      </c>
      <c r="U23" s="771">
        <f>H23</f>
        <v>100</v>
      </c>
      <c r="V23" s="770" t="s">
        <v>17</v>
      </c>
      <c r="W23" s="771">
        <f>J23</f>
        <v>100</v>
      </c>
      <c r="X23" s="772"/>
      <c r="Y23" s="317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173"/>
      <c r="Q24" s="1798"/>
      <c r="R24" s="770"/>
      <c r="S24" s="771"/>
      <c r="T24" s="770"/>
      <c r="U24" s="771"/>
      <c r="V24" s="770"/>
      <c r="W24" s="771"/>
      <c r="X24" s="772"/>
      <c r="Y24" s="3173"/>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3"/>
      <c r="Q25" s="1798"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173"/>
      <c r="Q26" s="1798"/>
      <c r="R26" s="770"/>
      <c r="S26" s="771"/>
      <c r="T26" s="770"/>
      <c r="U26" s="771"/>
      <c r="V26" s="770"/>
      <c r="W26" s="771"/>
      <c r="X26" s="772"/>
      <c r="Y26" s="317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3"/>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3"/>
      <c r="Q28" s="1813" t="str">
        <f t="shared" si="8"/>
        <v>毗邻道路的类型与等级</v>
      </c>
      <c r="R28" s="774" t="s">
        <v>17</v>
      </c>
      <c r="S28" s="775">
        <f t="shared" si="10"/>
        <v>100</v>
      </c>
      <c r="T28" s="774" t="s">
        <v>17</v>
      </c>
      <c r="U28" s="775">
        <f t="shared" si="11"/>
        <v>100</v>
      </c>
      <c r="V28" s="774" t="s">
        <v>17</v>
      </c>
      <c r="W28" s="775">
        <f t="shared" si="12"/>
        <v>100</v>
      </c>
      <c r="X28" s="1816"/>
      <c r="Y28" s="317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173"/>
      <c r="Q29" s="1813"/>
      <c r="R29" s="774"/>
      <c r="S29" s="775"/>
      <c r="T29" s="774"/>
      <c r="U29" s="775"/>
      <c r="V29" s="774"/>
      <c r="W29" s="775"/>
      <c r="X29" s="1816"/>
      <c r="Y29" s="3173"/>
      <c r="Z29" s="1817"/>
      <c r="AA29" s="1814">
        <v>1</v>
      </c>
      <c r="AB29" s="1814">
        <v>1</v>
      </c>
      <c r="AC29" s="1814">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3"/>
      <c r="Q30" s="1813" t="str">
        <f t="shared" si="8"/>
        <v>土地级别</v>
      </c>
      <c r="R30" s="774" t="s">
        <v>17</v>
      </c>
      <c r="S30" s="775">
        <f t="shared" si="10"/>
        <v>100</v>
      </c>
      <c r="T30" s="774" t="s">
        <v>17</v>
      </c>
      <c r="U30" s="775">
        <f t="shared" si="11"/>
        <v>100</v>
      </c>
      <c r="V30" s="774" t="s">
        <v>17</v>
      </c>
      <c r="W30" s="775">
        <f t="shared" si="12"/>
        <v>100</v>
      </c>
      <c r="X30" s="1816"/>
      <c r="Y30" s="317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3"/>
      <c r="Q31" s="1813">
        <f t="shared" si="8"/>
        <v>111</v>
      </c>
      <c r="R31" s="774" t="s">
        <v>17</v>
      </c>
      <c r="S31" s="775">
        <f t="shared" si="10"/>
        <v>100</v>
      </c>
      <c r="T31" s="774" t="s">
        <v>17</v>
      </c>
      <c r="U31" s="775">
        <f t="shared" si="11"/>
        <v>100</v>
      </c>
      <c r="V31" s="774" t="s">
        <v>17</v>
      </c>
      <c r="W31" s="775">
        <f t="shared" si="12"/>
        <v>100</v>
      </c>
      <c r="X31" s="1816"/>
      <c r="Y31" s="317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4" t="s">
        <v>2564</v>
      </c>
      <c r="Q32" s="1813">
        <f t="shared" si="8"/>
        <v>111</v>
      </c>
      <c r="R32" s="774" t="s">
        <v>17</v>
      </c>
      <c r="S32" s="775">
        <f t="shared" si="10"/>
        <v>100</v>
      </c>
      <c r="T32" s="774" t="s">
        <v>17</v>
      </c>
      <c r="U32" s="775">
        <f t="shared" si="11"/>
        <v>100</v>
      </c>
      <c r="V32" s="774" t="s">
        <v>17</v>
      </c>
      <c r="W32" s="775">
        <f t="shared" si="12"/>
        <v>100</v>
      </c>
      <c r="X32" s="1816"/>
      <c r="Y32" s="3175"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5"/>
      <c r="Q34" s="1813" t="str">
        <f>B34</f>
        <v>宗地面积</v>
      </c>
      <c r="R34" s="774" t="s">
        <v>17</v>
      </c>
      <c r="S34" s="775" t="e">
        <f t="shared" si="10"/>
        <v>#N/A</v>
      </c>
      <c r="T34" s="774" t="s">
        <v>17</v>
      </c>
      <c r="U34" s="775" t="e">
        <f t="shared" si="11"/>
        <v>#N/A</v>
      </c>
      <c r="V34" s="774" t="s">
        <v>17</v>
      </c>
      <c r="W34" s="775" t="e">
        <f t="shared" si="12"/>
        <v>#N/A</v>
      </c>
      <c r="X34" s="1816"/>
      <c r="Y34" s="3175"/>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75" t="s">
        <v>2564</v>
      </c>
      <c r="Q37" s="1813" t="str">
        <f t="shared" si="14"/>
        <v>工程地质条件</v>
      </c>
      <c r="R37" s="774" t="s">
        <v>17</v>
      </c>
      <c r="S37" s="775">
        <f t="shared" si="10"/>
        <v>100</v>
      </c>
      <c r="T37" s="774" t="s">
        <v>17</v>
      </c>
      <c r="U37" s="775">
        <f t="shared" si="11"/>
        <v>100</v>
      </c>
      <c r="V37" s="774" t="s">
        <v>17</v>
      </c>
      <c r="W37" s="775">
        <f t="shared" si="12"/>
        <v>100</v>
      </c>
      <c r="X37" s="1816"/>
      <c r="Y37" s="3175" t="s">
        <v>2564</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5">
      <c r="A41" s="479" t="s">
        <v>2719</v>
      </c>
      <c r="B41" s="2707" t="s">
        <v>2799</v>
      </c>
      <c r="C41" s="682" t="s">
        <v>1</v>
      </c>
      <c r="D41" s="481"/>
      <c r="E41" s="482"/>
      <c r="F41" s="483"/>
      <c r="G41" s="484"/>
      <c r="H41" s="485"/>
      <c r="I41" s="482"/>
      <c r="J41" s="485"/>
      <c r="K41" s="783"/>
      <c r="L41" s="1145"/>
      <c r="M41" s="1133"/>
      <c r="N41" s="1133"/>
      <c r="O41" s="1146"/>
      <c r="P41" s="3170" t="str">
        <f>A41</f>
        <v>成交单价</v>
      </c>
      <c r="Q41" s="3170"/>
      <c r="R41" s="3176">
        <f>E41</f>
        <v>0</v>
      </c>
      <c r="S41" s="3176"/>
      <c r="T41" s="3176">
        <f>G41</f>
        <v>0</v>
      </c>
      <c r="U41" s="3176"/>
      <c r="V41" s="3176">
        <f>I41</f>
        <v>0</v>
      </c>
      <c r="W41" s="317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5"/>
      <c r="M42" s="1133"/>
      <c r="N42" s="1133"/>
      <c r="O42" s="1146"/>
      <c r="P42" s="3170" t="str">
        <f>A42</f>
        <v>比较价值（元/平方米）</v>
      </c>
      <c r="Q42" s="3170"/>
      <c r="R42" s="3163" t="e">
        <f>ROUND(PRODUCT(R41,AA7:AA40),0)</f>
        <v>#DIV/0!</v>
      </c>
      <c r="S42" s="3163"/>
      <c r="T42" s="3163" t="e">
        <f>ROUND(PRODUCT(T41,AB7:AB40),0)</f>
        <v>#DIV/0!</v>
      </c>
      <c r="U42" s="3163"/>
      <c r="V42" s="3163" t="e">
        <f>ROUND(PRODUCT(V41,AC7:AC40),0)</f>
        <v>#DIV/0!</v>
      </c>
      <c r="W42" s="316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5"/>
      <c r="M43" s="1133"/>
      <c r="N43" s="1133"/>
      <c r="O43" s="1146"/>
      <c r="P43" s="3164" t="str">
        <f>A43</f>
        <v>估价对象XX用房的比较价值（楼面单价，元/平方米）</v>
      </c>
      <c r="Q43" s="3165"/>
      <c r="R43" s="3166" t="e">
        <f>ROUND(AVERAGE(R42:V42),0)</f>
        <v>#DIV/0!</v>
      </c>
      <c r="S43" s="3166"/>
      <c r="T43" s="3166"/>
      <c r="U43" s="3166"/>
      <c r="V43" s="3166"/>
      <c r="W43" s="316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2757</v>
      </c>
      <c r="B50" s="685" t="s">
        <v>2758</v>
      </c>
      <c r="C50" s="2708" t="s">
        <v>2759</v>
      </c>
      <c r="D50" s="2709" t="s">
        <v>2760</v>
      </c>
      <c r="E50" s="686" t="s">
        <v>2761</v>
      </c>
      <c r="F50" s="687" t="s">
        <v>2762</v>
      </c>
      <c r="G50" s="3167" t="s">
        <v>2763</v>
      </c>
      <c r="H50" s="3168"/>
      <c r="I50" s="1817" t="s">
        <v>2800</v>
      </c>
      <c r="J50" s="1817">
        <f>项目基本情况!F35</f>
        <v>0</v>
      </c>
      <c r="K50" s="2711" t="s">
        <v>2765</v>
      </c>
      <c r="L50" s="1108"/>
      <c r="M50" s="1146"/>
      <c r="N50" s="1146"/>
      <c r="O50" s="1146"/>
    </row>
    <row r="51" spans="1:17" s="692" customFormat="1">
      <c r="A51" s="688" t="s">
        <v>2766</v>
      </c>
      <c r="B51" s="689" t="e">
        <f>C43</f>
        <v>#DIV/0!</v>
      </c>
      <c r="C51" s="690">
        <v>1</v>
      </c>
      <c r="D51" s="1165">
        <v>1</v>
      </c>
      <c r="E51" s="690">
        <f>'数据-汇总表'!E8+'数据-汇总表'!E9</f>
        <v>3416.9</v>
      </c>
      <c r="F51" s="691" t="e">
        <f t="shared" ref="F51:F60" si="15">ROUND(B51*E51/10000,0)</f>
        <v>#DIV/0!</v>
      </c>
      <c r="G51" s="3169"/>
      <c r="H51" s="3170"/>
      <c r="I51" s="944">
        <v>1</v>
      </c>
      <c r="J51" s="944">
        <v>1</v>
      </c>
      <c r="K51" s="1147"/>
      <c r="L51" s="943"/>
      <c r="M51" s="943"/>
      <c r="N51" s="943"/>
      <c r="O51" s="943"/>
    </row>
    <row r="52" spans="1:17" s="692" customFormat="1">
      <c r="A52" s="693" t="s">
        <v>2767</v>
      </c>
      <c r="B52" s="262" t="e">
        <f>ROUND($C$43*C52*D52,0)</f>
        <v>#DIV/0!</v>
      </c>
      <c r="C52" s="200">
        <f t="shared" ref="C52:C60" si="16">IF($C$50="北京市系数",I52,J52)</f>
        <v>0.7</v>
      </c>
      <c r="D52" s="1166">
        <v>0.25</v>
      </c>
      <c r="E52" s="694"/>
      <c r="F52" s="691" t="e">
        <f t="shared" si="15"/>
        <v>#DIV/0!</v>
      </c>
      <c r="G52" s="3171" t="s">
        <v>2768</v>
      </c>
      <c r="H52" s="1106" t="str">
        <f>项目基本情况!B37</f>
        <v>七级</v>
      </c>
      <c r="I52" s="944">
        <f>SUMIF(修正!A45:A56,H52,修正!B45:B56)</f>
        <v>0.7</v>
      </c>
      <c r="J52" s="945"/>
      <c r="K52" s="1146"/>
      <c r="L52" s="943"/>
      <c r="M52" s="943"/>
      <c r="N52" s="943"/>
      <c r="O52" s="943"/>
    </row>
    <row r="53" spans="1:17" s="692" customFormat="1">
      <c r="A53" s="693" t="s">
        <v>2769</v>
      </c>
      <c r="B53" s="262" t="e">
        <f t="shared" ref="B53:B60" si="17">ROUND($C$43*C53*D53,0)</f>
        <v>#DIV/0!</v>
      </c>
      <c r="C53" s="200">
        <f t="shared" si="16"/>
        <v>0.4</v>
      </c>
      <c r="D53" s="1166">
        <v>0.25</v>
      </c>
      <c r="E53" s="694"/>
      <c r="F53" s="691" t="e">
        <f t="shared" si="15"/>
        <v>#DIV/0!</v>
      </c>
      <c r="G53" s="3171"/>
      <c r="H53" s="1106" t="str">
        <f>项目基本情况!B37</f>
        <v>七级</v>
      </c>
      <c r="I53" s="944">
        <f>SUMIF(修正!A45:A56,H53,修正!C45:C56)</f>
        <v>0.4</v>
      </c>
      <c r="J53" s="945"/>
      <c r="K53" s="1147"/>
      <c r="L53" s="943"/>
      <c r="M53" s="943"/>
      <c r="N53" s="943"/>
      <c r="O53" s="943"/>
    </row>
    <row r="54" spans="1:17" s="692" customFormat="1">
      <c r="A54" s="693" t="s">
        <v>2770</v>
      </c>
      <c r="B54" s="262" t="e">
        <f t="shared" si="17"/>
        <v>#DIV/0!</v>
      </c>
      <c r="C54" s="200">
        <f t="shared" si="16"/>
        <v>0.28000000000000003</v>
      </c>
      <c r="D54" s="1166">
        <v>0.25</v>
      </c>
      <c r="E54" s="694"/>
      <c r="F54" s="691" t="e">
        <f t="shared" si="15"/>
        <v>#DIV/0!</v>
      </c>
      <c r="G54" s="3171"/>
      <c r="H54" s="1106" t="str">
        <f>项目基本情况!B37</f>
        <v>七级</v>
      </c>
      <c r="I54" s="944">
        <f>SUMIF(修正!A45:A56,H54,修正!D45:D56)</f>
        <v>0.28000000000000003</v>
      </c>
      <c r="J54" s="945"/>
      <c r="K54" s="1146"/>
      <c r="L54" s="943"/>
      <c r="M54" s="943"/>
      <c r="N54" s="943"/>
      <c r="O54" s="943"/>
    </row>
    <row r="55" spans="1:17" s="692" customFormat="1">
      <c r="A55" s="693" t="s">
        <v>2771</v>
      </c>
      <c r="B55" s="262" t="e">
        <f t="shared" si="17"/>
        <v>#DIV/0!</v>
      </c>
      <c r="C55" s="200">
        <f t="shared" si="16"/>
        <v>0.25</v>
      </c>
      <c r="D55" s="1166">
        <v>0.25</v>
      </c>
      <c r="E55" s="694"/>
      <c r="F55" s="691" t="e">
        <f t="shared" si="15"/>
        <v>#DIV/0!</v>
      </c>
      <c r="G55" s="3171"/>
      <c r="H55" s="1106" t="str">
        <f>项目基本情况!B37</f>
        <v>七级</v>
      </c>
      <c r="I55" s="944">
        <f>SUMIF(修正!A45:A56,H55,修正!E45:E56)</f>
        <v>0.25</v>
      </c>
      <c r="J55" s="945"/>
      <c r="K55" s="1147"/>
      <c r="L55" s="943"/>
      <c r="M55" s="943"/>
      <c r="N55" s="943"/>
      <c r="O55" s="943"/>
    </row>
    <row r="56" spans="1:17" s="692" customFormat="1">
      <c r="A56" s="693" t="s">
        <v>2772</v>
      </c>
      <c r="B56" s="262" t="e">
        <f t="shared" si="17"/>
        <v>#DIV/0!</v>
      </c>
      <c r="C56" s="200">
        <f t="shared" si="16"/>
        <v>0</v>
      </c>
      <c r="D56" s="1166">
        <v>0.25</v>
      </c>
      <c r="E56" s="261">
        <f>'数据-汇总表'!E11</f>
        <v>0</v>
      </c>
      <c r="F56" s="691" t="e">
        <f t="shared" si="15"/>
        <v>#DIV/0!</v>
      </c>
      <c r="G56" s="2712" t="s">
        <v>2773</v>
      </c>
      <c r="H56" s="1106">
        <f>项目基本情况!C37</f>
        <v>0</v>
      </c>
      <c r="I56" s="944">
        <f>SUMIF(修正!A45:A56,H56,修正!F45:F56)</f>
        <v>0</v>
      </c>
      <c r="J56" s="945"/>
      <c r="K56" s="1146"/>
      <c r="L56" s="943"/>
      <c r="M56" s="943"/>
      <c r="N56" s="943"/>
      <c r="O56" s="943"/>
    </row>
    <row r="57" spans="1:17" s="692" customFormat="1">
      <c r="A57" s="693" t="s">
        <v>2774</v>
      </c>
      <c r="B57" s="262" t="e">
        <f t="shared" si="17"/>
        <v>#DIV/0!</v>
      </c>
      <c r="C57" s="200">
        <f t="shared" si="16"/>
        <v>0</v>
      </c>
      <c r="D57" s="1166">
        <v>0.25</v>
      </c>
      <c r="E57" s="261">
        <f>'数据-汇总表'!E12</f>
        <v>0</v>
      </c>
      <c r="F57" s="691"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2776</v>
      </c>
      <c r="B58" s="262" t="e">
        <f t="shared" si="17"/>
        <v>#DIV/0!</v>
      </c>
      <c r="C58" s="200">
        <f t="shared" si="16"/>
        <v>0</v>
      </c>
      <c r="D58" s="1166">
        <v>0.25</v>
      </c>
      <c r="E58" s="261">
        <f>'数据-汇总表'!E13</f>
        <v>0</v>
      </c>
      <c r="F58" s="691"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2778</v>
      </c>
      <c r="B59" s="262" t="e">
        <f t="shared" si="17"/>
        <v>#DIV/0!</v>
      </c>
      <c r="C59" s="200">
        <f t="shared" si="16"/>
        <v>0.2</v>
      </c>
      <c r="D59" s="1166">
        <v>0.25</v>
      </c>
      <c r="E59" s="261">
        <f>'数据-汇总表'!E14</f>
        <v>0</v>
      </c>
      <c r="F59" s="691" t="e">
        <f t="shared" si="15"/>
        <v>#DIV/0!</v>
      </c>
      <c r="G59" s="2712" t="s">
        <v>2768</v>
      </c>
      <c r="H59" s="1106" t="str">
        <f>项目基本情况!B37</f>
        <v>七级</v>
      </c>
      <c r="I59" s="944">
        <f>SUMIF(修正!A45:A56,H59,修正!H45:H56)</f>
        <v>0.2</v>
      </c>
      <c r="J59" s="945"/>
      <c r="K59" s="1147"/>
      <c r="L59" s="943"/>
      <c r="M59" s="943"/>
      <c r="N59" s="943"/>
      <c r="O59" s="943"/>
    </row>
    <row r="60" spans="1:17" s="692" customFormat="1" ht="15" thickBot="1">
      <c r="A60" s="693" t="s">
        <v>2779</v>
      </c>
      <c r="B60" s="262" t="e">
        <f t="shared" si="17"/>
        <v>#DIV/0!</v>
      </c>
      <c r="C60" s="200">
        <f t="shared" si="16"/>
        <v>0</v>
      </c>
      <c r="D60" s="1166">
        <v>0.25</v>
      </c>
      <c r="E60" s="261">
        <f>'数据-汇总表'!E15</f>
        <v>0</v>
      </c>
      <c r="F60" s="691" t="e">
        <f t="shared" si="15"/>
        <v>#DIV/0!</v>
      </c>
      <c r="G60" s="2713" t="s">
        <v>2773</v>
      </c>
      <c r="H60" s="1116">
        <f>项目基本情况!C37</f>
        <v>0</v>
      </c>
      <c r="I60" s="944">
        <f>SUMIF(修正!A45:A56,H60,修正!H45:H56)</f>
        <v>0</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1220.22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2673</v>
      </c>
      <c r="B64" s="759"/>
      <c r="C64" s="764"/>
      <c r="D64" s="764"/>
      <c r="E64" s="764"/>
      <c r="F64" s="765"/>
      <c r="G64" s="765"/>
      <c r="H64" s="764"/>
      <c r="I64" s="764"/>
      <c r="J64" s="764"/>
      <c r="K64" s="766"/>
      <c r="L64" s="767"/>
      <c r="M64" s="764"/>
      <c r="N64" s="764"/>
      <c r="O64" s="1161"/>
      <c r="P64" s="503"/>
      <c r="Q64" s="504"/>
    </row>
    <row r="65" spans="1:17" s="508" customFormat="1" ht="15">
      <c r="A65" s="2714" t="s">
        <v>2781</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1632</v>
      </c>
      <c r="C4" s="2977"/>
      <c r="D4" s="2977"/>
      <c r="E4" s="1964"/>
    </row>
    <row r="5" spans="1:5" ht="16.5" thickTop="1">
      <c r="A5" s="1962"/>
      <c r="B5" s="2975" t="s">
        <v>1624</v>
      </c>
      <c r="C5" s="1965" t="s">
        <v>1625</v>
      </c>
      <c r="D5" s="1042">
        <f ca="1">结果表!H101</f>
        <v>14195</v>
      </c>
      <c r="E5" s="1962"/>
    </row>
    <row r="6" spans="1:5" ht="15.75">
      <c r="A6" s="1962"/>
      <c r="B6" s="2975"/>
      <c r="C6" s="1965" t="s">
        <v>1626</v>
      </c>
      <c r="D6" s="1042" t="str">
        <f ca="1">NUMBERSTRING(INT(D5*10000),2)&amp;"元整"</f>
        <v>壹亿肆仟壹佰玖拾伍万元整</v>
      </c>
      <c r="E6" s="1962"/>
    </row>
    <row r="7" spans="1:5" ht="15.75">
      <c r="A7" s="1962"/>
      <c r="B7" s="2980"/>
      <c r="C7" s="1966" t="s">
        <v>1627</v>
      </c>
      <c r="D7" s="1043">
        <f ca="1">结果表!H102</f>
        <v>25260</v>
      </c>
      <c r="E7" s="1962"/>
    </row>
    <row r="8" spans="1:5" ht="15.75">
      <c r="A8" s="1962"/>
      <c r="B8" s="2981" t="str">
        <f>结果表!E103</f>
        <v>2.估价师知悉的法定优先受偿款</v>
      </c>
      <c r="C8" s="1967" t="s">
        <v>1628</v>
      </c>
      <c r="D8" s="1043">
        <f>结果表!H103</f>
        <v>0</v>
      </c>
      <c r="E8" s="1962"/>
    </row>
    <row r="9" spans="1:5" ht="15.75">
      <c r="A9" s="1962"/>
      <c r="B9" s="2983"/>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74" t="str">
        <f>结果表!E107</f>
        <v>3.房地产抵押价值</v>
      </c>
      <c r="C13" s="1970" t="s">
        <v>1625</v>
      </c>
      <c r="D13" s="1045">
        <f ca="1">结果表!H107</f>
        <v>14195</v>
      </c>
      <c r="E13" s="1962"/>
    </row>
    <row r="14" spans="1:5" ht="15.75">
      <c r="A14" s="1962"/>
      <c r="B14" s="2975"/>
      <c r="C14" s="1965" t="s">
        <v>1626</v>
      </c>
      <c r="D14" s="1042" t="str">
        <f ca="1">NUMBERSTRING(INT(D13*10000),2)&amp;"元整"</f>
        <v>壹亿肆仟壹佰玖拾伍万元整</v>
      </c>
      <c r="E14" s="1962"/>
    </row>
    <row r="15" spans="1:5" ht="15">
      <c r="A15" s="1962"/>
      <c r="B15" s="2980"/>
      <c r="C15" s="1966" t="s">
        <v>1636</v>
      </c>
      <c r="D15" s="1054">
        <f ca="1">结果表!H108</f>
        <v>25260</v>
      </c>
      <c r="E15" s="1962"/>
    </row>
    <row r="16" spans="1:5" ht="15">
      <c r="A16" s="1962"/>
      <c r="B16" s="2981" t="str">
        <f>结果表!E109</f>
        <v>——</v>
      </c>
      <c r="C16" s="1970" t="s">
        <v>1637</v>
      </c>
      <c r="D16" s="1971" t="str">
        <f>结果表!H109</f>
        <v>——</v>
      </c>
      <c r="E16" s="1962"/>
    </row>
    <row r="17" spans="1:5" ht="15.75">
      <c r="A17" s="1962"/>
      <c r="B17" s="2982"/>
      <c r="C17" s="1965" t="s">
        <v>1638</v>
      </c>
      <c r="D17" s="1042" t="e">
        <f>NUMBERSTRING(INT(D16*10000),2)&amp;"元整"</f>
        <v>#VALUE!</v>
      </c>
      <c r="E17" s="1962"/>
    </row>
    <row r="18" spans="1:5" ht="15">
      <c r="A18" s="1962"/>
      <c r="B18" s="2983"/>
      <c r="C18" s="1966" t="s">
        <v>1627</v>
      </c>
      <c r="D18" s="1054" t="str">
        <f>结果表!H110</f>
        <v>——</v>
      </c>
      <c r="E18" s="1962"/>
    </row>
    <row r="19" spans="1:5" ht="15.75">
      <c r="A19" s="1962"/>
      <c r="B19" s="2974" t="str">
        <f>结果表!E111</f>
        <v>4.抵押净值</v>
      </c>
      <c r="C19" s="1970" t="s">
        <v>1625</v>
      </c>
      <c r="D19" s="1043">
        <f ca="1">结果表!H111</f>
        <v>11538</v>
      </c>
      <c r="E19" s="1962"/>
    </row>
    <row r="20" spans="1:5" ht="15.75">
      <c r="A20" s="1962"/>
      <c r="B20" s="2975"/>
      <c r="C20" s="1965" t="s">
        <v>1638</v>
      </c>
      <c r="D20" s="1042" t="str">
        <f ca="1">NUMBERSTRING(INT(D19*10000),2)&amp;"元整"</f>
        <v>壹亿壹仟伍佰叁拾捌万元整</v>
      </c>
      <c r="E20" s="1962"/>
    </row>
    <row r="21" spans="1:5" ht="15.75" thickBot="1">
      <c r="A21" s="1962"/>
      <c r="B21" s="2976"/>
      <c r="C21" s="1972" t="s">
        <v>1636</v>
      </c>
      <c r="D21" s="1055">
        <f ca="1">结果表!H112</f>
        <v>20532</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0" t="s">
        <v>183</v>
      </c>
      <c r="B18" s="881" t="s">
        <v>560</v>
      </c>
      <c r="C18" s="882" t="s">
        <v>561</v>
      </c>
      <c r="D18" s="883"/>
      <c r="E18" s="881">
        <v>1</v>
      </c>
      <c r="F18" s="884" t="s">
        <v>562</v>
      </c>
      <c r="G18" s="885"/>
      <c r="H18" s="877"/>
      <c r="I18" s="877"/>
    </row>
    <row r="19" spans="1:9" s="886" customFormat="1" ht="19.5" customHeight="1">
      <c r="A19" s="3280"/>
      <c r="B19" s="3280" t="s">
        <v>563</v>
      </c>
      <c r="C19" s="882" t="s">
        <v>564</v>
      </c>
      <c r="D19" s="883"/>
      <c r="E19" s="881">
        <v>0.9</v>
      </c>
      <c r="F19" s="884" t="s">
        <v>565</v>
      </c>
      <c r="G19" s="885"/>
      <c r="H19" s="877"/>
      <c r="I19" s="877"/>
    </row>
    <row r="20" spans="1:9" s="886" customFormat="1" ht="19.5" customHeight="1">
      <c r="A20" s="3280"/>
      <c r="B20" s="3280"/>
      <c r="C20" s="882" t="s">
        <v>566</v>
      </c>
      <c r="D20" s="883"/>
      <c r="E20" s="881">
        <v>1.1000000000000001</v>
      </c>
      <c r="F20" s="884" t="s">
        <v>567</v>
      </c>
      <c r="G20" s="885"/>
      <c r="H20" s="877"/>
      <c r="I20" s="877"/>
    </row>
    <row r="21" spans="1:9" s="886" customFormat="1" ht="19.5" customHeight="1">
      <c r="A21" s="3280"/>
      <c r="B21" s="3280"/>
      <c r="C21" s="882" t="s">
        <v>568</v>
      </c>
      <c r="D21" s="883"/>
      <c r="E21" s="881">
        <v>0.8</v>
      </c>
      <c r="F21" s="884" t="s">
        <v>569</v>
      </c>
      <c r="G21" s="885"/>
      <c r="H21" s="877"/>
      <c r="I21" s="877"/>
    </row>
    <row r="22" spans="1:9" s="886" customFormat="1" ht="19.5" customHeight="1">
      <c r="A22" s="3280"/>
      <c r="B22" s="3280"/>
      <c r="C22" s="882" t="s">
        <v>570</v>
      </c>
      <c r="D22" s="883"/>
      <c r="E22" s="881">
        <v>0.5</v>
      </c>
      <c r="F22" s="884"/>
      <c r="G22" s="885"/>
      <c r="H22" s="877"/>
      <c r="I22" s="877"/>
    </row>
    <row r="23" spans="1:9" s="886" customFormat="1" ht="19.5" customHeight="1">
      <c r="A23" s="3280" t="s">
        <v>184</v>
      </c>
      <c r="B23" s="881" t="s">
        <v>560</v>
      </c>
      <c r="C23" s="882" t="s">
        <v>571</v>
      </c>
      <c r="D23" s="883"/>
      <c r="E23" s="881">
        <v>1</v>
      </c>
      <c r="F23" s="884" t="s">
        <v>572</v>
      </c>
      <c r="G23" s="885"/>
      <c r="H23" s="877"/>
      <c r="I23" s="877"/>
    </row>
    <row r="24" spans="1:9" s="886" customFormat="1" ht="19.5" customHeight="1">
      <c r="A24" s="3280"/>
      <c r="B24" s="3280" t="s">
        <v>563</v>
      </c>
      <c r="C24" s="882" t="s">
        <v>573</v>
      </c>
      <c r="D24" s="883"/>
      <c r="E24" s="881">
        <v>0.5</v>
      </c>
      <c r="F24" s="884"/>
      <c r="G24" s="885"/>
      <c r="H24" s="877"/>
      <c r="I24" s="877"/>
    </row>
    <row r="25" spans="1:9" s="886" customFormat="1" ht="19.5" customHeight="1">
      <c r="A25" s="3280"/>
      <c r="B25" s="3280"/>
      <c r="C25" s="882" t="s">
        <v>574</v>
      </c>
      <c r="D25" s="883"/>
      <c r="E25" s="881">
        <v>1.1000000000000001</v>
      </c>
      <c r="F25" s="884"/>
      <c r="G25" s="885"/>
      <c r="H25" s="877"/>
      <c r="I25" s="877"/>
    </row>
    <row r="26" spans="1:9" s="886" customFormat="1" ht="19.5" customHeight="1">
      <c r="A26" s="3280"/>
      <c r="B26" s="3280"/>
      <c r="C26" s="882" t="s">
        <v>575</v>
      </c>
      <c r="D26" s="883"/>
      <c r="E26" s="881">
        <v>1.1000000000000001</v>
      </c>
      <c r="F26" s="884"/>
      <c r="G26" s="885"/>
      <c r="H26" s="877"/>
      <c r="I26" s="877"/>
    </row>
    <row r="27" spans="1:9" s="886" customFormat="1" ht="19.5" customHeight="1">
      <c r="A27" s="3280"/>
      <c r="B27" s="3280"/>
      <c r="C27" s="882" t="s">
        <v>576</v>
      </c>
      <c r="D27" s="883"/>
      <c r="E27" s="881">
        <v>0.9</v>
      </c>
      <c r="F27" s="884" t="s">
        <v>577</v>
      </c>
      <c r="G27" s="885"/>
      <c r="H27" s="877"/>
      <c r="I27" s="877"/>
    </row>
    <row r="28" spans="1:9" s="886" customFormat="1" ht="19.5" customHeight="1">
      <c r="A28" s="3280"/>
      <c r="B28" s="3280"/>
      <c r="C28" s="882" t="s">
        <v>578</v>
      </c>
      <c r="D28" s="883"/>
      <c r="E28" s="881">
        <v>0.9</v>
      </c>
      <c r="F28" s="884" t="s">
        <v>579</v>
      </c>
      <c r="G28" s="885"/>
      <c r="H28" s="877"/>
      <c r="I28" s="877"/>
    </row>
    <row r="29" spans="1:9" s="886" customFormat="1" ht="19.5" customHeight="1">
      <c r="A29" s="3280"/>
      <c r="B29" s="3280"/>
      <c r="C29" s="882" t="s">
        <v>580</v>
      </c>
      <c r="D29" s="883"/>
      <c r="E29" s="881">
        <v>0.9</v>
      </c>
      <c r="F29" s="884" t="s">
        <v>581</v>
      </c>
      <c r="G29" s="885"/>
      <c r="H29" s="877"/>
      <c r="I29" s="877"/>
    </row>
    <row r="30" spans="1:9" s="886" customFormat="1" ht="19.5" customHeight="1">
      <c r="A30" s="3280"/>
      <c r="B30" s="3280"/>
      <c r="C30" s="882" t="s">
        <v>582</v>
      </c>
      <c r="D30" s="883"/>
      <c r="E30" s="881">
        <v>0.9</v>
      </c>
      <c r="F30" s="884" t="s">
        <v>583</v>
      </c>
      <c r="G30" s="885"/>
      <c r="H30" s="877"/>
      <c r="I30" s="877"/>
    </row>
    <row r="31" spans="1:9" s="886" customFormat="1" ht="19.5" customHeight="1">
      <c r="A31" s="3280"/>
      <c r="B31" s="3280"/>
      <c r="C31" s="882" t="s">
        <v>584</v>
      </c>
      <c r="D31" s="883"/>
      <c r="E31" s="881">
        <v>0.8</v>
      </c>
      <c r="F31" s="884" t="s">
        <v>585</v>
      </c>
      <c r="G31" s="885"/>
      <c r="H31" s="877"/>
      <c r="I31" s="877"/>
    </row>
    <row r="32" spans="1:9" s="886" customFormat="1" ht="19.5" customHeight="1">
      <c r="A32" s="3280"/>
      <c r="B32" s="3280"/>
      <c r="C32" s="882" t="s">
        <v>586</v>
      </c>
      <c r="D32" s="883"/>
      <c r="E32" s="881">
        <v>0.8</v>
      </c>
      <c r="F32" s="884" t="s">
        <v>587</v>
      </c>
      <c r="G32" s="885"/>
      <c r="H32" s="877"/>
      <c r="I32" s="877"/>
    </row>
    <row r="33" spans="1:9" s="886" customFormat="1" ht="19.5" customHeight="1">
      <c r="A33" s="3280" t="s">
        <v>185</v>
      </c>
      <c r="B33" s="881" t="s">
        <v>560</v>
      </c>
      <c r="C33" s="882" t="s">
        <v>588</v>
      </c>
      <c r="D33" s="883"/>
      <c r="E33" s="881">
        <v>1</v>
      </c>
      <c r="F33" s="884" t="s">
        <v>589</v>
      </c>
      <c r="G33" s="885"/>
      <c r="H33" s="877"/>
      <c r="I33" s="877"/>
    </row>
    <row r="34" spans="1:9" s="886" customFormat="1" ht="19.5" customHeight="1">
      <c r="A34" s="3280"/>
      <c r="B34" s="881" t="s">
        <v>563</v>
      </c>
      <c r="C34" s="882" t="s">
        <v>590</v>
      </c>
      <c r="D34" s="883"/>
      <c r="E34" s="881">
        <v>1.5</v>
      </c>
      <c r="F34" s="884" t="s">
        <v>591</v>
      </c>
      <c r="G34" s="885"/>
      <c r="H34" s="877"/>
      <c r="I34" s="877"/>
    </row>
    <row r="35" spans="1:9" s="886" customFormat="1" ht="19.5" customHeight="1">
      <c r="A35" s="3280" t="s">
        <v>186</v>
      </c>
      <c r="B35" s="881" t="s">
        <v>560</v>
      </c>
      <c r="C35" s="882" t="s">
        <v>592</v>
      </c>
      <c r="D35" s="883"/>
      <c r="E35" s="881">
        <v>1</v>
      </c>
      <c r="F35" s="884" t="s">
        <v>593</v>
      </c>
      <c r="G35" s="885"/>
      <c r="H35" s="877"/>
      <c r="I35" s="877"/>
    </row>
    <row r="36" spans="1:9" s="886" customFormat="1" ht="19.5" customHeight="1">
      <c r="A36" s="3280"/>
      <c r="B36" s="3280" t="s">
        <v>563</v>
      </c>
      <c r="C36" s="882" t="s">
        <v>594</v>
      </c>
      <c r="D36" s="883"/>
      <c r="E36" s="881">
        <v>1</v>
      </c>
      <c r="F36" s="884" t="s">
        <v>595</v>
      </c>
      <c r="G36" s="885"/>
      <c r="H36" s="877"/>
      <c r="I36" s="877"/>
    </row>
    <row r="37" spans="1:9" s="886" customFormat="1" ht="19.5" customHeight="1">
      <c r="A37" s="3280"/>
      <c r="B37" s="3280"/>
      <c r="C37" s="882" t="s">
        <v>596</v>
      </c>
      <c r="D37" s="883"/>
      <c r="E37" s="881">
        <v>1.5</v>
      </c>
      <c r="F37" s="884" t="s">
        <v>597</v>
      </c>
      <c r="G37" s="885"/>
      <c r="H37" s="877"/>
      <c r="I37" s="877"/>
    </row>
    <row r="38" spans="1:9" s="886" customFormat="1" ht="19.5" customHeight="1">
      <c r="A38" s="3280"/>
      <c r="B38" s="3280"/>
      <c r="C38" s="882" t="s">
        <v>598</v>
      </c>
      <c r="D38" s="883"/>
      <c r="E38" s="881">
        <v>1</v>
      </c>
      <c r="F38" s="884" t="s">
        <v>599</v>
      </c>
      <c r="G38" s="885"/>
      <c r="H38" s="877"/>
      <c r="I38" s="877"/>
    </row>
    <row r="39" spans="1:9" s="886" customFormat="1" ht="19.5" customHeight="1">
      <c r="A39" s="3280"/>
      <c r="B39" s="328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0" t="s">
        <v>614</v>
      </c>
      <c r="C61" s="817" t="s">
        <v>615</v>
      </c>
      <c r="D61" s="817" t="s">
        <v>616</v>
      </c>
      <c r="E61" s="894">
        <v>0.5</v>
      </c>
      <c r="F61" s="881">
        <v>80</v>
      </c>
    </row>
    <row r="62" spans="1:8" s="877" customFormat="1" ht="24">
      <c r="A62" s="881">
        <v>2</v>
      </c>
      <c r="B62" s="3280"/>
      <c r="C62" s="817" t="s">
        <v>617</v>
      </c>
      <c r="D62" s="817" t="s">
        <v>618</v>
      </c>
      <c r="E62" s="894">
        <v>0.5</v>
      </c>
      <c r="F62" s="881">
        <v>80</v>
      </c>
    </row>
    <row r="63" spans="1:8" s="877" customFormat="1" ht="36">
      <c r="A63" s="881">
        <v>3</v>
      </c>
      <c r="B63" s="3280"/>
      <c r="C63" s="817" t="s">
        <v>619</v>
      </c>
      <c r="D63" s="817" t="s">
        <v>620</v>
      </c>
      <c r="E63" s="894">
        <v>0.5</v>
      </c>
      <c r="F63" s="881">
        <v>80</v>
      </c>
    </row>
    <row r="64" spans="1:8" s="877" customFormat="1" ht="36">
      <c r="A64" s="881">
        <v>4</v>
      </c>
      <c r="B64" s="3280"/>
      <c r="C64" s="817" t="s">
        <v>621</v>
      </c>
      <c r="D64" s="817" t="s">
        <v>622</v>
      </c>
      <c r="E64" s="894">
        <v>0.4</v>
      </c>
      <c r="F64" s="881">
        <v>60</v>
      </c>
    </row>
    <row r="65" spans="1:6" s="877" customFormat="1" ht="36">
      <c r="A65" s="881">
        <v>5</v>
      </c>
      <c r="B65" s="3280"/>
      <c r="C65" s="817" t="s">
        <v>623</v>
      </c>
      <c r="D65" s="817" t="s">
        <v>624</v>
      </c>
      <c r="E65" s="894">
        <v>0.2</v>
      </c>
      <c r="F65" s="881">
        <v>30</v>
      </c>
    </row>
    <row r="66" spans="1:6" s="877" customFormat="1" ht="36">
      <c r="A66" s="881">
        <v>6</v>
      </c>
      <c r="B66" s="3280"/>
      <c r="C66" s="817" t="s">
        <v>625</v>
      </c>
      <c r="D66" s="817" t="s">
        <v>626</v>
      </c>
      <c r="E66" s="894">
        <v>0.3</v>
      </c>
      <c r="F66" s="881">
        <v>50</v>
      </c>
    </row>
    <row r="67" spans="1:6" s="877" customFormat="1" ht="36">
      <c r="A67" s="881">
        <v>7</v>
      </c>
      <c r="B67" s="3280"/>
      <c r="C67" s="817" t="s">
        <v>627</v>
      </c>
      <c r="D67" s="817" t="s">
        <v>628</v>
      </c>
      <c r="E67" s="894">
        <v>0.2</v>
      </c>
      <c r="F67" s="881">
        <v>30</v>
      </c>
    </row>
    <row r="68" spans="1:6" s="877" customFormat="1" ht="36">
      <c r="A68" s="881">
        <v>8</v>
      </c>
      <c r="B68" s="3280"/>
      <c r="C68" s="817" t="s">
        <v>629</v>
      </c>
      <c r="D68" s="817" t="s">
        <v>630</v>
      </c>
      <c r="E68" s="894">
        <v>0.2</v>
      </c>
      <c r="F68" s="881">
        <v>30</v>
      </c>
    </row>
    <row r="69" spans="1:6" s="877" customFormat="1" ht="36">
      <c r="A69" s="881">
        <v>9</v>
      </c>
      <c r="B69" s="3280"/>
      <c r="C69" s="817" t="s">
        <v>631</v>
      </c>
      <c r="D69" s="817" t="s">
        <v>632</v>
      </c>
      <c r="E69" s="894">
        <v>0.2</v>
      </c>
      <c r="F69" s="881">
        <v>30</v>
      </c>
    </row>
    <row r="70" spans="1:6" s="877" customFormat="1" ht="48">
      <c r="A70" s="881">
        <v>10</v>
      </c>
      <c r="B70" s="3280"/>
      <c r="C70" s="817" t="s">
        <v>633</v>
      </c>
      <c r="D70" s="817" t="s">
        <v>634</v>
      </c>
      <c r="E70" s="894">
        <v>0.2</v>
      </c>
      <c r="F70" s="881">
        <v>30</v>
      </c>
    </row>
    <row r="71" spans="1:6" s="877" customFormat="1" ht="48">
      <c r="A71" s="881">
        <v>11</v>
      </c>
      <c r="B71" s="3280"/>
      <c r="C71" s="817" t="s">
        <v>635</v>
      </c>
      <c r="D71" s="817" t="s">
        <v>636</v>
      </c>
      <c r="E71" s="894">
        <v>0.2</v>
      </c>
      <c r="F71" s="881">
        <v>30</v>
      </c>
    </row>
    <row r="72" spans="1:6" s="877" customFormat="1" ht="36">
      <c r="A72" s="881">
        <v>12</v>
      </c>
      <c r="B72" s="3280"/>
      <c r="C72" s="817" t="s">
        <v>637</v>
      </c>
      <c r="D72" s="817" t="s">
        <v>638</v>
      </c>
      <c r="E72" s="894">
        <v>0.5</v>
      </c>
      <c r="F72" s="881">
        <v>80</v>
      </c>
    </row>
    <row r="73" spans="1:6" s="877" customFormat="1" ht="24">
      <c r="A73" s="881">
        <v>13</v>
      </c>
      <c r="B73" s="3280"/>
      <c r="C73" s="817" t="s">
        <v>639</v>
      </c>
      <c r="D73" s="817" t="s">
        <v>640</v>
      </c>
      <c r="E73" s="894">
        <v>0.4</v>
      </c>
      <c r="F73" s="881">
        <v>60</v>
      </c>
    </row>
    <row r="74" spans="1:6" s="877" customFormat="1" ht="24">
      <c r="A74" s="881">
        <v>14</v>
      </c>
      <c r="B74" s="3280"/>
      <c r="C74" s="817" t="s">
        <v>641</v>
      </c>
      <c r="D74" s="817" t="s">
        <v>642</v>
      </c>
      <c r="E74" s="894">
        <v>0.2</v>
      </c>
      <c r="F74" s="881">
        <v>30</v>
      </c>
    </row>
    <row r="75" spans="1:6" s="877" customFormat="1" ht="24">
      <c r="A75" s="881">
        <v>15</v>
      </c>
      <c r="B75" s="3280"/>
      <c r="C75" s="817" t="s">
        <v>643</v>
      </c>
      <c r="D75" s="817" t="s">
        <v>644</v>
      </c>
      <c r="E75" s="894">
        <v>0.2</v>
      </c>
      <c r="F75" s="881">
        <v>30</v>
      </c>
    </row>
    <row r="76" spans="1:6" s="877" customFormat="1" ht="24">
      <c r="A76" s="881">
        <v>16</v>
      </c>
      <c r="B76" s="3280" t="s">
        <v>645</v>
      </c>
      <c r="C76" s="817" t="s">
        <v>646</v>
      </c>
      <c r="D76" s="817" t="s">
        <v>647</v>
      </c>
      <c r="E76" s="894">
        <v>0.5</v>
      </c>
      <c r="F76" s="881">
        <v>80</v>
      </c>
    </row>
    <row r="77" spans="1:6" s="877" customFormat="1" ht="24">
      <c r="A77" s="881">
        <v>17</v>
      </c>
      <c r="B77" s="3280"/>
      <c r="C77" s="817" t="s">
        <v>648</v>
      </c>
      <c r="D77" s="817" t="s">
        <v>649</v>
      </c>
      <c r="E77" s="894">
        <v>0.5</v>
      </c>
      <c r="F77" s="881">
        <v>80</v>
      </c>
    </row>
    <row r="78" spans="1:6" s="877" customFormat="1" ht="24">
      <c r="A78" s="881">
        <v>18</v>
      </c>
      <c r="B78" s="3280"/>
      <c r="C78" s="817" t="s">
        <v>650</v>
      </c>
      <c r="D78" s="817" t="s">
        <v>651</v>
      </c>
      <c r="E78" s="894">
        <v>0.2</v>
      </c>
      <c r="F78" s="881">
        <v>30</v>
      </c>
    </row>
    <row r="79" spans="1:6" s="877" customFormat="1" ht="24">
      <c r="A79" s="881">
        <v>19</v>
      </c>
      <c r="B79" s="3280"/>
      <c r="C79" s="817" t="s">
        <v>652</v>
      </c>
      <c r="D79" s="817" t="s">
        <v>653</v>
      </c>
      <c r="E79" s="894">
        <v>0.5</v>
      </c>
      <c r="F79" s="881">
        <v>80</v>
      </c>
    </row>
    <row r="80" spans="1:6" s="877" customFormat="1" ht="36">
      <c r="A80" s="881">
        <v>20</v>
      </c>
      <c r="B80" s="3280"/>
      <c r="C80" s="817" t="s">
        <v>654</v>
      </c>
      <c r="D80" s="817" t="s">
        <v>655</v>
      </c>
      <c r="E80" s="894">
        <v>0.2</v>
      </c>
      <c r="F80" s="881">
        <v>30</v>
      </c>
    </row>
    <row r="81" spans="1:6" s="877" customFormat="1" ht="36">
      <c r="A81" s="881">
        <v>21</v>
      </c>
      <c r="B81" s="3280"/>
      <c r="C81" s="817" t="s">
        <v>656</v>
      </c>
      <c r="D81" s="817" t="s">
        <v>657</v>
      </c>
      <c r="E81" s="894">
        <v>0.2</v>
      </c>
      <c r="F81" s="881">
        <v>30</v>
      </c>
    </row>
    <row r="82" spans="1:6" s="877" customFormat="1" ht="48">
      <c r="A82" s="881">
        <v>22</v>
      </c>
      <c r="B82" s="3280"/>
      <c r="C82" s="817" t="s">
        <v>658</v>
      </c>
      <c r="D82" s="817" t="s">
        <v>659</v>
      </c>
      <c r="E82" s="894">
        <v>0.2</v>
      </c>
      <c r="F82" s="881">
        <v>30</v>
      </c>
    </row>
    <row r="83" spans="1:6" s="877" customFormat="1" ht="48">
      <c r="A83" s="881">
        <v>23</v>
      </c>
      <c r="B83" s="3280"/>
      <c r="C83" s="817" t="s">
        <v>660</v>
      </c>
      <c r="D83" s="817" t="s">
        <v>661</v>
      </c>
      <c r="E83" s="894">
        <v>0.2</v>
      </c>
      <c r="F83" s="881">
        <v>30</v>
      </c>
    </row>
    <row r="84" spans="1:6" s="877" customFormat="1" ht="36">
      <c r="A84" s="881">
        <v>24</v>
      </c>
      <c r="B84" s="3280"/>
      <c r="C84" s="817" t="s">
        <v>662</v>
      </c>
      <c r="D84" s="817" t="s">
        <v>663</v>
      </c>
      <c r="E84" s="894">
        <v>0.2</v>
      </c>
      <c r="F84" s="881">
        <v>30</v>
      </c>
    </row>
    <row r="85" spans="1:6" s="877" customFormat="1" ht="36">
      <c r="A85" s="881">
        <v>25</v>
      </c>
      <c r="B85" s="3280"/>
      <c r="C85" s="817" t="s">
        <v>664</v>
      </c>
      <c r="D85" s="817" t="s">
        <v>665</v>
      </c>
      <c r="E85" s="894">
        <v>0.5</v>
      </c>
      <c r="F85" s="881">
        <v>80</v>
      </c>
    </row>
    <row r="86" spans="1:6" s="877" customFormat="1" ht="36">
      <c r="A86" s="881">
        <v>26</v>
      </c>
      <c r="B86" s="3280"/>
      <c r="C86" s="817" t="s">
        <v>666</v>
      </c>
      <c r="D86" s="817" t="s">
        <v>667</v>
      </c>
      <c r="E86" s="894">
        <v>0.2</v>
      </c>
      <c r="F86" s="881">
        <v>30</v>
      </c>
    </row>
    <row r="87" spans="1:6" s="877" customFormat="1" ht="36">
      <c r="A87" s="881">
        <v>27</v>
      </c>
      <c r="B87" s="3280"/>
      <c r="C87" s="817" t="s">
        <v>668</v>
      </c>
      <c r="D87" s="817" t="s">
        <v>669</v>
      </c>
      <c r="E87" s="894">
        <v>0.2</v>
      </c>
      <c r="F87" s="881">
        <v>30</v>
      </c>
    </row>
    <row r="88" spans="1:6" s="877" customFormat="1" ht="36">
      <c r="A88" s="881">
        <v>28</v>
      </c>
      <c r="B88" s="3280"/>
      <c r="C88" s="817" t="s">
        <v>670</v>
      </c>
      <c r="D88" s="817" t="s">
        <v>671</v>
      </c>
      <c r="E88" s="894">
        <v>0.2</v>
      </c>
      <c r="F88" s="881">
        <v>30</v>
      </c>
    </row>
    <row r="89" spans="1:6" s="877" customFormat="1" ht="24">
      <c r="A89" s="881">
        <v>29</v>
      </c>
      <c r="B89" s="3280"/>
      <c r="C89" s="817" t="s">
        <v>672</v>
      </c>
      <c r="D89" s="817" t="s">
        <v>673</v>
      </c>
      <c r="E89" s="894">
        <v>0.2</v>
      </c>
      <c r="F89" s="881">
        <v>30</v>
      </c>
    </row>
    <row r="90" spans="1:6" s="877" customFormat="1" ht="24">
      <c r="A90" s="881">
        <v>30</v>
      </c>
      <c r="B90" s="3280"/>
      <c r="C90" s="817" t="s">
        <v>674</v>
      </c>
      <c r="D90" s="817" t="s">
        <v>675</v>
      </c>
      <c r="E90" s="894">
        <v>0.2</v>
      </c>
      <c r="F90" s="881">
        <v>30</v>
      </c>
    </row>
    <row r="91" spans="1:6" s="877" customFormat="1" ht="36">
      <c r="A91" s="881">
        <v>31</v>
      </c>
      <c r="B91" s="3280"/>
      <c r="C91" s="817" t="s">
        <v>676</v>
      </c>
      <c r="D91" s="817" t="s">
        <v>677</v>
      </c>
      <c r="E91" s="894">
        <v>0.2</v>
      </c>
      <c r="F91" s="881">
        <v>30</v>
      </c>
    </row>
    <row r="92" spans="1:6" s="877" customFormat="1" ht="24">
      <c r="A92" s="881">
        <v>32</v>
      </c>
      <c r="B92" s="3280" t="s">
        <v>678</v>
      </c>
      <c r="C92" s="881" t="s">
        <v>679</v>
      </c>
      <c r="D92" s="817" t="s">
        <v>680</v>
      </c>
      <c r="E92" s="894">
        <v>0.2</v>
      </c>
      <c r="F92" s="881">
        <v>30</v>
      </c>
    </row>
    <row r="93" spans="1:6" s="877" customFormat="1" ht="36">
      <c r="A93" s="881">
        <v>33</v>
      </c>
      <c r="B93" s="3280"/>
      <c r="C93" s="881" t="s">
        <v>681</v>
      </c>
      <c r="D93" s="817" t="s">
        <v>682</v>
      </c>
      <c r="E93" s="894">
        <v>0.2</v>
      </c>
      <c r="F93" s="881">
        <v>30</v>
      </c>
    </row>
    <row r="94" spans="1:6" s="877" customFormat="1" ht="48">
      <c r="A94" s="881">
        <v>34</v>
      </c>
      <c r="B94" s="3280"/>
      <c r="C94" s="881" t="s">
        <v>683</v>
      </c>
      <c r="D94" s="817" t="s">
        <v>684</v>
      </c>
      <c r="E94" s="894">
        <v>0.2</v>
      </c>
      <c r="F94" s="881">
        <v>30</v>
      </c>
    </row>
    <row r="95" spans="1:6" s="877" customFormat="1" ht="36">
      <c r="A95" s="881">
        <v>35</v>
      </c>
      <c r="B95" s="3280"/>
      <c r="C95" s="881" t="s">
        <v>685</v>
      </c>
      <c r="D95" s="817" t="s">
        <v>686</v>
      </c>
      <c r="E95" s="894">
        <v>0.2</v>
      </c>
      <c r="F95" s="881">
        <v>30</v>
      </c>
    </row>
    <row r="96" spans="1:6" s="877" customFormat="1" ht="48">
      <c r="A96" s="881">
        <v>36</v>
      </c>
      <c r="B96" s="3280"/>
      <c r="C96" s="817" t="s">
        <v>687</v>
      </c>
      <c r="D96" s="817" t="s">
        <v>688</v>
      </c>
      <c r="E96" s="894">
        <v>0.2</v>
      </c>
      <c r="F96" s="881">
        <v>30</v>
      </c>
    </row>
    <row r="97" spans="1:6" s="877" customFormat="1" ht="36">
      <c r="A97" s="881">
        <v>37</v>
      </c>
      <c r="B97" s="3280"/>
      <c r="C97" s="881" t="s">
        <v>689</v>
      </c>
      <c r="D97" s="817" t="s">
        <v>690</v>
      </c>
      <c r="E97" s="894">
        <v>0.2</v>
      </c>
      <c r="F97" s="881">
        <v>30</v>
      </c>
    </row>
    <row r="98" spans="1:6" s="877" customFormat="1" ht="36">
      <c r="A98" s="881">
        <v>38</v>
      </c>
      <c r="B98" s="3280"/>
      <c r="C98" s="881" t="s">
        <v>691</v>
      </c>
      <c r="D98" s="817" t="s">
        <v>692</v>
      </c>
      <c r="E98" s="894">
        <v>0.2</v>
      </c>
      <c r="F98" s="881">
        <v>30</v>
      </c>
    </row>
    <row r="99" spans="1:6" s="877" customFormat="1" ht="36">
      <c r="A99" s="881">
        <v>39</v>
      </c>
      <c r="B99" s="3280" t="s">
        <v>693</v>
      </c>
      <c r="C99" s="881" t="s">
        <v>694</v>
      </c>
      <c r="D99" s="817" t="s">
        <v>695</v>
      </c>
      <c r="E99" s="894">
        <v>0.3</v>
      </c>
      <c r="F99" s="881">
        <v>50</v>
      </c>
    </row>
    <row r="100" spans="1:6" s="877" customFormat="1" ht="24">
      <c r="A100" s="881">
        <v>40</v>
      </c>
      <c r="B100" s="3280"/>
      <c r="C100" s="881" t="s">
        <v>696</v>
      </c>
      <c r="D100" s="817" t="s">
        <v>697</v>
      </c>
      <c r="E100" s="894">
        <v>0.2</v>
      </c>
      <c r="F100" s="881">
        <v>30</v>
      </c>
    </row>
    <row r="101" spans="1:6" s="877" customFormat="1" ht="36">
      <c r="A101" s="881">
        <v>41</v>
      </c>
      <c r="B101" s="328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0" t="s">
        <v>708</v>
      </c>
      <c r="C105" s="881" t="s">
        <v>709</v>
      </c>
      <c r="D105" s="817" t="s">
        <v>710</v>
      </c>
      <c r="E105" s="894">
        <v>0.2</v>
      </c>
      <c r="F105" s="881">
        <v>30</v>
      </c>
    </row>
    <row r="106" spans="1:6" s="877" customFormat="1" ht="36">
      <c r="A106" s="881">
        <v>46</v>
      </c>
      <c r="B106" s="3280"/>
      <c r="C106" s="881" t="s">
        <v>711</v>
      </c>
      <c r="D106" s="817" t="s">
        <v>712</v>
      </c>
      <c r="E106" s="894">
        <v>0.2</v>
      </c>
      <c r="F106" s="881">
        <v>30</v>
      </c>
    </row>
    <row r="107" spans="1:6" s="877" customFormat="1" ht="36">
      <c r="A107" s="881">
        <v>47</v>
      </c>
      <c r="B107" s="3280" t="s">
        <v>713</v>
      </c>
      <c r="C107" s="881" t="s">
        <v>714</v>
      </c>
      <c r="D107" s="817" t="s">
        <v>715</v>
      </c>
      <c r="E107" s="894">
        <v>0.3</v>
      </c>
      <c r="F107" s="881">
        <v>50</v>
      </c>
    </row>
    <row r="108" spans="1:6" s="877" customFormat="1" ht="36">
      <c r="A108" s="881">
        <v>48</v>
      </c>
      <c r="B108" s="328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0" t="s">
        <v>724</v>
      </c>
      <c r="C111" s="881" t="s">
        <v>725</v>
      </c>
      <c r="D111" s="817" t="s">
        <v>726</v>
      </c>
      <c r="E111" s="894">
        <v>0.2</v>
      </c>
      <c r="F111" s="881">
        <v>30</v>
      </c>
    </row>
    <row r="112" spans="1:6" s="877" customFormat="1" ht="24">
      <c r="A112" s="881">
        <v>52</v>
      </c>
      <c r="B112" s="3280"/>
      <c r="C112" s="881" t="s">
        <v>727</v>
      </c>
      <c r="D112" s="817" t="s">
        <v>728</v>
      </c>
      <c r="E112" s="894">
        <v>0.2</v>
      </c>
      <c r="F112" s="881">
        <v>30</v>
      </c>
    </row>
    <row r="113" spans="1:6" s="877" customFormat="1" ht="24">
      <c r="A113" s="881">
        <v>53</v>
      </c>
      <c r="B113" s="328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0" t="s">
        <v>737</v>
      </c>
      <c r="C116" s="881" t="s">
        <v>738</v>
      </c>
      <c r="D116" s="817" t="s">
        <v>739</v>
      </c>
      <c r="E116" s="894">
        <v>0.2</v>
      </c>
      <c r="F116" s="881">
        <v>30</v>
      </c>
    </row>
    <row r="117" spans="1:6" ht="36">
      <c r="A117" s="881">
        <v>57</v>
      </c>
      <c r="B117" s="328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0.96399999999999997</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f ca="1">SUMIF(B6:B13,"&lt;&gt;#ref!",B6:B13)</f>
        <v>0</v>
      </c>
      <c r="C2" s="2913" t="s">
        <v>2995</v>
      </c>
      <c r="D2" s="2913" t="s">
        <v>2996</v>
      </c>
      <c r="E2" s="2914" t="e">
        <f ca="1">SUM(E6:E13)</f>
        <v>#REF!</v>
      </c>
    </row>
    <row r="3" spans="1:5" ht="15.75">
      <c r="A3" s="2913" t="s">
        <v>2997</v>
      </c>
      <c r="B3" s="2914" t="e">
        <f ca="1">ROUND(B2*10000/E2,0)</f>
        <v>#REF!</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f ca="1">SUMIF(INDIRECT("'"&amp;A6&amp;"'"&amp;"!A:A"),"总价",INDIRECT("'"&amp;A6&amp;"'"&amp;"!B:B"))</f>
        <v>0</v>
      </c>
      <c r="C6" s="2913" t="s">
        <v>2995</v>
      </c>
      <c r="D6" s="2915"/>
      <c r="E6" s="2578">
        <f ca="1">SUMIF(INDIRECT("'"&amp;A6&amp;"'"&amp;"!C:C"),"建筑面积",INDIRECT("'"&amp;A6&amp;"'"&amp;"!D:D"))</f>
        <v>5619.58</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6" t="s">
        <v>1150</v>
      </c>
      <c r="C1" s="3286"/>
      <c r="D1" s="3286"/>
      <c r="E1" s="3286"/>
      <c r="F1" s="3286"/>
      <c r="G1" s="3285" t="s">
        <v>1151</v>
      </c>
      <c r="H1" s="3285"/>
      <c r="I1" s="3285"/>
      <c r="J1" s="3285"/>
      <c r="K1" s="3285"/>
      <c r="L1" s="3285"/>
      <c r="N1" s="3285" t="s">
        <v>1152</v>
      </c>
      <c r="O1" s="3285"/>
      <c r="P1" s="3285"/>
      <c r="Q1" s="3285"/>
      <c r="R1" s="1448"/>
      <c r="S1" s="3285" t="s">
        <v>1153</v>
      </c>
      <c r="T1" s="3285"/>
      <c r="U1" s="3285"/>
      <c r="V1" s="3285"/>
      <c r="X1" s="3284" t="s">
        <v>1154</v>
      </c>
      <c r="Y1" s="3285"/>
      <c r="Z1" s="3285"/>
      <c r="AA1" s="3285"/>
      <c r="AB1" s="3285"/>
      <c r="AD1" s="3284" t="s">
        <v>1155</v>
      </c>
      <c r="AE1" s="3285"/>
      <c r="AF1" s="3285"/>
      <c r="AG1" s="3285"/>
      <c r="AH1" s="3285"/>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3037</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6"/>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5"/>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7">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2"/>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2"/>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3"/>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1">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2"/>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2"/>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3"/>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1">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2"/>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2"/>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3"/>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8">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9"/>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9"/>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90"/>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1">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2"/>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2"/>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3"/>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1">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2">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2">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3">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1">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2">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2">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3">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1">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2">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2">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3">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1">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2">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2">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3">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1">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2">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2">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3">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1">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2">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2">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3">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1">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2">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2">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3">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1">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2">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2">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3">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1">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2">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2">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3">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1">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2">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2">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3">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3004</v>
      </c>
      <c r="C1" s="3292" t="s">
        <v>3005</v>
      </c>
      <c r="D1" s="3293"/>
      <c r="E1" s="3293"/>
      <c r="F1" s="3293"/>
      <c r="G1" s="3293"/>
      <c r="H1" s="3293"/>
      <c r="I1" s="3293"/>
      <c r="J1" s="3293"/>
      <c r="K1" s="3293"/>
      <c r="L1" s="3293"/>
      <c r="M1" s="3293"/>
      <c r="N1" s="3293"/>
      <c r="O1" s="3293"/>
      <c r="P1" s="3293"/>
      <c r="Q1" s="3293"/>
      <c r="R1" s="3293"/>
      <c r="S1" s="3294"/>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3008</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3009</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3010</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3014</v>
      </c>
      <c r="B17" s="2920"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3016</v>
      </c>
      <c r="E19" s="1795"/>
      <c r="F19" s="1795"/>
      <c r="G19" s="1795"/>
      <c r="H19" s="1282"/>
      <c r="I19" s="168"/>
      <c r="J19" s="168"/>
      <c r="K19" s="168"/>
      <c r="L19" s="168"/>
      <c r="M19" s="168"/>
      <c r="N19" s="168"/>
      <c r="O19" s="168"/>
      <c r="P19" s="168"/>
      <c r="Q19" s="168"/>
      <c r="R19" s="788"/>
      <c r="S19" s="138"/>
    </row>
    <row r="20" spans="1:45" ht="16.5" thickBot="1">
      <c r="A20" s="715" t="s">
        <v>3017</v>
      </c>
      <c r="B20" s="338" t="e">
        <f ca="1">IF(D20="——",S22,S22-F20)</f>
        <v>#REF!</v>
      </c>
      <c r="C20" s="168"/>
      <c r="D20" s="2922" t="s">
        <v>3018</v>
      </c>
      <c r="E20" s="1796"/>
      <c r="F20" s="1206" t="e">
        <f ca="1">SUMIF(INDIRECT("'"&amp;H20&amp;"'"&amp;"!A:A"),"承租人权益价值",INDIRECT("'"&amp;H20&amp;"'"&amp;"!c:c"))</f>
        <v>#REF!</v>
      </c>
      <c r="G20" s="1206" t="s">
        <v>3019</v>
      </c>
      <c r="H20" s="2923"/>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5" t="s">
        <v>33</v>
      </c>
      <c r="D22" s="3156"/>
      <c r="E22" s="3156"/>
      <c r="F22" s="3156"/>
      <c r="G22" s="3156"/>
      <c r="H22" s="3156"/>
      <c r="I22" s="3156"/>
      <c r="J22" s="3156"/>
      <c r="K22" s="3156"/>
      <c r="L22" s="3156"/>
      <c r="M22" s="3156"/>
      <c r="N22" s="3156"/>
      <c r="O22" s="3156"/>
      <c r="P22" s="3156"/>
      <c r="Q22" s="329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32707</v>
      </c>
      <c r="C2" s="2" t="s">
        <v>133</v>
      </c>
      <c r="D2" s="243"/>
      <c r="E2" s="243"/>
      <c r="F2" s="243"/>
      <c r="G2" s="243"/>
    </row>
    <row r="3" spans="1:7" s="244" customFormat="1" ht="18" customHeight="1" thickBot="1">
      <c r="A3" s="247" t="s">
        <v>85</v>
      </c>
      <c r="B3" s="248">
        <f ca="1">ROUND(B2*10000/'数据-汇总表'!E3,0)</f>
        <v>58202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112</v>
      </c>
      <c r="D10" s="1034">
        <f>'数据-汇总表'!E6</f>
        <v>5619.58</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0</v>
      </c>
      <c r="D19" s="1038">
        <f>'数据-汇总表'!E3</f>
        <v>5619.58</v>
      </c>
      <c r="E19" s="255">
        <f>'数据-取费表'!B31</f>
        <v>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2344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2321</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4835</v>
      </c>
      <c r="D27" s="279">
        <f>C29</f>
        <v>4.5999999999999999E-3</v>
      </c>
      <c r="E27" s="280" t="s">
        <v>126</v>
      </c>
      <c r="F27" s="290">
        <f>'数据-取费表'!Q16</f>
        <v>0.25</v>
      </c>
      <c r="G27" s="291" t="s">
        <v>1069</v>
      </c>
    </row>
    <row r="28" spans="1:7" s="258" customFormat="1" ht="13.5" customHeight="1">
      <c r="A28" s="953" t="s">
        <v>794</v>
      </c>
      <c r="B28" s="292" t="s">
        <v>1062</v>
      </c>
      <c r="C28" s="293">
        <f>ROUND((C5+C19+C20)*F27*'数据-取费表'!B21/'数据-取费表'!B20,0)</f>
        <v>4835</v>
      </c>
      <c r="D28" s="279"/>
      <c r="E28" s="280"/>
      <c r="F28" s="290"/>
      <c r="G28" s="291"/>
    </row>
    <row r="29" spans="1:7" s="258" customFormat="1" ht="13.5" customHeight="1">
      <c r="A29" s="953" t="s">
        <v>792</v>
      </c>
      <c r="B29" s="292" t="s">
        <v>1063</v>
      </c>
      <c r="C29" s="282">
        <f>ROUND(C21*F27*'数据-取费表'!B21/'数据-取费表'!B20,4)</f>
        <v>4.5999999999999999E-3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1293</v>
      </c>
      <c r="D34" s="261"/>
      <c r="E34" s="264"/>
      <c r="F34" s="301">
        <f>IF('数据-取费表'!B24=0,1,'数据-取费表'!N16)</f>
        <v>0.92</v>
      </c>
      <c r="G34" s="263" t="s">
        <v>116</v>
      </c>
    </row>
    <row r="35" spans="1:7" ht="13.5" customHeight="1">
      <c r="A35" s="953" t="s">
        <v>796</v>
      </c>
      <c r="B35" s="259" t="s">
        <v>60</v>
      </c>
      <c r="C35" s="264">
        <f>ROUND(C34*F35,0)</f>
        <v>52</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103</v>
      </c>
      <c r="D37" s="261">
        <f>'数据-汇总表'!E3</f>
        <v>5619.58</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82</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80</v>
      </c>
      <c r="D42" s="282"/>
      <c r="E42" s="282"/>
      <c r="F42" s="283"/>
      <c r="G42" s="3160" t="s">
        <v>121</v>
      </c>
    </row>
    <row r="43" spans="1:7" ht="13.5" customHeight="1">
      <c r="A43" s="953" t="s">
        <v>792</v>
      </c>
      <c r="B43" s="259" t="s">
        <v>1064</v>
      </c>
      <c r="C43" s="282">
        <f ca="1">ROUND(IF('数据-取费表'!B22&lt;=1,C39*F22*'数据-取费表'!B21/2,C39*(POWER((1+F22),'数据-取费表'!B21/2)-1)),0)</f>
        <v>2</v>
      </c>
      <c r="D43" s="282"/>
      <c r="E43" s="282"/>
      <c r="F43" s="283"/>
      <c r="G43" s="3161"/>
    </row>
    <row r="44" spans="1:7" ht="13.5" customHeight="1">
      <c r="A44" s="953" t="s">
        <v>793</v>
      </c>
      <c r="B44" s="259" t="s">
        <v>1066</v>
      </c>
      <c r="C44" s="282">
        <f ca="1">ROUND(IF('数据-取费表'!B22&lt;=1,C40*F22*'数据-取费表'!B21/2,C40*(POWER((1+F22),'数据-取费表'!B21/2)-1)),4)</f>
        <v>1.1000000000000001E-3</v>
      </c>
      <c r="D44" s="282"/>
      <c r="E44" s="282"/>
      <c r="F44" s="283"/>
      <c r="G44" s="3162"/>
    </row>
    <row r="45" spans="1:7" s="258" customFormat="1" ht="13.5" customHeight="1">
      <c r="A45" s="950" t="s">
        <v>786</v>
      </c>
      <c r="B45" s="288" t="s">
        <v>112</v>
      </c>
      <c r="C45" s="289">
        <f>C46</f>
        <v>374</v>
      </c>
      <c r="D45" s="279">
        <f>C47</f>
        <v>5.0000000000000001E-3</v>
      </c>
      <c r="E45" s="280" t="s">
        <v>129</v>
      </c>
      <c r="F45" s="290"/>
      <c r="G45" s="291" t="s">
        <v>1072</v>
      </c>
    </row>
    <row r="46" spans="1:7" s="258" customFormat="1" ht="13.5" customHeight="1">
      <c r="A46" s="953" t="s">
        <v>794</v>
      </c>
      <c r="B46" s="292" t="s">
        <v>1065</v>
      </c>
      <c r="C46" s="293">
        <f>ROUND((C33+C39)*F27,0)</f>
        <v>374</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2118</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2118</v>
      </c>
      <c r="D51" s="276"/>
      <c r="E51" s="276"/>
      <c r="F51" s="308"/>
      <c r="G51" s="278" t="s">
        <v>64</v>
      </c>
    </row>
    <row r="52" spans="1:7" s="252" customFormat="1" ht="16.5" thickBot="1">
      <c r="A52" s="309" t="s">
        <v>65</v>
      </c>
      <c r="B52" s="310"/>
      <c r="C52" s="311">
        <f ca="1">C31+C51</f>
        <v>32707</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5" t="s">
        <v>156</v>
      </c>
      <c r="B1" s="3295"/>
      <c r="C1" s="3295"/>
      <c r="D1" s="3295"/>
      <c r="E1" s="3295"/>
      <c r="F1" s="329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6" t="s">
        <v>169</v>
      </c>
      <c r="B2" s="3296"/>
      <c r="C2" s="3296"/>
      <c r="D2" s="3296"/>
      <c r="E2" s="3296"/>
      <c r="F2" s="329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5" t="s">
        <v>871</v>
      </c>
      <c r="B1" s="329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43105</v>
      </c>
      <c r="D1" s="1703" t="s">
        <v>1302</v>
      </c>
      <c r="E1" s="1698">
        <f>'数据-取费表'!B22</f>
        <v>2.5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6" t="s">
        <v>1640</v>
      </c>
      <c r="E3" s="1046" t="s">
        <v>1646</v>
      </c>
      <c r="F3" s="1046" t="s">
        <v>1640</v>
      </c>
      <c r="G3" s="1046" t="s">
        <v>1641</v>
      </c>
      <c r="H3" s="1046" t="s">
        <v>1640</v>
      </c>
      <c r="I3" s="1046" t="s">
        <v>1641</v>
      </c>
    </row>
    <row r="4" spans="1:9" ht="60">
      <c r="A4" s="1976" t="str">
        <f>项目基本情况!S2</f>
        <v>北京市大兴区黄村镇兴华中路13号，商业娱乐出让国有建设用地使用权及在建建筑物房地产</v>
      </c>
      <c r="B4" s="1046">
        <f>项目基本情况!C17</f>
        <v>5619.58</v>
      </c>
      <c r="C4" s="1046">
        <f>项目基本情况!C18</f>
        <v>1220.22</v>
      </c>
      <c r="D4" s="1046">
        <f ca="1">结果表!D118</f>
        <v>11995</v>
      </c>
      <c r="E4" s="1046">
        <f ca="1">结果表!E118</f>
        <v>21345</v>
      </c>
      <c r="F4" s="1046">
        <f ca="1">结果表!F118</f>
        <v>2200</v>
      </c>
      <c r="G4" s="1046">
        <f ca="1">结果表!G118</f>
        <v>3915</v>
      </c>
      <c r="H4" s="1046">
        <f ca="1">结果表!H118</f>
        <v>14195</v>
      </c>
      <c r="I4" s="1046">
        <f ca="1">结果表!I118</f>
        <v>25260</v>
      </c>
    </row>
    <row r="5" spans="1:9" ht="30" customHeight="1">
      <c r="A5" s="2988" t="s">
        <v>1642</v>
      </c>
      <c r="B5" s="2988"/>
      <c r="C5" s="2988"/>
      <c r="D5" s="2989" t="str">
        <f ca="1">结果表!D119</f>
        <v>壹亿壹仟玖佰玖拾伍万元整</v>
      </c>
      <c r="E5" s="2989"/>
      <c r="F5" s="2989" t="str">
        <f ca="1">结果表!F119</f>
        <v>贰仟贰佰万元整</v>
      </c>
      <c r="G5" s="2989"/>
      <c r="H5" s="2989" t="str">
        <f ca="1">结果表!H119</f>
        <v>壹亿肆仟壹佰玖拾伍万元整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1642</v>
      </c>
      <c r="B7" s="2988"/>
      <c r="C7" s="2988"/>
      <c r="D7" s="2990" t="str">
        <f>结果表!D121</f>
        <v>零元整</v>
      </c>
      <c r="E7" s="2991"/>
      <c r="F7" s="2991"/>
      <c r="G7" s="2991"/>
      <c r="H7" s="2991"/>
      <c r="I7" s="2992"/>
    </row>
    <row r="8" spans="1:9" ht="15.75">
      <c r="A8" s="2987" t="str">
        <f>结果表!A122</f>
        <v>房地产抵押价值</v>
      </c>
      <c r="B8" s="2987"/>
      <c r="C8" s="2987"/>
      <c r="D8" s="2987">
        <f ca="1">结果表!D122</f>
        <v>14195</v>
      </c>
      <c r="E8" s="2987"/>
      <c r="F8" s="2987"/>
      <c r="G8" s="2987"/>
      <c r="H8" s="2987"/>
      <c r="I8" s="2987"/>
    </row>
    <row r="9" spans="1:9" ht="15">
      <c r="A9" s="2988" t="s">
        <v>1642</v>
      </c>
      <c r="B9" s="2988"/>
      <c r="C9" s="2988"/>
      <c r="D9" s="2989" t="str">
        <f ca="1">结果表!D123</f>
        <v>壹亿肆仟壹佰玖拾伍万元整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1642</v>
      </c>
      <c r="B11" s="2988"/>
      <c r="C11" s="2988"/>
      <c r="D11" s="2989" t="e">
        <f>结果表!D125</f>
        <v>#VALUE!</v>
      </c>
      <c r="E11" s="2989"/>
      <c r="F11" s="2989"/>
      <c r="G11" s="2989"/>
      <c r="H11" s="2989"/>
      <c r="I11" s="2989"/>
    </row>
    <row r="12" spans="1:9" ht="15.75">
      <c r="A12" s="2987" t="str">
        <f>结果表!A126</f>
        <v>抵押净值</v>
      </c>
      <c r="B12" s="2987"/>
      <c r="C12" s="2987"/>
      <c r="D12" s="2987">
        <f ca="1">结果表!D126</f>
        <v>11538</v>
      </c>
      <c r="E12" s="2987"/>
      <c r="F12" s="2987"/>
      <c r="G12" s="2987"/>
      <c r="H12" s="2987"/>
      <c r="I12" s="2987"/>
    </row>
    <row r="13" spans="1:9" ht="15.75" thickBot="1">
      <c r="A13" s="2984" t="s">
        <v>1642</v>
      </c>
      <c r="B13" s="2984"/>
      <c r="C13" s="2984"/>
      <c r="D13" s="2985" t="str">
        <f ca="1">结果表!D127</f>
        <v>壹亿壹仟伍佰叁拾捌万元整</v>
      </c>
      <c r="E13" s="2985"/>
      <c r="F13" s="2985"/>
      <c r="G13" s="2985"/>
      <c r="H13" s="2985"/>
      <c r="I13" s="2985"/>
    </row>
    <row r="14" spans="1:9" ht="15" thickTop="1">
      <c r="A14" s="2986" t="s">
        <v>1647</v>
      </c>
      <c r="B14" s="2986"/>
      <c r="C14" s="2986"/>
      <c r="D14" s="2986"/>
      <c r="E14" s="2986"/>
      <c r="F14" s="2986"/>
      <c r="G14" s="2986"/>
      <c r="H14" s="2986"/>
      <c r="I14" s="2986"/>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D48"/>
  <sheetViews>
    <sheetView workbookViewId="0">
      <selection activeCell="K55" sqref="K55"/>
    </sheetView>
  </sheetViews>
  <sheetFormatPr defaultRowHeight="13.5"/>
  <cols>
    <col min="1" max="1" width="13.75" customWidth="1"/>
    <col min="2" max="2" width="10.25" customWidth="1"/>
    <col min="3" max="3" width="12" customWidth="1"/>
  </cols>
  <sheetData>
    <row r="28" spans="1:1">
      <c r="A28" s="2952"/>
    </row>
    <row r="42" spans="1:4">
      <c r="A42" s="2952" t="s">
        <v>3243</v>
      </c>
      <c r="B42" s="2952" t="s">
        <v>3242</v>
      </c>
      <c r="C42" s="2952" t="s">
        <v>3244</v>
      </c>
      <c r="D42" s="2952" t="s">
        <v>3245</v>
      </c>
    </row>
    <row r="43" spans="1:4">
      <c r="A43" s="2952" t="s">
        <v>3246</v>
      </c>
      <c r="B43">
        <v>1</v>
      </c>
      <c r="C43">
        <v>200</v>
      </c>
      <c r="D43">
        <v>6.9</v>
      </c>
    </row>
    <row r="44" spans="1:4">
      <c r="A44" s="2952" t="s">
        <v>3247</v>
      </c>
      <c r="B44">
        <v>1</v>
      </c>
      <c r="C44">
        <v>500</v>
      </c>
      <c r="D44">
        <v>6</v>
      </c>
    </row>
    <row r="45" spans="1:4">
      <c r="A45" s="2952" t="s">
        <v>3247</v>
      </c>
      <c r="B45">
        <v>1</v>
      </c>
      <c r="C45">
        <v>780</v>
      </c>
      <c r="D45">
        <v>6.5</v>
      </c>
    </row>
    <row r="46" spans="1:4">
      <c r="A46" s="2952" t="s">
        <v>3248</v>
      </c>
      <c r="B46">
        <v>1</v>
      </c>
      <c r="C46">
        <v>221</v>
      </c>
      <c r="D46">
        <v>9</v>
      </c>
    </row>
    <row r="47" spans="1:4">
      <c r="A47" s="2952" t="s">
        <v>3250</v>
      </c>
      <c r="B47" s="2968" t="s">
        <v>3249</v>
      </c>
      <c r="C47">
        <v>180</v>
      </c>
      <c r="D47">
        <v>8.1</v>
      </c>
    </row>
    <row r="48" spans="1:4">
      <c r="A48" s="2952" t="s">
        <v>3250</v>
      </c>
      <c r="B48">
        <v>1</v>
      </c>
      <c r="C48">
        <v>360</v>
      </c>
      <c r="D48">
        <v>9</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1664</v>
      </c>
      <c r="B1" s="3001"/>
      <c r="C1" s="3001"/>
      <c r="D1" s="3001"/>
    </row>
    <row r="2" spans="1:4" ht="18">
      <c r="A2" s="3002" t="s">
        <v>1648</v>
      </c>
      <c r="B2" s="3002"/>
      <c r="C2" s="3002"/>
      <c r="D2" s="3002"/>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3002" t="s">
        <v>1654</v>
      </c>
      <c r="B6" s="3002"/>
      <c r="C6" s="3002"/>
      <c r="D6" s="3002"/>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03" t="s">
        <v>1657</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v>
      </c>
      <c r="B15" s="2995"/>
      <c r="C15" s="2995"/>
      <c r="D15" s="2995"/>
    </row>
    <row r="16" spans="1:4" ht="30" customHeight="1">
      <c r="A16" s="2997" t="s">
        <v>1658</v>
      </c>
      <c r="B16" s="2997"/>
      <c r="C16" s="2997"/>
      <c r="D16" s="2997"/>
    </row>
    <row r="17" spans="1:4" ht="144" customHeight="1">
      <c r="A17" s="2997" t="s">
        <v>1659</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1660</v>
      </c>
      <c r="B22" s="2999"/>
      <c r="C22" s="2999"/>
      <c r="D22" s="299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9" t="s">
        <v>1671</v>
      </c>
      <c r="B15" s="3004" t="s">
        <v>136</v>
      </c>
      <c r="C15" s="3005"/>
    </row>
    <row r="16" spans="1:7" ht="13.5">
      <c r="A16" s="3010"/>
      <c r="B16" s="3004" t="s">
        <v>69</v>
      </c>
      <c r="C16" s="3005"/>
    </row>
    <row r="17" spans="1:3" ht="13.5">
      <c r="A17" s="3010"/>
      <c r="B17" s="3007" t="s">
        <v>1672</v>
      </c>
      <c r="C17" s="2003" t="s">
        <v>1671</v>
      </c>
    </row>
    <row r="18" spans="1:3" ht="13.5">
      <c r="A18" s="3010"/>
      <c r="B18" s="3007"/>
      <c r="C18" s="2003" t="s">
        <v>1673</v>
      </c>
    </row>
    <row r="19" spans="1:3" ht="13.5">
      <c r="A19" s="3010"/>
      <c r="B19" s="3007"/>
      <c r="C19" s="2003" t="s">
        <v>1674</v>
      </c>
    </row>
    <row r="20" spans="1:3" ht="13.5">
      <c r="A20" s="3011"/>
      <c r="B20" s="3006" t="s">
        <v>1675</v>
      </c>
      <c r="C20" s="3005"/>
    </row>
    <row r="21" spans="1:3" ht="13.5">
      <c r="A21" s="2004" t="s">
        <v>1676</v>
      </c>
      <c r="B21" s="2005"/>
      <c r="C21" s="2006"/>
    </row>
    <row r="22" spans="1:3" ht="13.5">
      <c r="A22" s="3008" t="s">
        <v>1677</v>
      </c>
      <c r="B22" s="3006" t="s">
        <v>1678</v>
      </c>
      <c r="C22" s="3005"/>
    </row>
    <row r="23" spans="1:3" ht="13.5">
      <c r="A23" s="3008"/>
      <c r="B23" s="3006" t="s">
        <v>1679</v>
      </c>
      <c r="C23" s="3005"/>
    </row>
    <row r="24" spans="1:3" ht="13.5">
      <c r="A24" s="3008"/>
      <c r="B24" s="3006" t="s">
        <v>1680</v>
      </c>
      <c r="C24" s="3005"/>
    </row>
    <row r="25" spans="1:3" ht="13.5">
      <c r="A25" s="3008"/>
      <c r="B25" s="3007" t="s">
        <v>1681</v>
      </c>
      <c r="C25" s="2003" t="s">
        <v>1682</v>
      </c>
    </row>
    <row r="26" spans="1:3" ht="13.5">
      <c r="A26" s="3008"/>
      <c r="B26" s="3007"/>
      <c r="C26" s="2003" t="s">
        <v>1683</v>
      </c>
    </row>
    <row r="27" spans="1:3" ht="13.5">
      <c r="A27" s="3008"/>
      <c r="B27" s="3007"/>
      <c r="C27" s="2003" t="s">
        <v>1684</v>
      </c>
    </row>
    <row r="28" spans="1:3" ht="13.5">
      <c r="A28" s="3008"/>
      <c r="B28" s="3007"/>
      <c r="C28" s="2003" t="s">
        <v>1685</v>
      </c>
    </row>
    <row r="29" spans="1:3" ht="13.5">
      <c r="A29" s="3008"/>
      <c r="B29" s="3007"/>
      <c r="C29" s="2003" t="s">
        <v>1686</v>
      </c>
    </row>
    <row r="30" spans="1:3" ht="13.5">
      <c r="A30" s="3008"/>
      <c r="B30" s="3007"/>
      <c r="C30" s="2003" t="s">
        <v>1687</v>
      </c>
    </row>
    <row r="31" spans="1:3" ht="13.5">
      <c r="A31" s="3008"/>
      <c r="B31" s="3007"/>
      <c r="C31" s="2003" t="s">
        <v>1688</v>
      </c>
    </row>
    <row r="32" spans="1:3" ht="13.5">
      <c r="A32" s="3008"/>
      <c r="B32" s="3007"/>
      <c r="C32" s="2003" t="s">
        <v>1689</v>
      </c>
    </row>
    <row r="33" spans="1:3" ht="13.5">
      <c r="A33" s="3008"/>
      <c r="B33" s="3007"/>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43110</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12" t="s">
        <v>846</v>
      </c>
      <c r="B25" s="3012"/>
      <c r="C25" s="3012"/>
      <c r="D25" s="3012"/>
      <c r="E25" s="3012"/>
      <c r="F25" s="3012"/>
      <c r="G25" s="3012"/>
    </row>
    <row r="26" spans="1:7" s="1027" customFormat="1" ht="24" customHeight="1">
      <c r="A26" s="3013" t="s">
        <v>847</v>
      </c>
      <c r="B26" s="3013"/>
      <c r="C26" s="3014"/>
      <c r="D26" s="3015" t="s">
        <v>848</v>
      </c>
      <c r="E26" s="3013"/>
      <c r="F26" s="3013"/>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成本法</vt:lpstr>
      <vt:lpstr>成本法 (元)</vt:lpstr>
      <vt:lpstr>土地比较法-住宅、综合</vt:lpstr>
      <vt:lpstr>房山土地案例</vt:lpstr>
      <vt:lpstr>基准地价修正</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大兴土地案例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2018-01-10T05:40:43Z</dcterms:modified>
</cp:coreProperties>
</file>