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11"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结果表" sheetId="9" r:id="rId16"/>
    <sheet name="成本法" sheetId="11" r:id="rId17"/>
    <sheet name="假设开发法" sheetId="12" state="hidden" r:id="rId18"/>
    <sheet name="收益法" sheetId="15" state="hidden" r:id="rId19"/>
    <sheet name="收益法-酒店模型" sheetId="63" state="hidden" r:id="rId20"/>
    <sheet name="基准地价修正" sheetId="43"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位置图及面积明细" sheetId="64" r:id="rId39"/>
    <sheet name="选用案例" sheetId="66" r:id="rId40"/>
  </sheets>
  <externalReferences>
    <externalReference r:id="rId41"/>
  </externalReferences>
  <definedNames>
    <definedName name="_xlnm._FilterDatabase" localSheetId="23"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3" i="1" l="1"/>
  <c r="G37" i="65"/>
  <c r="E5" i="1" l="1"/>
  <c r="C12" i="4" s="1"/>
  <c r="C28" i="65"/>
  <c r="I37" i="65"/>
  <c r="E37" i="65"/>
  <c r="C34" i="65"/>
  <c r="H34" i="65" s="1"/>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E120" i="65"/>
  <c r="F120" i="65" s="1"/>
  <c r="G120" i="65" s="1"/>
  <c r="H120" i="65" s="1"/>
  <c r="I120" i="65" s="1"/>
  <c r="J120" i="65" s="1"/>
  <c r="K120" i="65" s="1"/>
  <c r="L120" i="65" s="1"/>
  <c r="M120" i="65" s="1"/>
  <c r="D120" i="65"/>
  <c r="E118" i="65"/>
  <c r="F118" i="65" s="1"/>
  <c r="G118" i="65" s="1"/>
  <c r="D118" i="65"/>
  <c r="E116" i="65"/>
  <c r="F116" i="65" s="1"/>
  <c r="G116" i="65" s="1"/>
  <c r="H116" i="65" s="1"/>
  <c r="I116" i="65" s="1"/>
  <c r="J116" i="65" s="1"/>
  <c r="K116" i="65" s="1"/>
  <c r="L116" i="65" s="1"/>
  <c r="M116" i="65" s="1"/>
  <c r="D116" i="65"/>
  <c r="E114" i="65"/>
  <c r="F114" i="65" s="1"/>
  <c r="G114" i="65" s="1"/>
  <c r="H114" i="65" s="1"/>
  <c r="I114" i="65" s="1"/>
  <c r="J114" i="65" s="1"/>
  <c r="K114" i="65" s="1"/>
  <c r="L114" i="65" s="1"/>
  <c r="M114" i="65" s="1"/>
  <c r="D114" i="65"/>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AC47" i="65"/>
  <c r="Q47" i="65"/>
  <c r="Z47" i="65" s="1"/>
  <c r="J47" i="65"/>
  <c r="W47" i="65" s="1"/>
  <c r="H47" i="65"/>
  <c r="AB47" i="65" s="1"/>
  <c r="F47" i="65"/>
  <c r="AA47" i="65" s="1"/>
  <c r="Q46" i="65"/>
  <c r="Z46" i="65" s="1"/>
  <c r="H46" i="65"/>
  <c r="U46" i="65" s="1"/>
  <c r="Q45" i="65"/>
  <c r="Z45" i="65" s="1"/>
  <c r="J45" i="65"/>
  <c r="W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O34" i="64"/>
  <c r="O21" i="64"/>
  <c r="O10" i="64"/>
  <c r="E2" i="65"/>
  <c r="U8" i="65" l="1"/>
  <c r="AB46"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U17"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S41" i="65"/>
  <c r="W41" i="65"/>
  <c r="U42" i="65"/>
  <c r="S43" i="65"/>
  <c r="W43" i="65"/>
  <c r="U44" i="65"/>
  <c r="S45" i="65"/>
  <c r="S46" i="65"/>
  <c r="W46" i="65"/>
  <c r="U47" i="65"/>
  <c r="E20" i="1"/>
  <c r="C37" i="65" l="1"/>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J37" i="65" l="1"/>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Y17" i="59" s="1"/>
  <c r="Z17" i="59" s="1"/>
  <c r="N17" i="59"/>
  <c r="N18" i="59"/>
  <c r="N19" i="59"/>
  <c r="O19" i="59"/>
  <c r="P19" i="59"/>
  <c r="Q19" i="59"/>
  <c r="AD18" i="59"/>
  <c r="AE18" i="59"/>
  <c r="AF18" i="59"/>
  <c r="AG18" i="59"/>
  <c r="AH18" i="59"/>
  <c r="M48" i="15"/>
  <c r="B2" i="1"/>
  <c r="B24" i="1"/>
  <c r="J50" i="15"/>
  <c r="J51" i="15"/>
  <c r="B26" i="1"/>
  <c r="AH19" i="59"/>
  <c r="AG19" i="59"/>
  <c r="AE19" i="59"/>
  <c r="AF19" i="59" s="1"/>
  <c r="AD19" i="59"/>
  <c r="AH20" i="59"/>
  <c r="AG20" i="59"/>
  <c r="AE20" i="59"/>
  <c r="AF20" i="59"/>
  <c r="AD20" i="59"/>
  <c r="Q20" i="59"/>
  <c r="F20" i="59" s="1"/>
  <c r="P20" i="59"/>
  <c r="AA20" i="59" s="1"/>
  <c r="O20" i="59"/>
  <c r="N20" i="59"/>
  <c r="Q21" i="59"/>
  <c r="P21" i="59"/>
  <c r="AA21" i="59" s="1"/>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Z25" i="59"/>
  <c r="Y26" i="59"/>
  <c r="Z26" i="59" s="1"/>
  <c r="AA28" i="59"/>
  <c r="Z29" i="59"/>
  <c r="Y30" i="59"/>
  <c r="Z30" i="59" s="1"/>
  <c r="AB31" i="59"/>
  <c r="Z3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B64" i="59"/>
  <c r="B63" i="59"/>
  <c r="N63" i="59" s="1"/>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AB33" i="59" s="1"/>
  <c r="P33" i="59"/>
  <c r="O33" i="59"/>
  <c r="Y33" i="59" s="1"/>
  <c r="C34" i="59"/>
  <c r="D34" i="59" s="1"/>
  <c r="N33" i="59"/>
  <c r="X33" i="59" s="1"/>
  <c r="B34" i="59"/>
  <c r="B35" i="59" s="1"/>
  <c r="B36" i="59"/>
  <c r="S36" i="59" s="1"/>
  <c r="D33" i="59"/>
  <c r="Q32" i="59"/>
  <c r="P32" i="59"/>
  <c r="AA32" i="59" s="1"/>
  <c r="O32" i="59"/>
  <c r="Y32" i="59" s="1"/>
  <c r="Z32" i="59" s="1"/>
  <c r="N32" i="59"/>
  <c r="Q31" i="59"/>
  <c r="P31" i="59"/>
  <c r="AA31" i="59" s="1"/>
  <c r="O31" i="59"/>
  <c r="Y31" i="59" s="1"/>
  <c r="Z31" i="59" s="1"/>
  <c r="N31" i="59"/>
  <c r="X31" i="59" s="1"/>
  <c r="Q30" i="59"/>
  <c r="P30" i="59"/>
  <c r="AA30" i="59" s="1"/>
  <c r="O30" i="59"/>
  <c r="N30" i="59"/>
  <c r="Q29" i="59"/>
  <c r="AB29" i="59" s="1"/>
  <c r="P29" i="59"/>
  <c r="O29" i="59"/>
  <c r="Y29" i="59" s="1"/>
  <c r="C30" i="59"/>
  <c r="D30" i="59" s="1"/>
  <c r="N29" i="59"/>
  <c r="X29" i="59" s="1"/>
  <c r="B30" i="59"/>
  <c r="B31" i="59" s="1"/>
  <c r="B32" i="59"/>
  <c r="S32" i="59" s="1"/>
  <c r="D29" i="59"/>
  <c r="Q28" i="59"/>
  <c r="P28" i="59"/>
  <c r="O28" i="59"/>
  <c r="Y28" i="59" s="1"/>
  <c r="Z28" i="59" s="1"/>
  <c r="N28" i="59"/>
  <c r="Q27" i="59"/>
  <c r="P27" i="59"/>
  <c r="AA27" i="59" s="1"/>
  <c r="O27" i="59"/>
  <c r="Y27" i="59" s="1"/>
  <c r="Z27" i="59" s="1"/>
  <c r="N27" i="59"/>
  <c r="Q26" i="59"/>
  <c r="P26" i="59"/>
  <c r="AA26" i="59" s="1"/>
  <c r="O26" i="59"/>
  <c r="N26" i="59"/>
  <c r="Q25" i="59"/>
  <c r="AB25" i="59" s="1"/>
  <c r="P25" i="59"/>
  <c r="O25" i="59"/>
  <c r="Y25" i="59" s="1"/>
  <c r="C26" i="59"/>
  <c r="D26" i="59" s="1"/>
  <c r="N25" i="59"/>
  <c r="X25" i="59" s="1"/>
  <c r="B26" i="59"/>
  <c r="B27" i="59" s="1"/>
  <c r="B28" i="59"/>
  <c r="S28" i="59" s="1"/>
  <c r="D25" i="59"/>
  <c r="O24" i="59"/>
  <c r="N24" i="59"/>
  <c r="C24" i="59"/>
  <c r="T24" i="59"/>
  <c r="Y21" i="59"/>
  <c r="Z21" i="59"/>
  <c r="Y22" i="59"/>
  <c r="Z22" i="59"/>
  <c r="Y24" i="59"/>
  <c r="Z24" i="59"/>
  <c r="Y23" i="59"/>
  <c r="Z23" i="59"/>
  <c r="X24" i="59"/>
  <c r="C27" i="59"/>
  <c r="C28" i="59" s="1"/>
  <c r="D28" i="59" s="1"/>
  <c r="C31" i="59"/>
  <c r="C32" i="59" s="1"/>
  <c r="C35" i="59"/>
  <c r="C36" i="59" s="1"/>
  <c r="D36" i="59" s="1"/>
  <c r="M19" i="43" s="1"/>
  <c r="C43" i="59"/>
  <c r="D43" i="59" s="1"/>
  <c r="D46" i="59"/>
  <c r="P24" i="59"/>
  <c r="E51" i="59"/>
  <c r="E52" i="59" s="1"/>
  <c r="U52" i="59" s="1"/>
  <c r="E59" i="59"/>
  <c r="E60" i="59" s="1"/>
  <c r="U60" i="59"/>
  <c r="E67" i="59"/>
  <c r="E66" i="59" s="1"/>
  <c r="Q24" i="59"/>
  <c r="D54" i="59"/>
  <c r="B62" i="59"/>
  <c r="N61" i="59" s="1"/>
  <c r="T64" i="59"/>
  <c r="O64" i="59"/>
  <c r="D64" i="59"/>
  <c r="C63" i="59"/>
  <c r="T68" i="59"/>
  <c r="D68" i="59"/>
  <c r="C67" i="59"/>
  <c r="C71" i="59"/>
  <c r="C70" i="59" s="1"/>
  <c r="E71" i="59"/>
  <c r="E70" i="59"/>
  <c r="D72" i="59"/>
  <c r="C79" i="59"/>
  <c r="D79" i="59" s="1"/>
  <c r="C83" i="59"/>
  <c r="AB22" i="59"/>
  <c r="AB24" i="59"/>
  <c r="E24" i="59"/>
  <c r="AA22" i="59"/>
  <c r="AA24" i="59"/>
  <c r="C23" i="59"/>
  <c r="D24" i="59"/>
  <c r="C78" i="59"/>
  <c r="D78" i="59" s="1"/>
  <c r="D71" i="59"/>
  <c r="D70" i="59"/>
  <c r="C48" i="59"/>
  <c r="D48" i="59" s="1"/>
  <c r="D83" i="59"/>
  <c r="C82" i="59"/>
  <c r="D82" i="59"/>
  <c r="C62" i="59"/>
  <c r="O63" i="59"/>
  <c r="D63" i="59"/>
  <c r="N62" i="59"/>
  <c r="D31" i="59"/>
  <c r="D23" i="59"/>
  <c r="C22" i="59"/>
  <c r="D22" i="59" s="1"/>
  <c r="E23" i="59"/>
  <c r="E22" i="59" s="1"/>
  <c r="U24" i="59"/>
  <c r="O62" i="59"/>
  <c r="D62" i="59"/>
  <c r="O61" i="59"/>
  <c r="T48" i="59"/>
  <c r="T28" i="59"/>
  <c r="T32" i="59"/>
  <c r="D32" i="59"/>
  <c r="T36" i="59"/>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W18" i="35"/>
  <c r="S18" i="35"/>
  <c r="S21" i="37"/>
  <c r="S21" i="34"/>
  <c r="U21" i="33"/>
  <c r="S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2" i="31"/>
  <c r="S118" i="31"/>
  <c r="S468" i="31"/>
  <c r="S464" i="31"/>
  <c r="S460" i="31"/>
  <c r="S456" i="31"/>
  <c r="S51" i="31"/>
  <c r="S43" i="31"/>
  <c r="S35"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AC12" i="34" s="1"/>
  <c r="H12" i="34"/>
  <c r="U12" i="34" s="1"/>
  <c r="F12" i="34"/>
  <c r="Q11" i="34"/>
  <c r="Z11" i="34"/>
  <c r="Q10" i="34"/>
  <c r="Z10" i="34"/>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W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S44" i="39"/>
  <c r="F37" i="39"/>
  <c r="S37" i="39"/>
  <c r="J34" i="36"/>
  <c r="W34" i="36" s="1"/>
  <c r="U30" i="36"/>
  <c r="F22" i="35"/>
  <c r="AA22" i="35"/>
  <c r="H10" i="35"/>
  <c r="U10" i="35"/>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J33" i="34"/>
  <c r="W33" i="34" s="1"/>
  <c r="J37" i="34"/>
  <c r="W37" i="34" s="1"/>
  <c r="S2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9" i="31"/>
  <c r="S411" i="31"/>
  <c r="S403" i="31"/>
  <c r="S395" i="31"/>
  <c r="S387" i="31"/>
  <c r="S379" i="31"/>
  <c r="S371" i="31"/>
  <c r="S363" i="31"/>
  <c r="S355" i="31"/>
  <c r="S347" i="31"/>
  <c r="S339" i="31"/>
  <c r="S331" i="31"/>
  <c r="T323" i="31"/>
  <c r="T319" i="31"/>
  <c r="T315" i="31"/>
  <c r="T311" i="31"/>
  <c r="T307" i="31"/>
  <c r="T303" i="31"/>
  <c r="T299" i="31"/>
  <c r="T295" i="31"/>
  <c r="T291" i="31"/>
  <c r="T287" i="31"/>
  <c r="T283" i="31"/>
  <c r="T279"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J9" i="34"/>
  <c r="AC9" i="34" s="1"/>
  <c r="F9" i="34"/>
  <c r="S9" i="34" s="1"/>
  <c r="AA19" i="34"/>
  <c r="S19" i="34"/>
  <c r="AB23" i="36"/>
  <c r="U23"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AB32"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AB34" i="21"/>
  <c r="H11" i="34"/>
  <c r="U11" i="34" s="1"/>
  <c r="S17" i="37"/>
  <c r="J11" i="37"/>
  <c r="AC11" i="37" s="1"/>
  <c r="AC36" i="34"/>
  <c r="W12" i="39"/>
  <c r="AC12" i="39"/>
  <c r="S45" i="21"/>
  <c r="AB13" i="21"/>
  <c r="AC37" i="37"/>
  <c r="U38" i="40"/>
  <c r="F23" i="39"/>
  <c r="AA23" i="39"/>
  <c r="F97" i="39"/>
  <c r="G97" i="39"/>
  <c r="S26" i="37"/>
  <c r="S24" i="36"/>
  <c r="F44" i="34"/>
  <c r="F126" i="34"/>
  <c r="G126" i="34" s="1"/>
  <c r="J44" i="34"/>
  <c r="AC44" i="34" s="1"/>
  <c r="S40" i="21"/>
  <c r="U31" i="37"/>
  <c r="W27" i="37"/>
  <c r="AB27" i="37"/>
  <c r="H60" i="37"/>
  <c r="I60" i="37" s="1"/>
  <c r="H10" i="37"/>
  <c r="U10" i="37"/>
  <c r="S24" i="35"/>
  <c r="AA27" i="33"/>
  <c r="AB43" i="33"/>
  <c r="S31" i="21"/>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c r="W17" i="34"/>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S40" i="34"/>
  <c r="AB41" i="34"/>
  <c r="S38" i="34"/>
  <c r="S36" i="34"/>
  <c r="U43" i="34"/>
  <c r="S43" i="34"/>
  <c r="AB19" i="34"/>
  <c r="S17" i="34"/>
  <c r="AB17" i="34"/>
  <c r="W15" i="34"/>
  <c r="U23" i="34"/>
  <c r="U36" i="34"/>
  <c r="U21" i="34"/>
  <c r="AB21" i="34"/>
  <c r="AA25" i="34"/>
  <c r="AA41" i="34"/>
  <c r="AA46" i="34"/>
  <c r="W42" i="33"/>
  <c r="U25" i="33"/>
  <c r="W11" i="33"/>
  <c r="U17" i="33"/>
  <c r="W25"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M12" i="43"/>
  <c r="M8" i="43"/>
  <c r="N7" i="43"/>
  <c r="G15" i="47" s="1"/>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37" i="34"/>
  <c r="W41" i="34"/>
  <c r="AA45" i="34"/>
  <c r="AB45" i="34"/>
  <c r="AB35" i="34"/>
  <c r="W29" i="34"/>
  <c r="W43" i="34"/>
  <c r="U34" i="34"/>
  <c r="S34" i="34"/>
  <c r="W44" i="34"/>
  <c r="AB44" i="34"/>
  <c r="AC33" i="34"/>
  <c r="AA33" i="34"/>
  <c r="S35" i="34"/>
  <c r="AB47" i="34"/>
  <c r="AC45" i="34"/>
  <c r="AA29" i="34"/>
  <c r="AA31" i="34"/>
  <c r="U37" i="33"/>
  <c r="U19"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U30" i="35"/>
  <c r="I116" i="57"/>
  <c r="D133" i="57" s="1"/>
  <c r="I14" i="62" s="1"/>
  <c r="B8" i="62" s="1"/>
  <c r="D120" i="57"/>
  <c r="I114" i="9"/>
  <c r="D129" i="9" s="1"/>
  <c r="I112" i="9"/>
  <c r="D116" i="9"/>
  <c r="D114" i="9"/>
  <c r="D115" i="9"/>
  <c r="I113" i="9" s="1"/>
  <c r="D4" i="61"/>
  <c r="E2" i="11"/>
  <c r="F7" i="61"/>
  <c r="E2" i="34"/>
  <c r="D7" i="61"/>
  <c r="E2" i="35"/>
  <c r="E2" i="37"/>
  <c r="E2" i="21"/>
  <c r="F4" i="61"/>
  <c r="H23" i="31"/>
  <c r="E2" i="36"/>
  <c r="F5" i="61"/>
  <c r="F3" i="61"/>
  <c r="D3" i="61"/>
  <c r="F6" i="61"/>
  <c r="E2" i="33"/>
  <c r="D5" i="61"/>
  <c r="B15" i="59" l="1"/>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X25" i="31"/>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C7" i="43" s="1"/>
  <c r="E11" i="43"/>
  <c r="F59" i="43"/>
  <c r="H62" i="43" s="1"/>
  <c r="H84" i="43"/>
  <c r="H81" i="43"/>
  <c r="H103" i="57"/>
  <c r="B125" i="57"/>
  <c r="G125" i="57" s="1"/>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E59" i="43" l="1"/>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J7" i="36" l="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A7" i="65" l="1"/>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W7" i="65" l="1"/>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R50" i="65" l="1"/>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50" i="65" l="1"/>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20" i="9"/>
  <c r="C19" i="9"/>
  <c r="B2" i="65" l="1"/>
  <c r="C13" i="59"/>
  <c r="D14" i="59"/>
  <c r="C101" i="9"/>
  <c r="C102" i="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3" i="59" l="1"/>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C10" i="59" l="1"/>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9" i="59" l="1"/>
  <c r="C8" i="59"/>
  <c r="R50" i="34"/>
  <c r="C49" i="34" s="1"/>
  <c r="E49" i="34"/>
  <c r="E53" i="34" s="1"/>
  <c r="F53" i="34" s="1"/>
  <c r="D102" i="9"/>
  <c r="G20" i="9"/>
  <c r="R27" i="31" s="1"/>
  <c r="D101" i="9"/>
  <c r="D22" i="9"/>
  <c r="G19"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7" i="59" l="1"/>
  <c r="T8" i="59"/>
  <c r="D8" i="59"/>
  <c r="C33" i="57"/>
  <c r="T27" i="31"/>
  <c r="S27" i="31"/>
  <c r="R29" i="31"/>
  <c r="R34" i="31"/>
  <c r="R33" i="31"/>
  <c r="R31" i="31"/>
  <c r="R28" i="31"/>
  <c r="R32" i="31"/>
  <c r="R30" i="31"/>
  <c r="I54" i="34"/>
  <c r="J54" i="34" s="1"/>
  <c r="E54" i="34"/>
  <c r="F54" i="34" s="1"/>
  <c r="C32" i="9"/>
  <c r="C35" i="9" s="1"/>
  <c r="C34" i="9" s="1"/>
  <c r="AC7" i="40"/>
  <c r="V42" i="40" s="1"/>
  <c r="I42" i="40" s="1"/>
  <c r="I46" i="40" s="1"/>
  <c r="J46" i="40" s="1"/>
  <c r="W7" i="40"/>
  <c r="S7" i="40"/>
  <c r="AA7" i="40"/>
  <c r="R42" i="40" s="1"/>
  <c r="R43" i="40" s="1"/>
  <c r="AB7" i="40"/>
  <c r="T42" i="40" s="1"/>
  <c r="G42" i="40" s="1"/>
  <c r="G46" i="40" s="1"/>
  <c r="H46" i="40" s="1"/>
  <c r="U7" i="40"/>
  <c r="C6" i="59" l="1"/>
  <c r="D7" i="59"/>
  <c r="S30" i="31"/>
  <c r="T30" i="31"/>
  <c r="S28" i="31"/>
  <c r="T28" i="31"/>
  <c r="T33" i="31"/>
  <c r="S33" i="31"/>
  <c r="T29" i="31"/>
  <c r="S29" i="31"/>
  <c r="S32" i="31"/>
  <c r="T32" i="31"/>
  <c r="T31" i="31"/>
  <c r="S31" i="31"/>
  <c r="S34" i="31"/>
  <c r="T34" i="31"/>
  <c r="G47" i="40"/>
  <c r="H47" i="40" s="1"/>
  <c r="E42" i="40"/>
  <c r="C5" i="59" l="1"/>
  <c r="D5" i="59" s="1"/>
  <c r="D6" i="59"/>
  <c r="M20" i="43" s="1"/>
  <c r="S25" i="3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9" i="57"/>
  <c r="C19" i="57"/>
  <c r="B24" i="31" l="1"/>
  <c r="B3" i="31" s="1"/>
  <c r="D103" i="57"/>
  <c r="D22" i="57"/>
  <c r="G19" i="57"/>
  <c r="C103" i="57"/>
  <c r="C34" i="57"/>
  <c r="H125" i="57" s="1"/>
  <c r="C107" i="57" s="1"/>
  <c r="F121" i="9"/>
  <c r="D121" i="9"/>
  <c r="H121" i="9"/>
  <c r="D20" i="57"/>
  <c r="C20" i="57"/>
  <c r="D14" i="62" l="1"/>
  <c r="E14" i="62" s="1"/>
  <c r="C104" i="57"/>
  <c r="G20" i="57"/>
  <c r="D104" i="57"/>
  <c r="C35" i="57"/>
  <c r="I125" i="57" s="1"/>
  <c r="I104" i="57"/>
  <c r="N50" i="57" s="1"/>
  <c r="I105" i="57"/>
  <c r="D110" i="57"/>
  <c r="D121" i="57" s="1"/>
  <c r="I117" i="57" s="1"/>
  <c r="H126" i="57"/>
  <c r="C106" i="57"/>
  <c r="C105" i="57"/>
  <c r="I112" i="57"/>
  <c r="F14" i="62"/>
  <c r="E121" i="9"/>
  <c r="E4" i="52" s="1"/>
  <c r="B38" i="60" s="1"/>
  <c r="D4" i="52"/>
  <c r="B37" i="60" s="1"/>
  <c r="C103" i="9"/>
  <c r="H4" i="52"/>
  <c r="F122" i="9"/>
  <c r="F5" i="52" s="1"/>
  <c r="B42" i="60" s="1"/>
  <c r="F4" i="52"/>
  <c r="B40" i="60" s="1"/>
  <c r="I102" i="9"/>
  <c r="I121" i="9"/>
  <c r="D106" i="9"/>
  <c r="D112" i="9" s="1"/>
  <c r="D117" i="9" s="1"/>
  <c r="G121" i="9"/>
  <c r="G4" i="52" s="1"/>
  <c r="B41" i="60" s="1"/>
  <c r="I110" i="9"/>
  <c r="D122" i="9"/>
  <c r="D5" i="52" s="1"/>
  <c r="B39" i="60" s="1"/>
  <c r="H122" i="9"/>
  <c r="C104" i="9"/>
  <c r="B5" i="62" l="1"/>
  <c r="D5" i="62" s="1"/>
  <c r="C108" i="57"/>
  <c r="D111" i="57"/>
  <c r="D116" i="57"/>
  <c r="D47" i="57"/>
  <c r="C80" i="57" s="1"/>
  <c r="C75" i="57" s="1"/>
  <c r="H5" i="52"/>
  <c r="C5" i="62"/>
  <c r="N51" i="57"/>
  <c r="D129" i="57"/>
  <c r="G14" i="62" s="1"/>
  <c r="B6" i="62" s="1"/>
  <c r="D36" i="50"/>
  <c r="D37" i="50" s="1"/>
  <c r="D15" i="50"/>
  <c r="I103" i="9"/>
  <c r="I4" i="52"/>
  <c r="I115" i="9"/>
  <c r="D23" i="50" s="1"/>
  <c r="B34" i="60" s="1"/>
  <c r="D44" i="50"/>
  <c r="N48" i="9"/>
  <c r="D28" i="50"/>
  <c r="D29" i="50" s="1"/>
  <c r="D7" i="50"/>
  <c r="D45" i="9"/>
  <c r="C78" i="9" s="1"/>
  <c r="C73" i="9" s="1"/>
  <c r="D107" i="9"/>
  <c r="D113" i="9" s="1"/>
  <c r="N49" i="9"/>
  <c r="D125" i="9"/>
  <c r="D55" i="57" l="1"/>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D8" i="52"/>
  <c r="M69" i="57"/>
  <c r="N69" i="57" s="1"/>
  <c r="M67" i="57"/>
  <c r="N67" i="57" s="1"/>
  <c r="M66" i="57"/>
  <c r="N66" i="57" s="1"/>
  <c r="M70" i="57"/>
  <c r="N70" i="57" s="1"/>
  <c r="M68" i="57"/>
  <c r="N68" i="57" s="1"/>
  <c r="M65" i="57"/>
  <c r="N65" i="57" s="1"/>
  <c r="C82" i="57"/>
  <c r="E82" i="57" s="1"/>
  <c r="E83" i="57" s="1"/>
  <c r="D6" i="62"/>
  <c r="C6" i="62"/>
  <c r="I111" i="9"/>
  <c r="B29" i="60"/>
  <c r="D16" i="50"/>
  <c r="B30" i="60" s="1"/>
  <c r="B19" i="60"/>
  <c r="D8" i="50"/>
  <c r="B22" i="60" s="1"/>
  <c r="D30" i="50"/>
  <c r="D9" i="50"/>
  <c r="B21" i="60" s="1"/>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D38" i="50" l="1"/>
  <c r="B62" i="60" s="1"/>
  <c r="C99" i="57"/>
  <c r="D60" i="57" s="1"/>
  <c r="D58" i="57" s="1"/>
  <c r="N56" i="57" s="1"/>
  <c r="O59" i="57" s="1"/>
  <c r="O61" i="57" s="1"/>
  <c r="C83" i="57"/>
  <c r="N71" i="57"/>
  <c r="O71" i="57" s="1"/>
  <c r="N69" i="9"/>
  <c r="O69" i="9" s="1"/>
  <c r="D126" i="9"/>
  <c r="D9" i="52" s="1"/>
  <c r="D17" i="50"/>
  <c r="C95" i="9"/>
  <c r="C80" i="9"/>
  <c r="E80" i="9" s="1"/>
  <c r="E81" i="9" s="1"/>
  <c r="O58" i="9"/>
  <c r="O59" i="9"/>
  <c r="O60" i="9" s="1"/>
  <c r="C96" i="9"/>
  <c r="E96" i="9" s="1"/>
  <c r="E97" i="9" s="1"/>
  <c r="O61" i="9"/>
  <c r="O60" i="57" l="1"/>
  <c r="Q59" i="57"/>
  <c r="O63" i="57"/>
  <c r="O62" i="57"/>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<sst xmlns="http://schemas.openxmlformats.org/spreadsheetml/2006/main" count="7327" uniqueCount="3076">
  <si>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</si>
  <si>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</si>
  <si>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</si>
  <si>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</si>
  <si>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</si>
  <si>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</si>
  <si>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</si>
  <si>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</si>
  <si>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</si>
  <si>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</si>
  <si>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</si>
  <si>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</si>
  <si>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</si>
  <si>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</si>
  <si>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</si>
  <si>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</si>
  <si>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</si>
  <si>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</si>
  <si>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</si>
  <si>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</si>
  <si>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</si>
  <si>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</si>
  <si>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</si>
  <si>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</si>
  <si>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</si>
  <si>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</si>
  <si>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</si>
  <si>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</si>
  <si>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</si>
  <si>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</si>
  <si>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</si>
  <si>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</si>
  <si>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</si>
  <si>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</si>
  <si>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</si>
  <si>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</si>
  <si>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</si>
  <si>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</si>
  <si>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</si>
  <si>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</si>
  <si>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</si>
  <si>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</si>
  <si>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</si>
  <si>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</si>
  <si>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</si>
  <si>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</si>
  <si>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</si>
  <si>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</si>
  <si>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</si>
  <si>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</si>
  <si>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</si>
  <si>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</si>
  <si>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</si>
  <si>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</si>
  <si>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</si>
  <si>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</si>
  <si>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</si>
  <si>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</si>
  <si>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</si>
  <si>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</si>
  <si>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</si>
  <si>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</si>
  <si>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</si>
  <si>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</si>
  <si>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</si>
  <si>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</si>
  <si>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</si>
  <si>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</si>
  <si>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</si>
  <si>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</si>
  <si>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</si>
  <si>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</si>
  <si>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</si>
  <si>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</si>
  <si>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</si>
  <si>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</si>
  <si>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</si>
  <si>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</si>
  <si>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</si>
  <si>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</si>
  <si>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</si>
  <si>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</si>
  <si>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</si>
  <si>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</si>
  <si>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</si>
  <si>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</si>
  <si>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</si>
  <si>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</si>
  <si>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</si>
  <si>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</si>
  <si>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</si>
  <si>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</si>
  <si>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</si>
  <si>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</si>
  <si>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</si>
  <si>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</si>
  <si>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</si>
  <si>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</si>
  <si>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</si>
  <si>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</si>
  <si>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</si>
  <si>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</si>
  <si>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</si>
  <si>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</si>
  <si>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</si>
  <si>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</si>
  <si>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</si>
  <si>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</si>
  <si>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</si>
  <si>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</si>
  <si>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</si>
  <si>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</si>
  <si>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</si>
  <si>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</si>
  <si>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</si>
  <si>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</si>
  <si>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</si>
  <si>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</si>
  <si>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</si>
  <si>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</si>
  <si>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</si>
  <si>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</si>
  <si>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</si>
  <si>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</si>
  <si>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</si>
  <si>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</si>
  <si>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</si>
  <si>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</si>
  <si>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</si>
  <si>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</si>
  <si>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</si>
  <si>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</si>
  <si>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</si>
  <si>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</si>
  <si>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</si>
  <si>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</si>
  <si>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</si>
  <si>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</si>
  <si>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</si>
  <si>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</si>
  <si>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</si>
  <si>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</si>
  <si>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</si>
  <si>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</si>
  <si>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</si>
  <si>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</si>
  <si>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</si>
  <si>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</si>
  <si>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</si>
  <si>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</si>
  <si>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</si>
  <si>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</si>
  <si>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</si>
  <si>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</si>
  <si>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</si>
  <si>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</si>
  <si>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</si>
  <si>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</si>
  <si>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</si>
  <si>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</si>
  <si>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</si>
  <si>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</si>
  <si>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</si>
  <si>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</si>
  <si>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</si>
  <si>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</si>
  <si>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</si>
  <si>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</si>
  <si>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</si>
  <si>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</si>
  <si>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</si>
  <si>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</si>
  <si>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</si>
  <si>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</si>
  <si>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</si>
  <si>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</si>
  <si>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</si>
  <si>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</si>
  <si>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</si>
  <si>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</si>
  <si>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</si>
  <si>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</si>
  <si>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</si>
  <si>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</si>
  <si>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</si>
  <si>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</si>
  <si>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</si>
  <si>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</si>
  <si>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</si>
  <si>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</si>
  <si>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</si>
  <si>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</si>
  <si>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</si>
  <si>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</si>
  <si>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</si>
  <si>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</si>
  <si>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</si>
  <si>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</si>
  <si>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</si>
  <si>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</si>
  <si>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</si>
  <si>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</si>
  <si>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</si>
  <si>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</si>
  <si>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</si>
  <si>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</si>
  <si>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</si>
  <si>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</si>
  <si>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</si>
  <si>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</si>
  <si>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</si>
  <si>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</si>
  <si>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</si>
  <si>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</si>
  <si>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</si>
  <si>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</si>
  <si>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</si>
  <si>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</si>
  <si>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</si>
  <si>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</si>
  <si>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</si>
  <si>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</si>
  <si>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</si>
  <si>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</si>
  <si>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</si>
  <si>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</si>
  <si>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</si>
  <si>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</si>
  <si>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</si>
  <si>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</si>
  <si>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</si>
  <si>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</si>
  <si>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</si>
  <si>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</si>
  <si>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</si>
  <si>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</si>
  <si>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</si>
  <si>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</si>
  <si>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</si>
  <si>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</si>
  <si>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</si>
  <si>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</si>
  <si>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</si>
  <si>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</si>
  <si>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</si>
  <si>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</si>
  <si>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</si>
  <si>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</si>
  <si>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</si>
  <si>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</si>
  <si>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</si>
  <si>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</si>
  <si>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</si>
  <si>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</si>
  <si>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</si>
  <si>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</si>
  <si>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</si>
  <si>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</si>
  <si>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</si>
  <si>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</si>
  <si>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</si>
  <si>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</si>
  <si>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</si>
  <si>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</si>
  <si>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</si>
  <si>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</si>
  <si>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</si>
  <si>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</si>
  <si>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</si>
  <si>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</si>
  <si>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</si>
  <si>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</si>
  <si>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</si>
  <si>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</si>
  <si>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</si>
  <si>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</si>
  <si>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</si>
  <si>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</si>
  <si>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</si>
  <si>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</si>
  <si>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</si>
  <si>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</si>
  <si>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</si>
  <si>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</si>
  <si>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</si>
  <si>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</si>
  <si>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</si>
  <si>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</si>
  <si>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</si>
  <si>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</si>
  <si>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</si>
  <si>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</si>
  <si>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</si>
  <si>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</si>
  <si>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</si>
  <si>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</si>
  <si>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</si>
  <si>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</si>
  <si>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</si>
  <si>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</si>
  <si>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</si>
  <si>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</si>
  <si>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</si>
  <si>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</si>
  <si>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</si>
  <si>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</si>
  <si>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</si>
  <si>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</si>
  <si>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</si>
  <si>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</si>
  <si>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</si>
  <si>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</si>
  <si>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</si>
  <si>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</si>
  <si>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</si>
  <si>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</si>
  <si>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</si>
  <si>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</si>
  <si>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</si>
  <si>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</si>
  <si>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</si>
  <si>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</si>
  <si>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</si>
  <si>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</si>
  <si>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</si>
  <si>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</si>
  <si>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</si>
  <si>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</si>
  <si>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</si>
  <si>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</si>
  <si>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</si>
  <si>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</si>
  <si>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</si>
  <si>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</si>
  <si>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</si>
  <si>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</si>
  <si>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</si>
  <si>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</si>
  <si>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</si>
  <si>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</si>
  <si>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</si>
  <si>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</si>
  <si>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</si>
  <si>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</si>
  <si>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</si>
  <si>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</si>
  <si>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</si>
  <si>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</si>
  <si>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</si>
  <si>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</si>
  <si>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</si>
  <si>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</si>
  <si>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</si>
  <si>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</si>
  <si>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</si>
  <si>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</si>
  <si>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</si>
  <si>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</si>
  <si>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</si>
  <si>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</si>
  <si>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</si>
  <si>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</si>
  <si>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</si>
  <si>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</si>
  <si>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</si>
  <si>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</si>
  <si>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</si>
  <si>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</si>
  <si>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</si>
  <si>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</si>
  <si>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</si>
  <si>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</si>
  <si>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</si>
  <si>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</si>
  <si>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</si>
  <si>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</si>
  <si>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</si>
  <si>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</si>
  <si>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</si>
  <si>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</si>
  <si>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</si>
  <si>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</si>
  <si>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</si>
  <si>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</si>
  <si>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</si>
  <si>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</si>
  <si>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</si>
  <si>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</si>
  <si>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</si>
  <si>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</si>
  <si>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</si>
  <si>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</si>
  <si>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</si>
  <si>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</si>
  <si>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</si>
  <si>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</si>
  <si>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</si>
  <si>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</si>
  <si>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</si>
  <si>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</si>
  <si>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</si>
  <si>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</si>
  <si>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</si>
  <si>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</si>
  <si>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</si>
  <si>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</si>
  <si>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</si>
  <si>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</si>
  <si>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</si>
  <si>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</si>
  <si>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</si>
  <si>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</si>
  <si>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</si>
  <si>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</si>
  <si>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</si>
  <si>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</si>
  <si>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</si>
  <si>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</si>
  <si>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</si>
  <si>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</si>
  <si>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</si>
  <si>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</si>
  <si>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</si>
  <si>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</si>
  <si>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</si>
  <si>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</si>
  <si>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</si>
  <si>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</si>
  <si>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</si>
  <si>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</si>
  <si>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</si>
  <si>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</si>
  <si>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</si>
  <si>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</si>
  <si>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</si>
  <si>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</si>
  <si>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</si>
  <si>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</si>
  <si>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</si>
  <si>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</si>
  <si>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</si>
  <si>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</si>
  <si>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</si>
  <si>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</si>
  <si>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</si>
  <si>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</si>
  <si>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</si>
  <si>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</si>
  <si>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</si>
  <si>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</si>
  <si>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</si>
  <si>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</si>
  <si>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</si>
  <si>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</si>
  <si>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</si>
  <si>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</si>
  <si>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</si>
  <si>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</si>
  <si>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</si>
  <si>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</si>
  <si>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</si>
  <si>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</si>
  <si>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</si>
  <si>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</si>
  <si>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</si>
  <si>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</si>
  <si>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</si>
  <si>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</si>
  <si>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</si>
  <si>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</si>
  <si>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</si>
  <si>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</si>
  <si>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</si>
  <si>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</si>
  <si>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</si>
  <si>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</si>
  <si>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</si>
  <si>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</si>
  <si>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</si>
  <si>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</si>
  <si>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</si>
  <si>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</si>
  <si>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</si>
  <si>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</si>
  <si>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</si>
  <si>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</si>
  <si>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</si>
  <si>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</si>
  <si>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</si>
  <si>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</si>
  <si>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</si>
  <si>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</si>
  <si>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</si>
  <si>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</si>
  <si>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</si>
  <si>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</si>
  <si>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</si>
  <si>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</si>
  <si>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</si>
  <si>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</si>
  <si>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</si>
  <si>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</si>
  <si>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</si>
  <si>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</si>
  <si>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</si>
  <si>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</si>
  <si>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</si>
  <si>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</si>
  <si>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</si>
  <si>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</si>
  <si>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</si>
  <si>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</si>
  <si>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</si>
  <si>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</si>
  <si>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</si>
  <si>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</si>
  <si>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</si>
  <si>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</si>
  <si>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</si>
  <si>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</si>
  <si>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</si>
  <si>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</si>
  <si>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</si>
  <si>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</si>
  <si>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</si>
  <si>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</si>
  <si>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</si>
  <si>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</si>
  <si>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</si>
  <si>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</si>
  <si>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</si>
  <si>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</si>
  <si>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</si>
  <si>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</si>
  <si>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</si>
  <si>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</si>
  <si>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</si>
  <si>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</si>
  <si>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</si>
  <si>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</si>
  <si>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</si>
  <si>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</si>
  <si>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</si>
  <si>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</si>
  <si>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</si>
  <si>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</si>
  <si>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</si>
  <si>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</si>
  <si>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</si>
  <si>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</si>
  <si>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</si>
  <si>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</si>
  <si>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</si>
  <si>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</si>
  <si>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</si>
  <si>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</si>
  <si>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</si>
  <si>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</si>
  <si>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</si>
  <si>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</si>
  <si>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</si>
  <si>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</si>
  <si>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</si>
  <si>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</si>
  <si>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</si>
  <si>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</si>
  <si>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</si>
  <si>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</si>
  <si>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</si>
  <si>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</si>
  <si>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</si>
  <si>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</si>
  <si>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</si>
  <si>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</si>
  <si>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</si>
  <si>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</si>
  <si>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</si>
  <si>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</si>
  <si>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</si>
  <si>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</si>
  <si>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</si>
  <si>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</si>
  <si>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</si>
  <si>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</si>
  <si>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</si>
  <si>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</si>
  <si>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</si>
  <si>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</si>
  <si>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</si>
  <si>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</si>
  <si>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</si>
  <si>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</si>
  <si>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</si>
  <si>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</si>
  <si>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</si>
  <si>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</si>
  <si>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</si>
  <si>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</si>
  <si>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</si>
  <si>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</si>
  <si>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</si>
  <si>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</si>
  <si>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</si>
  <si>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</si>
  <si>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</si>
  <si>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</si>
  <si>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</si>
  <si>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</si>
  <si>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</si>
  <si>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</si>
  <si>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</si>
  <si>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</si>
  <si>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</si>
  <si>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</si>
  <si>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</si>
  <si>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</si>
  <si>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</si>
  <si>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</si>
  <si>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</si>
  <si>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</si>
  <si>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</si>
  <si>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</si>
  <si>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</si>
  <si>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</si>
  <si>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</si>
  <si>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</si>
  <si>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</si>
  <si>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</si>
  <si>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</si>
  <si>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</si>
  <si>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</si>
  <si>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</si>
  <si>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</si>
  <si>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</si>
  <si>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</si>
  <si>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</si>
  <si>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</si>
  <si>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</si>
  <si>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</si>
  <si>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</si>
  <si>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</si>
  <si>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</si>
  <si>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</si>
  <si>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</si>
  <si>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</si>
  <si>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</si>
  <si>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</si>
  <si>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</si>
  <si>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</si>
  <si>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</si>
  <si>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</si>
  <si>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</si>
  <si>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</si>
  <si>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</si>
  <si>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</si>
  <si>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</si>
  <si>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</si>
  <si>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</si>
  <si>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</si>
  <si>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</si>
  <si>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</si>
  <si>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</si>
  <si>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</si>
  <si>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</si>
  <si>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</si>
  <si>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</si>
  <si>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</si>
  <si>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</si>
  <si>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</si>
  <si>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</si>
  <si>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</si>
  <si>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</si>
  <si>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</si>
  <si>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</si>
  <si>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</si>
  <si>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</si>
  <si>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</si>
  <si>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</si>
  <si>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</si>
  <si>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</si>
  <si>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</si>
  <si>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</si>
  <si>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</si>
  <si>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</si>
  <si>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</si>
  <si>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</si>
  <si>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</si>
  <si>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</si>
  <si>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</si>
  <si>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</si>
  <si>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</si>
  <si>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</si>
  <si>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</si>
  <si>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</si>
  <si>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</si>
  <si>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</si>
  <si>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</si>
  <si>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</si>
  <si>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</si>
  <si>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</si>
  <si>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</si>
  <si>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</si>
  <si>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</si>
  <si>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</si>
  <si>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</si>
  <si>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</si>
  <si>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</si>
  <si>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</si>
  <si>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</si>
  <si>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</si>
  <si>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</si>
  <si>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</si>
  <si>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</si>
  <si>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</si>
  <si>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</si>
  <si>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</si>
  <si>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</si>
  <si>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</si>
  <si>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</si>
  <si>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</si>
  <si>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</si>
  <si>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</si>
  <si>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</si>
  <si>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</si>
  <si>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</si>
  <si>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</si>
  <si>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</si>
  <si>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</si>
  <si>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</si>
  <si>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</si>
  <si>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</si>
  <si>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</si>
  <si>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</si>
  <si>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</si>
  <si>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</si>
  <si>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</si>
  <si>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</si>
  <si>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</si>
  <si>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</si>
  <si>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</si>
  <si>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</si>
  <si>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</si>
  <si>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</si>
  <si>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</si>
  <si>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</si>
  <si>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</si>
  <si>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</si>
  <si>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</si>
  <si>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</si>
  <si>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</si>
  <si>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</si>
  <si>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</si>
  <si>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</si>
  <si>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</si>
  <si>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</si>
  <si>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</si>
  <si>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</si>
  <si>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</si>
  <si>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</si>
  <si>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</si>
  <si>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</si>
  <si>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</si>
  <si>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</si>
  <si>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</si>
  <si>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</si>
  <si>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</si>
  <si>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</si>
  <si>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</si>
  <si>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</si>
  <si>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</si>
  <si>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</si>
  <si>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</si>
  <si>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</si>
  <si>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</si>
  <si>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</si>
  <si>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</si>
  <si>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</si>
  <si>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</si>
  <si>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</si>
  <si>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</si>
  <si>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</si>
  <si>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</si>
  <si>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</si>
  <si>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</si>
  <si>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</si>
  <si>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</si>
  <si>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</si>
  <si>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</si>
  <si>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</si>
  <si>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</si>
  <si>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</si>
  <si>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</si>
  <si>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</si>
  <si>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</si>
  <si>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</si>
  <si>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</si>
  <si>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</si>
  <si>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</si>
  <si>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</si>
  <si>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</si>
  <si>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</si>
  <si>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</si>
  <si>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</si>
  <si>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</si>
  <si>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</si>
  <si>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</si>
  <si>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</si>
  <si>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</si>
  <si>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</si>
  <si>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</si>
  <si>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</si>
  <si>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</si>
  <si>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</si>
  <si>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</si>
  <si>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</si>
  <si>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</si>
  <si>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</si>
  <si>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</si>
  <si>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</si>
  <si>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</si>
  <si>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</si>
  <si>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</si>
  <si>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</si>
  <si>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</si>
  <si>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</si>
  <si>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</si>
  <si>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</si>
  <si>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</si>
  <si>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</si>
  <si>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</si>
  <si>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</si>
  <si>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</si>
  <si>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</si>
  <si>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</si>
  <si>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</si>
  <si>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</si>
  <si>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</si>
  <si>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</si>
  <si>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</si>
  <si>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</si>
  <si>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</si>
  <si>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</si>
  <si>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</si>
  <si>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</si>
  <si>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</si>
  <si>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</si>
  <si>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</si>
  <si>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</si>
  <si>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</si>
  <si>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</si>
  <si>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</si>
  <si>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</si>
  <si>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</si>
  <si>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</si>
  <si>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</si>
  <si>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</si>
  <si>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</si>
  <si>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</si>
  <si>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</si>
  <si>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</si>
  <si>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</si>
  <si>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</si>
  <si>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</si>
  <si>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</si>
  <si>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</si>
  <si>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</si>
  <si>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</si>
  <si>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</si>
  <si>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</si>
  <si>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</si>
  <si>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</si>
  <si>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</si>
  <si>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</si>
  <si>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</si>
  <si>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</si>
  <si>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</si>
  <si>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</si>
  <si>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</si>
  <si>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</si>
  <si>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</si>
  <si>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</si>
  <si>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</si>
  <si>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</si>
  <si>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</si>
  <si>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</si>
  <si>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</si>
  <si>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</si>
  <si>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</si>
  <si>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</si>
  <si>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</si>
  <si>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</si>
  <si>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</si>
  <si>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</si>
  <si>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</si>
  <si>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</si>
  <si>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</si>
  <si>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</si>
  <si>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</si>
  <si>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</si>
  <si>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</si>
  <si>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</si>
  <si>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</si>
  <si>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</si>
  <si>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</si>
  <si>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</si>
  <si>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</si>
  <si>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</si>
  <si>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</si>
  <si>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</si>
  <si>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</si>
  <si>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</si>
  <si>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</si>
  <si>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</si>
  <si>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</si>
  <si>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</si>
  <si>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</si>
  <si>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</si>
  <si>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</si>
  <si>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</si>
  <si>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</si>
  <si>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</si>
  <si>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</si>
  <si>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</si>
  <si>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</si>
  <si>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</si>
  <si>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</si>
  <si>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</si>
  <si>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</si>
  <si>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</si>
  <si>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</si>
  <si>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</si>
  <si>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</si>
  <si>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</si>
  <si>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</si>
  <si>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</si>
  <si>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</si>
  <si>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</si>
  <si>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</si>
  <si>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</si>
  <si>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</si>
  <si>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</si>
  <si>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</si>
  <si>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</si>
  <si>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</si>
  <si>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</si>
  <si>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</si>
  <si>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</si>
  <si>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</si>
  <si>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</si>
  <si>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</si>
  <si>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</si>
  <si>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</si>
  <si>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</si>
  <si>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</si>
  <si>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</si>
  <si>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</si>
  <si>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</si>
  <si>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</si>
  <si>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</si>
  <si>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</si>
  <si>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</si>
  <si>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</si>
  <si>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</si>
  <si>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</si>
  <si>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</si>
  <si>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</si>
  <si>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</si>
  <si>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</si>
  <si>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</si>
  <si>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</si>
  <si>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</si>
  <si>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</si>
  <si>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</si>
  <si>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</si>
  <si>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</si>
  <si>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</si>
  <si>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</si>
  <si>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</si>
  <si>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</si>
  <si>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</si>
  <si>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</si>
  <si>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</si>
  <si>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</si>
  <si>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</si>
  <si>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</si>
  <si>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</si>
  <si>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</si>
  <si>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</si>
  <si>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</si>
  <si>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</si>
  <si>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</si>
  <si>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</si>
  <si>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</si>
  <si>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</si>
  <si>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</si>
  <si>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</si>
  <si>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</si>
  <si>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</si>
  <si>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</si>
  <si>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</si>
  <si>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</si>
  <si>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</si>
  <si>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</si>
  <si>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</si>
  <si>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</si>
  <si>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</si>
  <si>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</si>
  <si>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</si>
  <si>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</si>
  <si>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</si>
  <si>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</si>
  <si>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</si>
  <si>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</si>
  <si>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</si>
  <si>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</si>
  <si>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</si>
  <si>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</si>
  <si>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</si>
  <si>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</si>
  <si>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</si>
  <si>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</si>
  <si>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</si>
  <si>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</si>
  <si>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</si>
  <si>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</si>
  <si>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</si>
  <si>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</si>
  <si>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</si>
  <si>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</si>
  <si>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</si>
  <si>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</si>
  <si>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</si>
  <si>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</si>
  <si>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</si>
  <si>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</si>
  <si>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</si>
  <si>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</si>
  <si>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</si>
  <si>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</si>
  <si>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</si>
  <si>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</si>
  <si>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</si>
  <si>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</si>
  <si>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</si>
  <si>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</si>
  <si>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</si>
  <si>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</si>
  <si>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</si>
  <si>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</si>
  <si>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</si>
  <si>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</si>
  <si>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</si>
  <si>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</si>
  <si>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</si>
  <si>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</si>
  <si>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</si>
  <si>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</si>
  <si>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</si>
  <si>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</si>
  <si>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</si>
  <si>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</si>
  <si>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</si>
  <si>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</si>
  <si>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</si>
  <si>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</si>
  <si>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</si>
  <si>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</si>
  <si>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</si>
  <si>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</si>
  <si>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</si>
  <si>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</si>
  <si>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</si>
  <si>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</si>
  <si>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</si>
  <si>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</si>
  <si>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</si>
  <si>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</si>
  <si>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</si>
  <si>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</si>
  <si>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</si>
  <si>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</si>
  <si>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</si>
  <si>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</si>
  <si>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</si>
  <si>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</si>
  <si>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</si>
  <si>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</si>
  <si>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</si>
  <si>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</si>
  <si>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</si>
  <si>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</si>
  <si>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</si>
  <si>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</si>
  <si>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</si>
  <si>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</si>
  <si>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</si>
  <si>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</si>
  <si>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</si>
  <si>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</si>
  <si>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</si>
  <si>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</si>
  <si>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</si>
  <si>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</si>
  <si>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</si>
  <si>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</si>
  <si>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</si>
  <si>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</si>
  <si>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</si>
  <si>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</si>
  <si>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</si>
  <si>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</si>
  <si>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</si>
  <si>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</si>
  <si>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</si>
  <si>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</si>
  <si>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</si>
  <si>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</si>
  <si>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</si>
  <si>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</si>
  <si>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</si>
  <si>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</si>
  <si>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</si>
  <si>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</si>
  <si>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</si>
  <si>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</si>
  <si>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</si>
  <si>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</si>
  <si>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</si>
  <si>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</si>
  <si>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</si>
  <si>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</si>
  <si>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</si>
  <si>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</si>
  <si>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</si>
  <si>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</si>
  <si>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</si>
  <si>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</si>
  <si>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</si>
  <si>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</si>
  <si>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</si>
  <si>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</si>
  <si>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</si>
  <si>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</si>
  <si>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</si>
  <si>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</si>
  <si>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</si>
  <si>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</si>
  <si>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</si>
  <si>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</si>
  <si>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</si>
  <si>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</si>
  <si>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</si>
  <si>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</si>
  <si>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</si>
  <si>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</si>
  <si>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</si>
  <si>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</si>
  <si>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</si>
  <si>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</si>
  <si>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</si>
  <si>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</si>
  <si>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</si>
  <si>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</si>
  <si>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</si>
  <si>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</si>
  <si>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</si>
  <si>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</si>
  <si>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</si>
  <si>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</si>
  <si>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</si>
  <si>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</si>
  <si>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</si>
  <si>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</si>
  <si>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</si>
  <si>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</si>
  <si>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</si>
  <si>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</si>
  <si>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</si>
  <si>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</si>
  <si>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</si>
  <si>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</si>
  <si>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</si>
  <si>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</si>
  <si>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</si>
  <si>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</si>
  <si>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</si>
  <si>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</si>
  <si>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</si>
  <si>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</si>
  <si>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</si>
  <si>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</si>
  <si>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</si>
  <si>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</si>
  <si>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</si>
  <si>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</si>
  <si>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</si>
  <si>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</si>
  <si>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</si>
  <si>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</si>
  <si>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</si>
  <si>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</si>
  <si>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</si>
  <si>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</si>
  <si>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</si>
  <si>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</si>
  <si>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</si>
  <si>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</si>
  <si>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</si>
  <si>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</si>
  <si>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</si>
  <si>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</si>
  <si>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</si>
  <si>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</si>
  <si>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</si>
  <si>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</si>
  <si>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</si>
  <si>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</si>
  <si>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</si>
  <si>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</si>
  <si>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</si>
  <si>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</si>
  <si>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</si>
  <si>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</si>
  <si>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</si>
  <si>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</si>
  <si>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</si>
  <si>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</si>
  <si>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</si>
  <si>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</si>
  <si>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</si>
  <si>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</si>
  <si>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</si>
  <si>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</si>
  <si>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</si>
  <si>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</si>
  <si>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</si>
  <si>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</si>
  <si>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</si>
  <si>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</si>
  <si>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</si>
  <si>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</si>
  <si>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</si>
  <si>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</si>
  <si>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</si>
  <si>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</si>
  <si>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</si>
  <si>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</si>
  <si>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</si>
  <si>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</si>
  <si>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</si>
  <si>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</si>
  <si>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</si>
  <si>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</si>
  <si>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</si>
  <si>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</si>
  <si>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</si>
  <si>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</si>
  <si>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</si>
  <si>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</si>
  <si>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</si>
  <si>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</si>
  <si>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</si>
  <si>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</si>
  <si>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</si>
  <si>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</si>
  <si>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</si>
  <si>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</si>
  <si>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</si>
  <si>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</si>
  <si>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</si>
  <si>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</si>
  <si>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</si>
  <si>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</si>
  <si>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</si>
  <si>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</si>
  <si>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</si>
  <si>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</si>
  <si>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</si>
  <si>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</si>
  <si>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</si>
  <si>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</si>
  <si>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</si>
  <si>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</si>
  <si>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</si>
  <si>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</si>
  <si>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</si>
  <si>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</si>
  <si>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</si>
  <si>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</si>
  <si>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</si>
  <si>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</si>
  <si>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</si>
  <si>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</si>
  <si>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</si>
  <si>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</si>
  <si>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</si>
  <si>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</si>
  <si>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</si>
  <si>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</si>
  <si>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</si>
  <si>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</si>
  <si>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</si>
  <si>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</si>
  <si>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</si>
  <si>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</si>
  <si>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</si>
  <si>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</si>
  <si>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</si>
  <si>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</si>
  <si>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</si>
  <si>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</si>
  <si>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</si>
  <si>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</si>
  <si>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</si>
  <si>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</si>
  <si>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</si>
  <si>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</si>
  <si>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</si>
  <si>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</si>
  <si>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</si>
  <si>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</si>
  <si>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</si>
  <si>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</si>
  <si>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</si>
  <si>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</si>
  <si>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</si>
  <si>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</si>
  <si>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</si>
  <si>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</si>
  <si>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</si>
  <si>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</si>
  <si>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</si>
  <si>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</si>
  <si>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</si>
  <si>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</si>
  <si>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</si>
  <si>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</si>
  <si>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</si>
  <si>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</si>
  <si>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</si>
  <si>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</si>
  <si>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</si>
  <si>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</si>
  <si>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</si>
  <si>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</si>
  <si>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</si>
  <si>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</si>
  <si>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</si>
  <si>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</si>
  <si>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</si>
  <si>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</si>
  <si>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</si>
  <si>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</si>
  <si>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</si>
  <si>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</si>
  <si>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</si>
  <si>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</si>
  <si>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</si>
  <si>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</si>
  <si>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</si>
  <si>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</si>
  <si>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</si>
  <si>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</si>
  <si>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</si>
  <si>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</si>
  <si>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</si>
  <si>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</si>
  <si>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</si>
  <si>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</si>
  <si>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</si>
  <si>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</si>
  <si>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</si>
  <si>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</si>
  <si>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</si>
  <si>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</si>
  <si>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</si>
  <si>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</si>
  <si>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</si>
  <si>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</si>
  <si>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</si>
  <si>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</si>
  <si>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</si>
  <si>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</si>
  <si>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</si>
  <si>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</si>
  <si>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</si>
  <si>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</si>
  <si>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</si>
  <si>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</si>
  <si>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</si>
  <si>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</si>
  <si>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</si>
  <si>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</si>
  <si>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</si>
  <si>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</si>
  <si>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</si>
  <si>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</si>
  <si>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</si>
  <si>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</si>
  <si>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</si>
  <si>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</si>
  <si>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</si>
  <si>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</si>
  <si>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</si>
  <si>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</si>
  <si>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</si>
  <si>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</si>
  <si>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</si>
  <si>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</si>
  <si>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</si>
  <si>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</si>
  <si>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</si>
  <si>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</si>
  <si>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</si>
  <si>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</si>
  <si>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</si>
  <si>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</si>
  <si>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</si>
  <si>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</si>
  <si>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</si>
  <si>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</si>
  <si>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</si>
  <si>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</si>
  <si>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</si>
  <si>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</si>
  <si>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</si>
  <si>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</si>
  <si>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</si>
  <si>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</si>
  <si>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</si>
  <si>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</si>
  <si>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</si>
  <si>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</si>
  <si>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</si>
  <si>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</si>
  <si>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</si>
  <si>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</si>
  <si>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</si>
  <si>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</si>
  <si>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</si>
  <si>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</si>
  <si>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</si>
  <si>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</si>
  <si>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</si>
  <si>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</si>
  <si>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</si>
  <si>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</si>
  <si>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</si>
  <si>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</si>
  <si>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</si>
  <si>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</si>
  <si>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</si>
  <si>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</si>
  <si>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</si>
  <si>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</si>
  <si>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</si>
  <si>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</si>
  <si>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</si>
  <si>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</si>
  <si>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</si>
  <si>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</si>
  <si>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</si>
  <si>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</si>
  <si>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</si>
  <si>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</si>
  <si>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</si>
  <si>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</si>
  <si>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</si>
  <si>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</si>
  <si>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</si>
  <si>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</si>
  <si>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</si>
  <si>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</si>
  <si>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</si>
  <si>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</si>
  <si>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</si>
  <si>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</si>
  <si>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</si>
  <si>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</si>
  <si>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</si>
  <si>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</si>
  <si>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</si>
  <si>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</si>
  <si>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</si>
  <si>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</si>
  <si>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</si>
  <si>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</si>
  <si>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</si>
  <si>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</si>
  <si>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</si>
  <si>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</si>
  <si>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</si>
  <si>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</si>
  <si>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</si>
  <si>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</si>
  <si>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</si>
  <si>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</si>
  <si>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</si>
  <si>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</si>
  <si>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</si>
  <si>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</si>
  <si>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</si>
  <si>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</si>
  <si>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</si>
  <si>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</si>
  <si>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</si>
  <si>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</si>
  <si>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</si>
  <si>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</si>
  <si>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</si>
  <si>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</si>
  <si>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</si>
  <si>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</si>
  <si>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</si>
  <si>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</si>
  <si>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</si>
  <si>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</si>
  <si>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</si>
  <si>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</si>
  <si>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</si>
  <si>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</si>
  <si>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</si>
  <si>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</si>
  <si>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</si>
  <si>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</si>
  <si>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</si>
  <si>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</si>
  <si>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</si>
  <si>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</si>
  <si>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</si>
  <si>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</si>
  <si>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</si>
  <si>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</si>
  <si>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</si>
  <si>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</si>
  <si>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</si>
  <si>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</si>
  <si>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</si>
  <si>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</si>
  <si>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</si>
  <si>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</si>
  <si>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</si>
  <si>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</si>
  <si>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</si>
  <si>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</si>
  <si>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</si>
  <si>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</si>
  <si>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</si>
  <si>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</si>
  <si>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</si>
  <si>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</si>
  <si>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</si>
  <si>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</si>
  <si>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</si>
  <si>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</si>
  <si>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</si>
  <si>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</si>
  <si>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</si>
  <si>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</si>
  <si>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</si>
  <si>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</si>
  <si>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</si>
  <si>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</si>
  <si>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</si>
  <si>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</si>
  <si>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</si>
  <si>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</si>
  <si>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</si>
  <si>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</si>
  <si>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</si>
  <si>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</si>
  <si>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</si>
  <si>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</si>
  <si>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</si>
  <si>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</si>
  <si>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</si>
  <si>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</si>
  <si>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</si>
  <si>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</si>
  <si>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</si>
  <si>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</si>
  <si>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</si>
  <si>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</si>
  <si>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</si>
  <si>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</si>
  <si>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</si>
  <si>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</si>
  <si>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</si>
  <si>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</si>
  <si>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</si>
  <si>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</si>
  <si>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</si>
  <si>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</si>
  <si>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</si>
  <si>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</si>
  <si>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</si>
  <si>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</si>
  <si>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</si>
  <si>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</si>
  <si>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</si>
  <si>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</si>
  <si>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</si>
  <si>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</si>
  <si>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</si>
  <si>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</si>
  <si>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</si>
  <si>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</si>
  <si>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</si>
  <si>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</si>
  <si>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</si>
  <si>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</si>
  <si>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</si>
  <si>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</si>
  <si>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</si>
  <si>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</si>
  <si>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</si>
  <si>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</si>
  <si>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</si>
  <si>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</si>
  <si>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</si>
  <si>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</si>
  <si>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</si>
  <si>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</si>
  <si>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</si>
  <si>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</si>
  <si>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</si>
  <si>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</si>
  <si>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</si>
  <si>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</si>
  <si>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</si>
  <si>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</si>
  <si>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</si>
  <si>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</si>
  <si>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</si>
  <si>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</si>
  <si>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</si>
  <si>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</si>
  <si>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</si>
  <si>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</si>
  <si>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</si>
  <si>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</si>
  <si>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</si>
  <si>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</si>
  <si>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</si>
  <si>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</si>
  <si>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</si>
  <si>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</si>
  <si>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</si>
  <si>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</si>
  <si>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</si>
  <si>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</si>
  <si>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</si>
  <si>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</si>
  <si>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</si>
  <si>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</si>
  <si>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</si>
  <si>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</si>
  <si>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</si>
  <si>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</si>
  <si>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</si>
  <si>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</si>
  <si>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</si>
  <si>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</si>
  <si>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</si>
  <si>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</si>
  <si>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</si>
  <si>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</si>
  <si>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</si>
  <si>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</si>
  <si>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</si>
  <si>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</si>
  <si>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</si>
  <si>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</si>
  <si>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</si>
  <si>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</si>
  <si>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</si>
  <si>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</si>
  <si>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</si>
  <si>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</si>
  <si>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</si>
  <si>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</si>
  <si>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</si>
  <si>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</si>
  <si>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</si>
  <si>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</si>
  <si>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</si>
  <si>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</si>
  <si>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</si>
  <si>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</si>
  <si>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</si>
  <si>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</si>
  <si>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</si>
  <si>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</si>
  <si>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</si>
  <si>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</si>
  <si>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</si>
  <si>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</si>
  <si>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</si>
  <si>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</si>
  <si>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</si>
  <si>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</si>
  <si>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</si>
  <si>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</si>
  <si>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</si>
  <si>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</si>
  <si>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</si>
  <si>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</si>
  <si>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</si>
  <si>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</si>
  <si>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</si>
  <si>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</si>
  <si>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</si>
  <si>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</si>
  <si>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</si>
  <si>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</si>
  <si>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</si>
  <si>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</si>
  <si>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</si>
  <si>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</si>
  <si>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</si>
  <si>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</si>
  <si>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</si>
  <si>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</si>
  <si>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</si>
  <si>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</si>
  <si>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</si>
  <si>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</si>
  <si>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</si>
  <si>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</si>
  <si>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</si>
  <si>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</si>
  <si>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</si>
  <si>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</si>
  <si>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</si>
  <si>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</si>
  <si>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</si>
  <si>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</si>
  <si>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</si>
  <si>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</si>
  <si>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</si>
  <si>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</si>
  <si>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</si>
  <si>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</si>
  <si>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</si>
  <si>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</si>
  <si>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</si>
  <si>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</si>
  <si>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</si>
  <si>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</si>
  <si>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</si>
  <si>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</si>
  <si>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</si>
  <si>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</si>
  <si>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</si>
  <si>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</si>
  <si>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</si>
  <si>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</si>
  <si>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</si>
  <si>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</si>
  <si>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</si>
  <si>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</si>
  <si>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</si>
  <si>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</si>
  <si>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</si>
  <si>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</si>
  <si>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</si>
  <si>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</si>
  <si>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</si>
  <si>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</si>
  <si>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</si>
  <si>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</si>
  <si>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</si>
  <si>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</si>
  <si>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</si>
  <si>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</si>
  <si>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</si>
  <si>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</si>
  <si>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</si>
  <si>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</si>
  <si>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</si>
  <si>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</si>
  <si>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</si>
  <si>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</si>
  <si>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</si>
  <si>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</si>
  <si>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</si>
  <si>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</si>
  <si>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</si>
  <si>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</si>
  <si>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</si>
  <si>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</si>
  <si>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</si>
  <si>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</si>
  <si>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</si>
  <si>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</si>
  <si>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</si>
  <si>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</si>
  <si>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</si>
  <si>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</si>
  <si>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</si>
  <si>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</si>
  <si>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</si>
  <si>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</si>
  <si>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</si>
  <si>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</si>
  <si>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</si>
  <si>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</si>
  <si>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</si>
  <si>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</si>
  <si>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</si>
  <si>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</si>
  <si>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</si>
  <si>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</si>
  <si>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</si>
  <si>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</si>
  <si>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</si>
  <si>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</si>
  <si>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</si>
  <si>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</si>
  <si>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</si>
  <si>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</si>
  <si>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</si>
  <si>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</si>
  <si>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</si>
  <si>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</si>
  <si>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</si>
  <si>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</si>
  <si>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</si>
  <si>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</si>
  <si>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</si>
  <si>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</si>
  <si>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</si>
  <si>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</si>
  <si>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</si>
  <si>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</si>
  <si>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</si>
  <si>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</si>
  <si>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</si>
  <si>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</si>
  <si>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</si>
  <si>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</si>
  <si>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</si>
  <si>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</si>
  <si>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</si>
  <si>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</si>
  <si>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</si>
  <si>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</si>
  <si>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</si>
  <si>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</si>
  <si>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</si>
  <si>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</si>
  <si>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</si>
  <si>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</si>
  <si>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</si>
  <si>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</si>
  <si>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</si>
  <si>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</si>
  <si>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</si>
  <si>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</si>
  <si>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</si>
  <si>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</si>
  <si>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</si>
  <si>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</si>
  <si>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</si>
  <si>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</si>
  <si>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</si>
  <si>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</si>
  <si>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</si>
  <si>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</si>
  <si>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</si>
  <si>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</si>
  <si>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</si>
  <si>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</si>
  <si>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</si>
  <si>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</si>
  <si>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</si>
  <si>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</si>
  <si>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</si>
  <si>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</si>
  <si>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</si>
  <si>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</si>
  <si>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</si>
  <si>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</si>
  <si>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</si>
  <si>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</si>
  <si>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</si>
  <si>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</si>
  <si>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</si>
  <si>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</si>
  <si>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</si>
  <si>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</si>
  <si>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</si>
  <si>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</si>
  <si>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</si>
  <si>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</si>
  <si>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</si>
  <si>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</si>
  <si>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</si>
  <si>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</si>
  <si>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</si>
  <si>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</si>
  <si>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</si>
  <si>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</si>
  <si>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</si>
  <si>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</si>
  <si>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</si>
  <si>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</si>
  <si>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</si>
  <si>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</si>
  <si>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</si>
  <si>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</si>
  <si>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</si>
  <si>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</si>
  <si>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</si>
  <si>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</si>
  <si>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</si>
  <si>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</si>
  <si>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</si>
  <si>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</si>
  <si>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</si>
  <si>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</si>
  <si>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</si>
  <si>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</si>
  <si>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</si>
  <si>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</si>
  <si>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</si>
  <si>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</si>
  <si>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</si>
  <si>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</si>
  <si>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</si>
  <si>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</si>
  <si>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</si>
  <si>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</si>
  <si>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</si>
  <si>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</si>
  <si>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</si>
  <si>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</si>
  <si>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</si>
  <si>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</si>
  <si>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</si>
  <si>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</si>
  <si>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</si>
  <si>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</si>
  <si>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</si>
  <si>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</si>
  <si>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</si>
  <si>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</si>
  <si>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</si>
  <si>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</si>
  <si>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</si>
  <si>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</si>
  <si>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</si>
  <si>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</si>
  <si>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</si>
  <si>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</si>
  <si>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</si>
  <si>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</si>
  <si>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</si>
  <si>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</si>
  <si>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</si>
  <si>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</si>
  <si>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</si>
  <si>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</si>
  <si>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</si>
  <si>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</si>
  <si>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</si>
  <si>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</si>
  <si>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</si>
  <si>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</si>
  <si>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</si>
  <si>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</si>
  <si>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</si>
  <si>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</si>
  <si>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</si>
  <si>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</si>
  <si>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</si>
  <si>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</si>
  <si>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</si>
  <si>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</si>
  <si>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</si>
  <si>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</si>
  <si>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</si>
  <si>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</si>
  <si>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</si>
  <si>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</si>
  <si>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</si>
  <si>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</si>
  <si>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</si>
  <si>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</si>
  <si>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</si>
  <si>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</si>
  <si>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</si>
  <si>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</si>
  <si>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</si>
  <si>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</si>
  <si>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</si>
  <si>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</si>
  <si>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</si>
  <si>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</si>
  <si>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</si>
  <si>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</si>
  <si>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</si>
  <si>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</si>
  <si>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</si>
  <si>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</si>
  <si>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</si>
  <si>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</si>
  <si>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</si>
  <si>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</si>
  <si>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</si>
  <si>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</si>
  <si>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</si>
  <si>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</si>
  <si>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</si>
  <si>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</si>
  <si>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</si>
  <si>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</si>
  <si>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</si>
  <si>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</si>
  <si>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</si>
  <si>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</si>
  <si>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</si>
  <si>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</si>
  <si>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</si>
  <si>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</si>
  <si>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</si>
  <si>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</si>
  <si>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</si>
  <si>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</si>
  <si>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</si>
  <si>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</si>
  <si>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</si>
  <si>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</si>
  <si>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</si>
  <si>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</si>
  <si>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</si>
  <si>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</si>
  <si>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</si>
  <si>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</si>
  <si>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</si>
  <si>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</si>
  <si>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</si>
  <si>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</si>
  <si>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</si>
  <si>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</si>
  <si>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</si>
  <si>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</si>
  <si>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</si>
  <si>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</si>
  <si>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</si>
  <si>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</si>
  <si>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</si>
  <si>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</si>
  <si>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</si>
  <si>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</si>
  <si>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</si>
  <si>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</si>
  <si>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</si>
  <si>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</si>
  <si>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</si>
  <si>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</si>
  <si>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</si>
  <si>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</si>
  <si>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</si>
  <si>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</si>
  <si>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</si>
  <si>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</si>
  <si>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</si>
  <si>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</si>
  <si>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</si>
  <si>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</si>
  <si>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</si>
  <si>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</si>
  <si>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</si>
  <si>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</si>
  <si>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</si>
  <si>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</si>
  <si>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</si>
  <si>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</si>
  <si>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</si>
  <si>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</si>
  <si>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</si>
  <si>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</si>
  <si>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</si>
  <si>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</si>
  <si>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</si>
  <si>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</si>
  <si>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</si>
  <si>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</si>
  <si>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</si>
  <si>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</si>
  <si>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</si>
  <si>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</si>
  <si>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</si>
  <si>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</si>
  <si>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</si>
  <si>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</si>
  <si>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</si>
  <si>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</si>
  <si>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</si>
  <si>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</si>
  <si>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</si>
  <si>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</si>
  <si>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</si>
  <si>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</si>
  <si>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</si>
  <si>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</si>
  <si>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</si>
  <si>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</si>
  <si>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</si>
  <si>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</si>
  <si>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</si>
  <si>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</si>
  <si>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</si>
  <si>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</si>
  <si>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</si>
  <si>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</si>
  <si>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</si>
  <si>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</si>
  <si>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</si>
  <si>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</si>
  <si>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</si>
  <si>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</si>
  <si>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</si>
  <si>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</si>
  <si>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</si>
  <si>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</si>
  <si>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</si>
  <si>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</si>
  <si>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</si>
  <si>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</si>
  <si>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</si>
  <si>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</si>
  <si>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</si>
  <si>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</si>
  <si>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</si>
  <si>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</si>
  <si>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</si>
  <si>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</si>
  <si>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</si>
  <si>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</si>
  <si>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</si>
  <si>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</si>
  <si>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</si>
  <si>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</si>
  <si>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</si>
  <si>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</si>
  <si>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</si>
  <si>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</si>
  <si>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</si>
  <si>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</si>
  <si>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</si>
  <si>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</si>
  <si>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</si>
  <si>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</si>
  <si>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</si>
  <si>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</si>
  <si>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</si>
  <si>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</si>
  <si>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</si>
  <si>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</si>
  <si>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</si>
  <si>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</si>
  <si>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</si>
  <si>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</si>
  <si>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</si>
  <si>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</si>
  <si>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</si>
  <si>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</si>
  <si>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</si>
  <si>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</si>
  <si>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</si>
  <si>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</si>
  <si>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</si>
  <si>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</si>
  <si>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</si>
  <si>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</si>
  <si>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</si>
  <si>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</si>
  <si>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</si>
  <si>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</si>
  <si>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</si>
  <si>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</si>
  <si>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</si>
  <si>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</si>
  <si>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</si>
  <si>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</si>
  <si>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</si>
  <si>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</si>
  <si>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</si>
  <si>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</si>
  <si>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</si>
  <si>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</si>
  <si>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</si>
  <si>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</si>
  <si>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</si>
  <si>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</si>
  <si>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</si>
  <si>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</si>
  <si>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</si>
  <si>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</si>
  <si>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</si>
  <si>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</si>
  <si>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</si>
  <si>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</si>
  <si>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</si>
  <si>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</si>
  <si>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</si>
  <si>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</si>
  <si>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</si>
  <si>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</si>
  <si>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</si>
  <si>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</si>
  <si>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</si>
  <si>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</si>
  <si>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</si>
  <si>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</si>
  <si>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</si>
  <si>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</si>
  <si>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</si>
  <si>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</si>
  <si>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</si>
  <si>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</si>
  <si>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</si>
  <si>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</si>
  <si>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</si>
  <si>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</si>
  <si>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</si>
  <si>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</si>
  <si>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</si>
  <si>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</si>
  <si>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</si>
  <si>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</si>
  <si>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</si>
  <si>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</si>
  <si>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</si>
  <si>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</si>
  <si>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</si>
  <si>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</si>
  <si>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</si>
  <si>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</si>
  <si>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</si>
  <si>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</si>
  <si>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</si>
  <si>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</si>
  <si>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</si>
  <si>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</si>
  <si>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</si>
  <si>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</si>
  <si>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</si>
  <si>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</si>
  <si>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</si>
  <si>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</si>
  <si>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</si>
  <si>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</si>
  <si>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</si>
  <si>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</si>
  <si>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</si>
  <si>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</si>
  <si>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</si>
  <si>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</si>
  <si>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</si>
  <si>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</si>
  <si>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</si>
  <si>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</si>
  <si>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</si>
  <si>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</si>
  <si>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</si>
  <si>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</si>
  <si>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</si>
  <si>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</si>
  <si>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</si>
  <si>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</si>
  <si>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</si>
  <si>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</si>
  <si>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</si>
  <si>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</si>
  <si>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</si>
  <si>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</si>
  <si>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</si>
  <si>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</si>
  <si>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</si>
  <si>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</si>
  <si>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</si>
  <si>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</si>
  <si>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</si>
  <si>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</si>
  <si>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</si>
  <si>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</si>
  <si>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</si>
  <si>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</si>
  <si>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</si>
  <si>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</si>
  <si>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</si>
  <si>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</si>
  <si>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</si>
  <si>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</si>
  <si>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</si>
  <si>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</si>
  <si>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</si>
  <si>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</si>
  <si>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</si>
  <si>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</si>
  <si>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</si>
  <si>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</si>
  <si>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</si>
  <si>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</si>
  <si>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</si>
  <si>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</si>
  <si>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</si>
  <si>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</si>
  <si>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</si>
  <si>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</si>
  <si>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</si>
  <si>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</si>
  <si>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</si>
  <si>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</si>
  <si>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</si>
  <si>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</si>
  <si>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</si>
  <si>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</si>
  <si>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</si>
  <si>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</si>
  <si>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</si>
  <si>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</si>
  <si>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</si>
  <si>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</si>
  <si>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</si>
  <si>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</si>
  <si>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</si>
  <si>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</si>
  <si>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</si>
  <si>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</si>
  <si>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</si>
  <si>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</si>
  <si>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</si>
  <si>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</si>
  <si>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</si>
  <si>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</si>
  <si>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</si>
  <si>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</si>
  <si>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</si>
  <si>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</si>
  <si>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</si>
  <si>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</si>
  <si>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</si>
  <si>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</si>
  <si>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</si>
  <si>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</si>
  <si>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</si>
  <si>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</si>
  <si>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</si>
  <si>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</si>
  <si>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</si>
  <si>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</si>
  <si>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</si>
  <si>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</si>
  <si>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</si>
  <si>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</si>
  <si>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</si>
  <si>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</si>
  <si>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</si>
  <si>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</si>
  <si>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</si>
  <si>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</si>
  <si>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</si>
  <si>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</si>
  <si>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</si>
  <si>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</si>
  <si>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</si>
  <si>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</si>
  <si>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</si>
  <si>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</si>
  <si>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</si>
  <si>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</si>
  <si>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</si>
  <si>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</si>
  <si>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</si>
  <si>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</si>
  <si>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</si>
  <si>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</si>
  <si>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</si>
  <si>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</si>
  <si>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</si>
  <si>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</si>
  <si>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</si>
  <si>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</si>
  <si>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</si>
  <si>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</si>
  <si>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</si>
  <si>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</si>
  <si>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</si>
  <si>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</si>
  <si>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</si>
  <si>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</si>
  <si>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</si>
  <si>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</si>
  <si>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</si>
  <si>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</si>
  <si>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</si>
  <si>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</si>
  <si>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</si>
  <si>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</si>
  <si>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</si>
  <si>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</si>
  <si>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</si>
  <si>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</si>
  <si>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</si>
  <si>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</si>
  <si>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</si>
  <si>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</si>
  <si>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</si>
  <si>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</si>
  <si>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</si>
  <si>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</si>
  <si>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</si>
  <si>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</si>
  <si>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</si>
  <si>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</si>
  <si>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</si>
  <si>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</si>
  <si>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</si>
  <si>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</si>
  <si>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</si>
  <si>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</si>
  <si>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</si>
  <si>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</si>
  <si>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</si>
  <si>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</si>
  <si>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</si>
  <si>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</si>
  <si>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</si>
  <si>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</si>
  <si>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</si>
  <si>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</si>
  <si>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</si>
  <si>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</si>
  <si>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</si>
  <si>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</si>
  <si>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</si>
  <si>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</si>
  <si>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</si>
  <si>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</si>
  <si>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</si>
  <si>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</si>
  <si>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</si>
  <si>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</si>
  <si>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</si>
  <si>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</si>
  <si>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</si>
  <si>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</si>
  <si>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</si>
  <si>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</si>
  <si>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</si>
  <si>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</si>
  <si>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</si>
  <si>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</si>
  <si>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</si>
  <si>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</si>
  <si>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</si>
  <si>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</si>
  <si>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</si>
  <si>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</si>
  <si>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</si>
  <si>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</si>
  <si>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</si>
  <si>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</si>
  <si>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</si>
  <si>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</si>
  <si>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</si>
  <si>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</si>
  <si>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</si>
  <si>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</si>
  <si>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</si>
  <si>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</si>
  <si>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</si>
  <si>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</si>
  <si>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</si>
  <si>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</si>
  <si>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</si>
  <si>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</si>
  <si>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</si>
  <si>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</si>
  <si>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</si>
  <si>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</si>
  <si>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</si>
  <si>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</si>
  <si>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</si>
  <si>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</si>
  <si>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</si>
  <si>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</si>
  <si>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</si>
  <si>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</si>
  <si>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</si>
  <si>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</si>
  <si>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</si>
  <si>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</si>
  <si>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</si>
  <si>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</si>
  <si>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</si>
  <si>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</si>
  <si>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</si>
  <si>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</si>
  <si>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</si>
  <si>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</si>
  <si>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</si>
  <si>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</si>
  <si>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</si>
  <si>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</si>
  <si>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</si>
  <si>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</si>
  <si>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</si>
  <si>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</si>
  <si>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</si>
  <si>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</si>
  <si>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</si>
  <si>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</si>
  <si>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</si>
  <si>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</si>
  <si>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</si>
  <si>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</si>
  <si>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</si>
  <si>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</si>
  <si>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</si>
  <si>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</si>
  <si>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</si>
  <si>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</si>
  <si>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</si>
  <si>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</si>
  <si>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</si>
  <si>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</si>
  <si>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</si>
  <si>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</si>
  <si>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</si>
  <si>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</si>
  <si>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</si>
  <si>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</si>
  <si>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</si>
  <si>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</si>
  <si>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</si>
  <si>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</si>
  <si>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</si>
  <si>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</si>
  <si>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</si>
  <si>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</si>
  <si>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</si>
  <si>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</si>
  <si>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</si>
  <si>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</si>
  <si>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</si>
  <si>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</si>
  <si>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</si>
  <si>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</si>
  <si>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</si>
  <si>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</si>
  <si>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</si>
  <si>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</si>
  <si>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</si>
  <si>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</si>
  <si>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</si>
  <si>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</si>
  <si>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</si>
  <si>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</si>
  <si>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</si>
  <si>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</si>
  <si>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</si>
  <si>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</si>
  <si>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</si>
  <si>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</si>
  <si>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</si>
  <si>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</si>
  <si>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</si>
  <si>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</si>
  <si>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</si>
  <si>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</si>
  <si>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</si>
  <si>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</si>
  <si>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</si>
  <si>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</si>
  <si>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</si>
  <si>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</si>
  <si>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</si>
  <si>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</si>
  <si>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</si>
  <si>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</si>
  <si>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</si>
  <si>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</si>
  <si>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</si>
  <si>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</si>
  <si>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</si>
  <si>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</si>
  <si>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</si>
  <si>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</si>
  <si>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</si>
  <si>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</si>
  <si>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</si>
  <si>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</si>
  <si>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</si>
  <si>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</si>
  <si>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</si>
  <si>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</si>
  <si>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</si>
  <si>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</si>
  <si>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</si>
  <si>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</si>
  <si>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</si>
  <si>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</si>
  <si>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</si>
  <si>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</si>
  <si>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</si>
  <si>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</si>
  <si>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</si>
  <si>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</si>
  <si>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</si>
  <si>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</si>
  <si>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</si>
  <si>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</si>
  <si>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</si>
  <si>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</si>
  <si>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</si>
  <si>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</si>
  <si>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</si>
  <si>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</si>
  <si>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</si>
  <si>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</si>
  <si>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</si>
  <si>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</si>
  <si>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</si>
  <si>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</si>
  <si>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</si>
  <si>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</si>
  <si>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</si>
  <si>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</si>
  <si>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</si>
  <si>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</si>
  <si>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</si>
  <si>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</si>
  <si>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</si>
  <si>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</si>
  <si>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</si>
  <si>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</si>
  <si>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</si>
  <si>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</si>
  <si>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</si>
  <si>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</si>
  <si>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</si>
  <si>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</si>
  <si>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</si>
  <si>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</si>
  <si>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</si>
  <si>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</si>
  <si>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</si>
  <si>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</si>
  <si>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</si>
  <si>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</si>
  <si>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</si>
  <si>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</si>
  <si>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</si>
  <si>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</si>
  <si>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</si>
  <si>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</si>
  <si>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</si>
  <si>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</si>
  <si>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</si>
  <si>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</si>
  <si>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</si>
  <si>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</si>
  <si>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</si>
  <si>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</si>
  <si>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</si>
  <si>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</si>
  <si>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</si>
  <si>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</si>
  <si>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</si>
  <si>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</si>
  <si>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</si>
  <si>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</si>
  <si>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</si>
  <si>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</si>
  <si>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</si>
  <si>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</si>
  <si>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</si>
  <si>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</si>
  <si>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</si>
  <si>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</si>
  <si>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</si>
  <si>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</si>
  <si>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</si>
  <si>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</si>
  <si>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</si>
  <si>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</si>
  <si>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</si>
  <si>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</si>
  <si>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</si>
  <si>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</si>
  <si>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</si>
  <si>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</si>
  <si>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</si>
  <si>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</si>
  <si>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</si>
  <si>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</si>
  <si>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</si>
  <si>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</si>
  <si>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</si>
  <si>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</si>
  <si>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</si>
  <si>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</si>
  <si>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</si>
  <si>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</si>
  <si>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</si>
  <si>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</si>
  <si>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</si>
  <si>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</si>
  <si>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</si>
  <si>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</si>
  <si>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</si>
  <si>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</si>
  <si>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</si>
  <si>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</si>
  <si>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</si>
  <si>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</si>
  <si>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</si>
  <si>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</si>
  <si>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</si>
  <si>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</si>
  <si>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</si>
  <si>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</si>
  <si>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</si>
  <si>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</si>
  <si>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</si>
  <si>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</si>
  <si>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</si>
  <si>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</si>
  <si>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</si>
  <si>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</si>
  <si>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</si>
  <si>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</si>
  <si>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</si>
  <si>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</si>
  <si>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</si>
  <si>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</si>
  <si>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</si>
  <si>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</si>
  <si>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</si>
  <si>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</si>
  <si>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</si>
  <si>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</si>
  <si>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</si>
  <si>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</si>
  <si>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</si>
  <si>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</si>
  <si>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</si>
  <si>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</si>
  <si>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</si>
  <si>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</si>
  <si>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</si>
  <si>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</si>
  <si>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</si>
  <si>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</si>
  <si>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</si>
  <si>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</si>
  <si>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</si>
  <si>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</si>
  <si>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</si>
  <si>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</si>
  <si>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</si>
  <si>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</si>
  <si>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</si>
  <si>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</si>
  <si>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</si>
  <si>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</si>
  <si>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</si>
  <si>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</si>
  <si>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</si>
  <si>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</si>
  <si>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</si>
  <si>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</si>
  <si>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</si>
  <si>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</si>
  <si>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</si>
  <si>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</si>
  <si>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</si>
  <si>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</si>
  <si>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</si>
  <si>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</si>
  <si>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</si>
  <si>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</si>
  <si>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</si>
  <si>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</si>
  <si>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</si>
  <si>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</si>
  <si>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</si>
  <si>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</si>
  <si>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</si>
  <si>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</si>
  <si>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</si>
  <si>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</si>
  <si>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</si>
  <si>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</si>
  <si>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</si>
  <si>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</si>
  <si>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</si>
  <si>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</si>
  <si>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</si>
  <si>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</si>
  <si>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</si>
  <si>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</si>
  <si>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</si>
  <si>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</si>
  <si>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</si>
  <si>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</si>
  <si>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</si>
  <si>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</si>
  <si>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</si>
  <si>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</si>
  <si>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</si>
  <si>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</si>
  <si>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</si>
  <si>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</si>
  <si>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</si>
  <si>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</si>
  <si>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</si>
  <si>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</si>
  <si>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</si>
  <si>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</si>
  <si>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</si>
  <si>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</si>
  <si>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</si>
  <si>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</si>
  <si>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</si>
  <si>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</si>
  <si>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</si>
  <si>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</si>
  <si>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</si>
  <si>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</si>
  <si>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</si>
  <si>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</si>
  <si>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</si>
  <si>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</si>
  <si>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</si>
  <si>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</si>
  <si>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</si>
  <si>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</si>
  <si>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</si>
  <si>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</si>
  <si>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</si>
  <si>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</si>
  <si>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</si>
  <si>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</si>
  <si>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</si>
  <si>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</si>
  <si>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</si>
  <si>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</si>
  <si>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</si>
  <si>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</si>
  <si>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</si>
  <si>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</si>
  <si>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</si>
  <si>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</si>
  <si>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</si>
  <si>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</si>
  <si>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</si>
  <si>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</si>
  <si>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</si>
  <si>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</si>
  <si>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</si>
  <si>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</si>
  <si>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</si>
  <si>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</si>
  <si>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</si>
  <si>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</si>
  <si>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</si>
  <si>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</si>
  <si>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</si>
  <si>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</si>
  <si>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</si>
  <si>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</si>
  <si>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</si>
  <si>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</si>
  <si>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</si>
  <si>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</si>
  <si>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</si>
  <si>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</si>
  <si>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</si>
  <si>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</si>
  <si>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</si>
  <si>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</si>
  <si>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</si>
  <si>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</si>
  <si>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</si>
  <si>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</si>
  <si>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</si>
  <si>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</si>
  <si>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</si>
  <si>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</si>
  <si>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</si>
  <si>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</si>
  <si>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</si>
  <si>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</si>
  <si>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</si>
  <si>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</si>
  <si>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</si>
  <si>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</si>
  <si>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</si>
  <si>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</si>
  <si>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</si>
  <si>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</si>
  <si>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</si>
  <si>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</si>
  <si>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</si>
  <si>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</si>
  <si>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</si>
  <si>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</si>
  <si>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</si>
  <si>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</si>
  <si>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</si>
  <si>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</si>
  <si>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</si>
  <si>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</si>
  <si>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</si>
  <si>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</si>
  <si>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</si>
  <si>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</si>
  <si>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</si>
  <si>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</si>
  <si>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</si>
  <si>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</si>
  <si>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</si>
  <si>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</si>
  <si>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</si>
  <si>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</si>
  <si>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</si>
  <si>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</si>
  <si>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</si>
  <si>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</si>
  <si>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</si>
  <si>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</si>
  <si>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</si>
  <si>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</si>
  <si>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</si>
  <si>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</si>
  <si>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</si>
  <si>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</si>
  <si>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</si>
  <si>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</si>
  <si>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</si>
  <si>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</si>
  <si>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</si>
  <si>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</si>
  <si>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</si>
  <si>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</si>
  <si>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</si>
  <si>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</si>
  <si>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</si>
  <si>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</si>
  <si>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</si>
  <si>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</si>
  <si>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</si>
  <si>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</si>
  <si>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</si>
  <si>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</si>
  <si>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</si>
  <si>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</si>
  <si>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</si>
  <si>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</si>
  <si>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</si>
  <si>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</si>
  <si>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</si>
  <si>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</si>
  <si>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</si>
  <si>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</si>
  <si>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</si>
  <si>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</si>
  <si>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</si>
  <si>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</si>
  <si>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</si>
  <si>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</si>
  <si>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</si>
  <si>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</si>
  <si>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</si>
  <si>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</si>
  <si>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</si>
  <si>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与房产证证载一致</t>
  </si>
  <si>
    <t>是</t>
  </si>
  <si>
    <t>否</t>
  </si>
  <si>
    <t>抵押</t>
  </si>
  <si>
    <t>房地产抵押价值</t>
  </si>
  <si>
    <t>Ⅶ-昌1</t>
  </si>
  <si>
    <t>总价</t>
  </si>
  <si>
    <t>办公</t>
  </si>
  <si>
    <t>无租约</t>
  </si>
  <si>
    <t>利息：取LPR加浮动点数</t>
  </si>
  <si>
    <t>钢混</t>
  </si>
  <si>
    <t>非生产用房</t>
  </si>
  <si>
    <t>商务金融用地（办公类）</t>
  </si>
  <si>
    <t>通路</t>
  </si>
  <si>
    <t>通电</t>
  </si>
  <si>
    <t>通上水</t>
  </si>
  <si>
    <t>通讯</t>
  </si>
  <si>
    <t>通下水</t>
  </si>
  <si>
    <t>平整</t>
  </si>
  <si>
    <t>与级别开发程度不一致</t>
  </si>
  <si>
    <t>未包含在土地购买价格中</t>
  </si>
  <si>
    <t>已包含在土地取得成本中</t>
  </si>
  <si>
    <t>成本法</t>
  </si>
  <si>
    <r>
      <t>1</t>
    </r>
    <r>
      <rPr>
        <sz val="11"/>
        <color theme="1"/>
        <rFont val="宋体"/>
        <family val="3"/>
        <charset val="134"/>
        <scheme val="minor"/>
      </rPr>
      <t>1层</t>
    </r>
    <phoneticPr fontId="146" type="noConversion"/>
  </si>
  <si>
    <t>建筑面积</t>
    <phoneticPr fontId="146" type="noConversion"/>
  </si>
  <si>
    <t>用途</t>
    <phoneticPr fontId="146" type="noConversion"/>
  </si>
  <si>
    <t>办公</t>
    <phoneticPr fontId="146" type="noConversion"/>
  </si>
  <si>
    <t>12层</t>
    <phoneticPr fontId="146" type="noConversion"/>
  </si>
  <si>
    <t>14层</t>
    <phoneticPr fontId="146" type="noConversion"/>
  </si>
  <si>
    <r>
      <t>同项目住宅立项售价3</t>
    </r>
    <r>
      <rPr>
        <sz val="11"/>
        <color theme="1"/>
        <rFont val="宋体"/>
        <family val="3"/>
        <charset val="134"/>
        <scheme val="minor"/>
      </rPr>
      <t>.5-4万</t>
    </r>
    <phoneticPr fontId="146" type="noConversion"/>
  </si>
  <si>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</si>
  <si>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</si>
  <si>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</si>
  <si>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</si>
  <si>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</si>
  <si>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</si>
  <si>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</si>
  <si>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</si>
  <si>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</si>
  <si>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</si>
  <si>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</si>
  <si>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</si>
  <si>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</si>
  <si>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</si>
  <si>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</si>
  <si>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</si>
  <si>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</si>
  <si>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比较法-办公更新</t>
  </si>
  <si>
    <t>朝向</t>
    <phoneticPr fontId="146" type="noConversion"/>
  </si>
  <si>
    <t>南</t>
  </si>
  <si>
    <t>南</t>
    <phoneticPr fontId="146" type="noConversion"/>
  </si>
  <si>
    <t>北</t>
  </si>
  <si>
    <t>北</t>
    <phoneticPr fontId="146" type="noConversion"/>
  </si>
  <si>
    <t>东北</t>
  </si>
  <si>
    <t>东北</t>
    <phoneticPr fontId="146"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</si>
  <si>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</si>
  <si>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</si>
  <si>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</si>
  <si>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</si>
  <si>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</si>
  <si>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</si>
  <si>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</si>
  <si>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</si>
  <si>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</si>
  <si>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</si>
  <si>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</si>
  <si>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</si>
  <si>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</si>
  <si>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</si>
  <si>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</si>
  <si>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</si>
  <si>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</si>
  <si>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</si>
  <si>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</si>
  <si>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</si>
  <si>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</si>
  <si>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</si>
  <si>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</si>
  <si>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房号</t>
    <phoneticPr fontId="146" type="noConversion"/>
  </si>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</sst>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177" fontId="48" fillId="9" borderId="1" xfId="1" applyNumberFormat="1" applyFont="1" applyFill="1" applyBorder="1" applyAlignment="1" applyProtection="1">
      <alignment horizontal="center" vertical="center"/>
    </xf>
    <xf numFmtId="177" fontId="42" fillId="21" borderId="31" xfId="1" applyNumberFormat="1" applyFont="1" applyFill="1" applyBorder="1" applyAlignment="1" applyProtection="1">
      <alignment horizontal="left" vertical="center"/>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222" fillId="5" borderId="0" xfId="0" applyFont="1" applyFill="1" applyAlignment="1" applyProtection="1">
      <alignment horizontal="center" vertical="center"/>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96" fillId="8" borderId="3" xfId="0" applyFont="1" applyFill="1" applyBorder="1" applyAlignment="1" applyProtection="1">
      <alignment horizontal="left" vertical="center"/>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303905</xdr:colOff>
      <xdr:row>25</xdr:row>
      <xdr:rowOff>66131</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7161905" cy="4352381"/>
        </a:xfrm>
        <a:prstGeom prst="rect">
          <a:avLst/>
        </a:prstGeom>
      </xdr:spPr>
    </xdr:pic>
    <xdr:clientData/>
  </xdr:twoCellAnchor>
  <xdr:twoCellAnchor editAs="oneCell">
    <xdr:from>
      <xdr:col>0</xdr:col>
      <xdr:colOff>0</xdr:colOff>
      <xdr:row>56</xdr:row>
      <xdr:rowOff>0</xdr:rowOff>
    </xdr:from>
    <xdr:to>
      <xdr:col>10</xdr:col>
      <xdr:colOff>576739</xdr:colOff>
      <xdr:row>74</xdr:row>
      <xdr:rowOff>104775</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2"/>
        <a:stretch>
          <a:fillRect/>
        </a:stretch>
      </xdr:blipFill>
      <xdr:spPr>
        <a:xfrm>
          <a:off x="0" y="9601200"/>
          <a:ext cx="7434739" cy="3190875"/>
        </a:xfrm>
        <a:prstGeom prst="rect">
          <a:avLst/>
        </a:prstGeom>
      </xdr:spPr>
    </xdr:pic>
    <xdr:clientData/>
  </xdr:twoCellAnchor>
  <xdr:twoCellAnchor editAs="oneCell">
    <xdr:from>
      <xdr:col>0</xdr:col>
      <xdr:colOff>0</xdr:colOff>
      <xdr:row>76</xdr:row>
      <xdr:rowOff>0</xdr:rowOff>
    </xdr:from>
    <xdr:to>
      <xdr:col>10</xdr:col>
      <xdr:colOff>600075</xdr:colOff>
      <xdr:row>91</xdr:row>
      <xdr:rowOff>165623</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3"/>
        <a:stretch>
          <a:fillRect/>
        </a:stretch>
      </xdr:blipFill>
      <xdr:spPr>
        <a:xfrm>
          <a:off x="0" y="13030200"/>
          <a:ext cx="7458075" cy="2737373"/>
        </a:xfrm>
        <a:prstGeom prst="rect">
          <a:avLst/>
        </a:prstGeom>
      </xdr:spPr>
    </xdr:pic>
    <xdr:clientData/>
  </xdr:twoCellAnchor>
  <xdr:twoCellAnchor editAs="oneCell">
    <xdr:from>
      <xdr:col>0</xdr:col>
      <xdr:colOff>0</xdr:colOff>
      <xdr:row>94</xdr:row>
      <xdr:rowOff>19050</xdr:rowOff>
    </xdr:from>
    <xdr:to>
      <xdr:col>10</xdr:col>
      <xdr:colOff>573180</xdr:colOff>
      <xdr:row>112</xdr:row>
      <xdr:rowOff>123232</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4"/>
        <a:stretch>
          <a:fillRect/>
        </a:stretch>
      </xdr:blipFill>
      <xdr:spPr>
        <a:xfrm>
          <a:off x="0" y="16135350"/>
          <a:ext cx="7431180" cy="3190282"/>
        </a:xfrm>
        <a:prstGeom prst="rect">
          <a:avLst/>
        </a:prstGeom>
      </xdr:spPr>
    </xdr:pic>
    <xdr:clientData/>
  </xdr:twoCellAnchor>
  <xdr:twoCellAnchor editAs="oneCell">
    <xdr:from>
      <xdr:col>0</xdr:col>
      <xdr:colOff>0</xdr:colOff>
      <xdr:row>26</xdr:row>
      <xdr:rowOff>0</xdr:rowOff>
    </xdr:from>
    <xdr:to>
      <xdr:col>11</xdr:col>
      <xdr:colOff>113343</xdr:colOff>
      <xdr:row>51</xdr:row>
      <xdr:rowOff>151846</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5"/>
        <a:stretch>
          <a:fillRect/>
        </a:stretch>
      </xdr:blipFill>
      <xdr:spPr>
        <a:xfrm>
          <a:off x="0" y="4457700"/>
          <a:ext cx="7657143" cy="4438096"/>
        </a:xfrm>
        <a:prstGeom prst="rect">
          <a:avLst/>
        </a:prstGeom>
      </xdr:spPr>
    </xdr:pic>
    <xdr:clientData/>
  </xdr:twoCellAnchor>
  <xdr:twoCellAnchor editAs="oneCell">
    <xdr:from>
      <xdr:col>23</xdr:col>
      <xdr:colOff>409575</xdr:colOff>
      <xdr:row>0</xdr:row>
      <xdr:rowOff>0</xdr:rowOff>
    </xdr:from>
    <xdr:to>
      <xdr:col>32</xdr:col>
      <xdr:colOff>114301</xdr:colOff>
      <xdr:row>20</xdr:row>
      <xdr:rowOff>148259</xdr:rowOff>
    </xdr:to>
    <xdr:pic>
      <xdr:nvPicPr>
        <xdr:cNvPr id="9" name="图片 8">
          <a:extLst>
            <a:ext uri="{FF2B5EF4-FFF2-40B4-BE49-F238E27FC236}">
              <a16:creationId xmlns="" xmlns:a16="http://schemas.microsoft.com/office/drawing/2014/main" id="{00000000-0008-0000-2600-000009000000}"/>
            </a:ext>
          </a:extLst>
        </xdr:cNvPr>
        <xdr:cNvPicPr>
          <a:picLocks noChangeAspect="1"/>
        </xdr:cNvPicPr>
      </xdr:nvPicPr>
      <xdr:blipFill>
        <a:blip xmlns:r="http://schemas.openxmlformats.org/officeDocument/2006/relationships" r:embed="rId6"/>
        <a:stretch>
          <a:fillRect/>
        </a:stretch>
      </xdr:blipFill>
      <xdr:spPr>
        <a:xfrm>
          <a:off x="16182975" y="0"/>
          <a:ext cx="5876926" cy="3577259"/>
        </a:xfrm>
        <a:prstGeom prst="rect">
          <a:avLst/>
        </a:prstGeom>
      </xdr:spPr>
    </xdr:pic>
    <xdr:clientData/>
  </xdr:twoCellAnchor>
  <xdr:twoCellAnchor editAs="oneCell">
    <xdr:from>
      <xdr:col>17</xdr:col>
      <xdr:colOff>57150</xdr:colOff>
      <xdr:row>0</xdr:row>
      <xdr:rowOff>36211</xdr:rowOff>
    </xdr:from>
    <xdr:to>
      <xdr:col>24</xdr:col>
      <xdr:colOff>352425</xdr:colOff>
      <xdr:row>22</xdr:row>
      <xdr:rowOff>142216</xdr:rowOff>
    </xdr:to>
    <xdr:pic>
      <xdr:nvPicPr>
        <xdr:cNvPr id="10" name="图片 9">
          <a:extLst>
            <a:ext uri="{FF2B5EF4-FFF2-40B4-BE49-F238E27FC236}">
              <a16:creationId xmlns="" xmlns:a16="http://schemas.microsoft.com/office/drawing/2014/main" id="{00000000-0008-0000-2600-00000A000000}"/>
            </a:ext>
          </a:extLst>
        </xdr:cNvPr>
        <xdr:cNvPicPr>
          <a:picLocks noChangeAspect="1"/>
        </xdr:cNvPicPr>
      </xdr:nvPicPr>
      <xdr:blipFill>
        <a:blip xmlns:r="http://schemas.openxmlformats.org/officeDocument/2006/relationships" r:embed="rId7"/>
        <a:stretch>
          <a:fillRect/>
        </a:stretch>
      </xdr:blipFill>
      <xdr:spPr>
        <a:xfrm>
          <a:off x="11715750" y="36211"/>
          <a:ext cx="5095875" cy="3877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526877</xdr:colOff>
      <xdr:row>20</xdr:row>
      <xdr:rowOff>57151</xdr:rowOff>
    </xdr:to>
    <xdr:pic>
      <xdr:nvPicPr>
        <xdr:cNvPr id="2" name="图片 1">
          <a:extLst>
            <a:ext uri="{FF2B5EF4-FFF2-40B4-BE49-F238E27FC236}">
              <a16:creationId xmlns=""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 y="1"/>
          <a:ext cx="8070676" cy="3486150"/>
        </a:xfrm>
        <a:prstGeom prst="rect">
          <a:avLst/>
        </a:prstGeom>
      </xdr:spPr>
    </xdr:pic>
    <xdr:clientData/>
  </xdr:twoCellAnchor>
  <xdr:twoCellAnchor editAs="oneCell">
    <xdr:from>
      <xdr:col>0</xdr:col>
      <xdr:colOff>1</xdr:colOff>
      <xdr:row>40</xdr:row>
      <xdr:rowOff>1</xdr:rowOff>
    </xdr:from>
    <xdr:to>
      <xdr:col>11</xdr:col>
      <xdr:colOff>378721</xdr:colOff>
      <xdr:row>57</xdr:row>
      <xdr:rowOff>38101</xdr:rowOff>
    </xdr:to>
    <xdr:pic>
      <xdr:nvPicPr>
        <xdr:cNvPr id="4" name="图片 3"/>
        <xdr:cNvPicPr>
          <a:picLocks noChangeAspect="1"/>
        </xdr:cNvPicPr>
      </xdr:nvPicPr>
      <xdr:blipFill>
        <a:blip xmlns:r="http://schemas.openxmlformats.org/officeDocument/2006/relationships" r:embed="rId2"/>
        <a:stretch>
          <a:fillRect/>
        </a:stretch>
      </xdr:blipFill>
      <xdr:spPr>
        <a:xfrm>
          <a:off x="1" y="6858001"/>
          <a:ext cx="7922520" cy="2952750"/>
        </a:xfrm>
        <a:prstGeom prst="rect">
          <a:avLst/>
        </a:prstGeom>
      </xdr:spPr>
    </xdr:pic>
    <xdr:clientData/>
  </xdr:twoCellAnchor>
  <xdr:twoCellAnchor editAs="oneCell">
    <xdr:from>
      <xdr:col>0</xdr:col>
      <xdr:colOff>0</xdr:colOff>
      <xdr:row>22</xdr:row>
      <xdr:rowOff>0</xdr:rowOff>
    </xdr:from>
    <xdr:to>
      <xdr:col>10</xdr:col>
      <xdr:colOff>581025</xdr:colOff>
      <xdr:row>37</xdr:row>
      <xdr:rowOff>18083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7439025" cy="2589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估价对象为北京市房地产，为XX所有。根据《》[]，估价对象建筑面积为58.79平方米。根据《》[]，估价对象（分摊）出让国有建设用地使用权面积为平方米。估价对象用途为。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2021年12月15日</v>
      </c>
    </row>
    <row r="10" spans="1:2">
      <c r="A10" s="1179" t="s">
        <v>1047</v>
      </c>
      <c r="B10" s="1166" t="str">
        <f>'预评函-1'!A13</f>
        <v>本次估价的“房地产价值”是指在正常市场情况下，在价值时点2021年12月15日，估价对象规划用途为，假定未设立法定优先受偿款下的房地产市场价值。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本次评估采用的主估价方法为基准地价系数修正法和基准地价系数修正法。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58.79</v>
      </c>
    </row>
    <row r="19" spans="1:2">
      <c r="A19" s="1179" t="s">
        <v>1056</v>
      </c>
      <c r="B19" s="1166">
        <f ca="1">'预评函-2（1）'!D7</f>
        <v>943</v>
      </c>
    </row>
    <row r="20" spans="1:2">
      <c r="A20" s="1179" t="s">
        <v>1094</v>
      </c>
      <c r="B20" s="1166" t="str">
        <f>'预评函-2（1）'!C7</f>
        <v>总价（万元）</v>
      </c>
    </row>
    <row r="21" spans="1:2">
      <c r="A21" s="1179" t="s">
        <v>1057</v>
      </c>
      <c r="B21" s="1166">
        <f ca="1">'预评函-2（1）'!D9</f>
        <v>19062</v>
      </c>
    </row>
    <row r="22" spans="1:2">
      <c r="A22" s="1179" t="s">
        <v>1058</v>
      </c>
      <c r="B22" s="1166" t="str">
        <f ca="1">'预评函-2（1）'!D8</f>
        <v>玖佰肆拾叁万元整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943</v>
      </c>
    </row>
    <row r="30" spans="1:2">
      <c r="A30" s="1179" t="s">
        <v>1064</v>
      </c>
      <c r="B30" s="1166" t="str">
        <f ca="1">'预评函-2（1）'!D16</f>
        <v>玖佰肆拾叁万元整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1187</v>
      </c>
      <c r="B62" s="1166">
        <f ca="1">'预评函-2（1）'!D38</f>
        <v>19062</v>
      </c>
    </row>
    <row r="63" spans="1:2" s="1178" customFormat="1" ht="28.5">
      <c r="A63" s="1182" t="s">
        <v>1188</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1186</v>
      </c>
    </row>
    <row r="70" spans="1:2">
      <c r="A70" s="1179"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21" sqref="E21"/>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1471</v>
      </c>
      <c r="B1" s="2559" t="str">
        <f>IF(B6="北京市","北京市",C6)&amp;IF(E12="房屋所有权证",B29,E29)&amp;D5&amp;"预评估"</f>
        <v>北京市房地产抵押价值预评估</v>
      </c>
      <c r="C1" s="822"/>
      <c r="D1" s="822"/>
      <c r="E1" s="822"/>
      <c r="F1" s="1394" t="s">
        <v>1472</v>
      </c>
      <c r="G1" s="1160"/>
      <c r="I1" s="2886" t="str">
        <f>IF(B6="北京市","北京市",C6)&amp;IF(E12="房屋所有权证",B29,E29)&amp;"房地产"</f>
        <v>北京市房地产</v>
      </c>
      <c r="J1" s="799"/>
      <c r="K1" s="2888"/>
      <c r="L1" s="2888"/>
      <c r="M1" s="2888"/>
      <c r="N1" s="799"/>
      <c r="O1" s="799"/>
      <c r="P1" s="799"/>
      <c r="Q1" s="799"/>
    </row>
    <row r="2" spans="1:17" ht="13.5" thickTop="1">
      <c r="A2" s="1395" t="s">
        <v>1473</v>
      </c>
      <c r="B2" s="2560"/>
      <c r="C2" s="2858" t="s">
        <v>1474</v>
      </c>
      <c r="D2" s="2560">
        <v>44545</v>
      </c>
      <c r="E2" s="823"/>
      <c r="F2" s="823"/>
      <c r="G2" s="1161"/>
      <c r="H2" s="2870"/>
    </row>
    <row r="3" spans="1:17" ht="13.5" thickBot="1">
      <c r="A3" s="2561" t="s">
        <v>1475</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1476</v>
      </c>
      <c r="B4" s="1396" t="s">
        <v>2662</v>
      </c>
      <c r="C4" s="2859" t="s">
        <v>1477</v>
      </c>
      <c r="D4" s="1397" t="s">
        <v>2985</v>
      </c>
      <c r="E4" s="823"/>
      <c r="F4" s="823"/>
      <c r="G4" s="1161"/>
    </row>
    <row r="5" spans="1:17">
      <c r="A5" s="1398" t="s">
        <v>1478</v>
      </c>
      <c r="B5" s="1399" t="s">
        <v>2663</v>
      </c>
      <c r="C5" s="2860" t="s">
        <v>1479</v>
      </c>
      <c r="D5" s="1401" t="s">
        <v>2986</v>
      </c>
      <c r="E5" s="2861" t="s">
        <v>1480</v>
      </c>
      <c r="F5" s="1401" t="s">
        <v>2986</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1481</v>
      </c>
      <c r="B6" s="2565" t="s">
        <v>2980</v>
      </c>
      <c r="C6" s="2566" t="s">
        <v>2664</v>
      </c>
      <c r="D6" s="2567" t="s">
        <v>1482</v>
      </c>
      <c r="E6" s="810"/>
      <c r="F6" s="810"/>
      <c r="G6" s="829"/>
      <c r="I6" s="799" t="str">
        <f>IF(COUNTIF(B5,"*上海银行*"),"上海银行","")</f>
        <v/>
      </c>
      <c r="J6" s="799"/>
      <c r="K6" s="2888"/>
      <c r="L6" s="2888"/>
      <c r="M6" s="2888"/>
      <c r="N6" s="799"/>
      <c r="O6" s="799"/>
      <c r="P6" s="799"/>
      <c r="Q6" s="799"/>
    </row>
    <row r="7" spans="1:17" ht="13.5" thickBot="1">
      <c r="A7" s="2863" t="s">
        <v>1483</v>
      </c>
      <c r="B7" s="2568" t="s">
        <v>2981</v>
      </c>
      <c r="C7" s="1493" t="str">
        <f>IF(B7="自然人","姓名","名称")</f>
        <v>名称</v>
      </c>
      <c r="D7" s="1406" t="s">
        <v>2663</v>
      </c>
      <c r="E7" s="824"/>
      <c r="F7" s="824"/>
      <c r="G7" s="1162"/>
    </row>
    <row r="8" spans="1:17" ht="13.5" thickTop="1">
      <c r="A8" s="3404" t="s">
        <v>1484</v>
      </c>
      <c r="B8" s="1407" t="s">
        <v>1485</v>
      </c>
      <c r="C8" s="3416"/>
      <c r="D8" s="3417"/>
      <c r="E8" s="2569" t="s">
        <v>1486</v>
      </c>
      <c r="F8" s="2570" t="s">
        <v>1487</v>
      </c>
      <c r="G8" s="2571" t="str">
        <f>C6</f>
        <v>XX</v>
      </c>
    </row>
    <row r="9" spans="1:17" ht="25.5">
      <c r="A9" s="3404"/>
      <c r="B9" s="259" t="s">
        <v>1488</v>
      </c>
      <c r="C9" s="1399"/>
      <c r="D9" s="1408" t="s">
        <v>2982</v>
      </c>
      <c r="E9" s="2864" t="s">
        <v>1489</v>
      </c>
      <c r="F9" s="2572" t="s">
        <v>483</v>
      </c>
      <c r="G9" s="2573"/>
    </row>
    <row r="10" spans="1:17" ht="13.5" thickBot="1">
      <c r="A10" s="3404"/>
      <c r="B10" s="259" t="s">
        <v>1490</v>
      </c>
      <c r="C10" s="3418"/>
      <c r="D10" s="3419"/>
      <c r="E10" s="2865" t="s">
        <v>1491</v>
      </c>
      <c r="F10" s="2574" t="s">
        <v>2987</v>
      </c>
      <c r="G10" s="2575"/>
    </row>
    <row r="11" spans="1:17" ht="13.5" thickBot="1">
      <c r="A11" s="3404"/>
      <c r="B11" s="1410" t="s">
        <v>1492</v>
      </c>
      <c r="C11" s="3420"/>
      <c r="D11" s="3421"/>
      <c r="E11" s="810"/>
      <c r="F11" s="810"/>
      <c r="G11" s="829"/>
    </row>
    <row r="12" spans="1:17" ht="13.5" thickBot="1">
      <c r="A12" s="3407" t="s">
        <v>2771</v>
      </c>
      <c r="B12" s="2866" t="s">
        <v>1493</v>
      </c>
      <c r="C12" s="807">
        <f>'数据-取费表'!E5</f>
        <v>58.79</v>
      </c>
      <c r="D12" s="1411" t="s">
        <v>1494</v>
      </c>
      <c r="E12" s="1412"/>
      <c r="F12" s="1413"/>
      <c r="G12" s="829"/>
    </row>
    <row r="13" spans="1:17" ht="21" customHeight="1" thickBot="1">
      <c r="A13" s="3408"/>
      <c r="B13" s="2867" t="s">
        <v>1495</v>
      </c>
      <c r="C13" s="808"/>
      <c r="D13" s="1414" t="s">
        <v>1496</v>
      </c>
      <c r="E13" s="1415"/>
      <c r="F13" s="810"/>
      <c r="G13" s="829"/>
      <c r="I13" s="3393" t="s">
        <v>1497</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2772</v>
      </c>
      <c r="C14" s="2577"/>
      <c r="D14" s="810"/>
      <c r="E14" s="810"/>
      <c r="F14" s="810"/>
      <c r="G14" s="829"/>
      <c r="I14" s="339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1498</v>
      </c>
      <c r="C15" s="825">
        <v>2.5</v>
      </c>
      <c r="D15" s="824"/>
      <c r="E15" s="824"/>
      <c r="F15" s="824"/>
      <c r="G15" s="1162"/>
      <c r="I15" s="339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1499</v>
      </c>
      <c r="B16" s="1416" t="s">
        <v>1500</v>
      </c>
      <c r="C16" s="2579" t="s">
        <v>2983</v>
      </c>
      <c r="D16" s="1409" t="s">
        <v>1501</v>
      </c>
      <c r="E16" s="2580" t="s">
        <v>2984</v>
      </c>
      <c r="F16" s="1417" t="str">
        <f>IF(AND(C16="是",E16="否"),"是否提供他项权证或相关说明","")</f>
        <v>是否提供他项权证或相关说明</v>
      </c>
      <c r="G16" s="2580"/>
      <c r="J16" s="2870"/>
    </row>
    <row r="17" spans="1:66" ht="13.5" customHeight="1">
      <c r="A17" s="1423" t="s">
        <v>1502</v>
      </c>
      <c r="B17" s="3422" t="s">
        <v>1503</v>
      </c>
      <c r="C17" s="3423"/>
      <c r="D17" s="3424" t="s">
        <v>1504</v>
      </c>
      <c r="E17" s="3425"/>
      <c r="F17" s="1418" t="s">
        <v>1505</v>
      </c>
      <c r="G17" s="1419"/>
      <c r="J17" s="2870"/>
    </row>
    <row r="18" spans="1:66" ht="24">
      <c r="A18" s="1423"/>
      <c r="B18" s="2581"/>
      <c r="C18" s="1402"/>
      <c r="D18" s="1420" t="s">
        <v>1506</v>
      </c>
      <c r="E18" s="1421"/>
      <c r="F18" s="1422"/>
      <c r="G18" s="1285"/>
      <c r="H18" s="2870"/>
      <c r="J18" s="2870"/>
    </row>
    <row r="19" spans="1:66" ht="21.75" customHeight="1" thickBot="1">
      <c r="A19" s="1423"/>
      <c r="B19" s="2582"/>
      <c r="C19" s="1415"/>
      <c r="D19" s="1423"/>
      <c r="E19" s="810"/>
      <c r="F19" s="810"/>
      <c r="G19" s="1285"/>
    </row>
    <row r="20" spans="1:66">
      <c r="A20" s="1419" t="s">
        <v>1507</v>
      </c>
      <c r="B20" s="2583" t="s">
        <v>1508</v>
      </c>
      <c r="C20" s="2584"/>
      <c r="D20" s="2585" t="s">
        <v>1508</v>
      </c>
      <c r="E20" s="2584"/>
      <c r="F20" s="810"/>
      <c r="G20" s="1285"/>
    </row>
    <row r="21" spans="1:66">
      <c r="A21" s="1285"/>
      <c r="B21" s="2586" t="s">
        <v>1509</v>
      </c>
      <c r="C21" s="2853"/>
      <c r="D21" s="1423" t="s">
        <v>1509</v>
      </c>
      <c r="E21" s="2587"/>
      <c r="F21" s="810"/>
      <c r="G21" s="1285"/>
    </row>
    <row r="22" spans="1:66">
      <c r="A22" s="1285"/>
      <c r="B22" s="810" t="s">
        <v>1510</v>
      </c>
      <c r="C22" s="2588"/>
      <c r="D22" s="810" t="s">
        <v>1510</v>
      </c>
      <c r="E22" s="2587"/>
      <c r="F22" s="810"/>
      <c r="G22" s="1285"/>
    </row>
    <row r="23" spans="1:66" s="2852" customFormat="1" ht="16.5" thickBot="1">
      <c r="A23" s="1286"/>
      <c r="B23" s="828" t="s">
        <v>1511</v>
      </c>
      <c r="C23" s="808"/>
      <c r="D23" s="828" t="s">
        <v>1512</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3" t="s">
        <v>2770</v>
      </c>
      <c r="B24" s="3403"/>
      <c r="C24" s="3403"/>
      <c r="D24" s="3403"/>
      <c r="E24" s="3403"/>
      <c r="F24" s="3403"/>
      <c r="G24" s="3403"/>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1513</v>
      </c>
      <c r="B25" s="810"/>
      <c r="C25" s="810"/>
      <c r="D25" s="810"/>
      <c r="E25" s="810"/>
      <c r="F25" s="810"/>
      <c r="G25" s="1286"/>
      <c r="K25" s="2871"/>
    </row>
    <row r="26" spans="1:66" s="835" customFormat="1" ht="13.5" thickBot="1">
      <c r="A26" s="2590"/>
      <c r="B26" s="806" t="s">
        <v>1514</v>
      </c>
      <c r="C26" s="2590"/>
      <c r="D26" s="806"/>
      <c r="E26" s="2591" t="s">
        <v>1515</v>
      </c>
      <c r="F26" s="2590"/>
      <c r="G26" s="2592"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1517</v>
      </c>
      <c r="B28" s="800"/>
      <c r="C28" s="3410" t="s">
        <v>1517</v>
      </c>
      <c r="D28" s="3411"/>
      <c r="E28" s="800"/>
      <c r="F28" s="802" t="s">
        <v>1517</v>
      </c>
      <c r="G28" s="800"/>
      <c r="K28" s="2871"/>
    </row>
    <row r="29" spans="1:66">
      <c r="A29" s="803" t="s">
        <v>1518</v>
      </c>
      <c r="B29" s="797"/>
      <c r="C29" s="3412" t="s">
        <v>1519</v>
      </c>
      <c r="D29" s="3413"/>
      <c r="E29" s="797"/>
      <c r="F29" s="803" t="s">
        <v>1519</v>
      </c>
      <c r="G29" s="797"/>
      <c r="K29" s="2871"/>
    </row>
    <row r="30" spans="1:66">
      <c r="A30" s="803" t="s">
        <v>1520</v>
      </c>
      <c r="B30" s="797"/>
      <c r="C30" s="3412" t="s">
        <v>1520</v>
      </c>
      <c r="D30" s="3413"/>
      <c r="E30" s="797"/>
      <c r="F30" s="803" t="s">
        <v>1521</v>
      </c>
      <c r="G30" s="797"/>
      <c r="K30" s="2871"/>
    </row>
    <row r="31" spans="1:66">
      <c r="A31" s="803" t="s">
        <v>1522</v>
      </c>
      <c r="B31" s="797"/>
      <c r="C31" s="3400" t="s">
        <v>1523</v>
      </c>
      <c r="D31" s="810"/>
      <c r="E31" s="2595" t="str">
        <f>E32&amp;" "&amp;E33&amp;" "&amp;E34&amp;" "&amp;E35</f>
        <v xml:space="preserve">   </v>
      </c>
      <c r="F31" s="803" t="s">
        <v>1524</v>
      </c>
      <c r="G31" s="797"/>
    </row>
    <row r="32" spans="1:66">
      <c r="A32" s="803" t="s">
        <v>1525</v>
      </c>
      <c r="B32" s="797"/>
      <c r="C32" s="3401"/>
      <c r="D32" s="259" t="s">
        <v>1526</v>
      </c>
      <c r="E32" s="797"/>
      <c r="F32" s="803" t="s">
        <v>1527</v>
      </c>
      <c r="G32" s="797"/>
    </row>
    <row r="33" spans="1:7" ht="24.75" thickBot="1">
      <c r="A33" s="804" t="s">
        <v>1528</v>
      </c>
      <c r="B33" s="801"/>
      <c r="C33" s="3401"/>
      <c r="D33" s="259" t="s">
        <v>1529</v>
      </c>
      <c r="E33" s="797"/>
      <c r="F33" s="803" t="s">
        <v>1530</v>
      </c>
      <c r="G33" s="797"/>
    </row>
    <row r="34" spans="1:7">
      <c r="A34" s="802" t="s">
        <v>1531</v>
      </c>
      <c r="B34" s="800"/>
      <c r="C34" s="3401"/>
      <c r="D34" s="259" t="s">
        <v>1532</v>
      </c>
      <c r="E34" s="797"/>
      <c r="F34" s="803" t="s">
        <v>1533</v>
      </c>
      <c r="G34" s="797"/>
    </row>
    <row r="35" spans="1:7" ht="13.5" thickBot="1">
      <c r="A35" s="803" t="s">
        <v>1534</v>
      </c>
      <c r="B35" s="797"/>
      <c r="C35" s="3402"/>
      <c r="D35" s="259" t="s">
        <v>1535</v>
      </c>
      <c r="E35" s="797"/>
      <c r="F35" s="804" t="s">
        <v>1536</v>
      </c>
      <c r="G35" s="2596"/>
    </row>
    <row r="36" spans="1:7">
      <c r="A36" s="803" t="s">
        <v>1493</v>
      </c>
      <c r="B36" s="797"/>
      <c r="C36" s="3412" t="s">
        <v>1537</v>
      </c>
      <c r="D36" s="3413"/>
      <c r="E36" s="797"/>
      <c r="F36" s="2597" t="s">
        <v>1538</v>
      </c>
      <c r="G36" s="800"/>
    </row>
    <row r="37" spans="1:7" ht="13.5" thickBot="1">
      <c r="A37" s="803" t="s">
        <v>1539</v>
      </c>
      <c r="B37" s="797"/>
      <c r="C37" s="3414" t="s">
        <v>1540</v>
      </c>
      <c r="D37" s="3415"/>
      <c r="E37" s="801"/>
      <c r="F37" s="1431" t="s">
        <v>1541</v>
      </c>
      <c r="G37" s="797"/>
    </row>
    <row r="38" spans="1:7" ht="13.5" thickBot="1">
      <c r="A38" s="803" t="s">
        <v>1542</v>
      </c>
      <c r="B38" s="797"/>
      <c r="C38" s="3398" t="s">
        <v>1543</v>
      </c>
      <c r="D38" s="1411" t="s">
        <v>1527</v>
      </c>
      <c r="E38" s="800"/>
      <c r="F38" s="804" t="s">
        <v>1544</v>
      </c>
      <c r="G38" s="801"/>
    </row>
    <row r="39" spans="1:7">
      <c r="A39" s="803" t="s">
        <v>1545</v>
      </c>
      <c r="B39" s="797"/>
      <c r="C39" s="3405"/>
      <c r="D39" s="259" t="s">
        <v>1534</v>
      </c>
      <c r="E39" s="797"/>
      <c r="F39" s="802" t="s">
        <v>1546</v>
      </c>
      <c r="G39" s="800"/>
    </row>
    <row r="40" spans="1:7">
      <c r="A40" s="803" t="s">
        <v>1547</v>
      </c>
      <c r="B40" s="797"/>
      <c r="C40" s="3405" t="s">
        <v>1548</v>
      </c>
      <c r="D40" s="259" t="s">
        <v>1493</v>
      </c>
      <c r="E40" s="797"/>
      <c r="F40" s="803" t="s">
        <v>1549</v>
      </c>
      <c r="G40" s="797"/>
    </row>
    <row r="41" spans="1:7" ht="24.75" customHeight="1" thickBot="1">
      <c r="A41" s="804" t="s">
        <v>1550</v>
      </c>
      <c r="B41" s="801"/>
      <c r="C41" s="3406"/>
      <c r="D41" s="1414" t="s">
        <v>1495</v>
      </c>
      <c r="E41" s="801"/>
      <c r="F41" s="804" t="s">
        <v>1551</v>
      </c>
      <c r="G41" s="801"/>
    </row>
    <row r="42" spans="1:7">
      <c r="A42" s="805" t="s">
        <v>1552</v>
      </c>
      <c r="B42" s="2598"/>
      <c r="C42" s="3394" t="s">
        <v>1552</v>
      </c>
      <c r="D42" s="3395"/>
      <c r="E42" s="2598"/>
      <c r="F42" s="802" t="s">
        <v>1553</v>
      </c>
      <c r="G42" s="2598"/>
    </row>
    <row r="43" spans="1:7">
      <c r="A43" s="820" t="s">
        <v>1554</v>
      </c>
      <c r="B43" s="2599"/>
      <c r="C43" s="1423"/>
      <c r="D43" s="2586"/>
      <c r="E43" s="2599"/>
      <c r="F43" s="820"/>
      <c r="G43" s="2599"/>
    </row>
    <row r="44" spans="1:7">
      <c r="A44" s="820" t="s">
        <v>1508</v>
      </c>
      <c r="B44" s="821"/>
      <c r="C44" s="1423"/>
      <c r="D44" s="1489" t="s">
        <v>1508</v>
      </c>
      <c r="E44" s="821"/>
      <c r="F44" s="820" t="s">
        <v>1508</v>
      </c>
      <c r="G44" s="821"/>
    </row>
    <row r="45" spans="1:7">
      <c r="A45" s="820" t="s">
        <v>1509</v>
      </c>
      <c r="B45" s="821"/>
      <c r="C45" s="1423"/>
      <c r="D45" s="2586" t="s">
        <v>1509</v>
      </c>
      <c r="E45" s="821"/>
      <c r="F45" s="820" t="s">
        <v>1509</v>
      </c>
      <c r="G45" s="821"/>
    </row>
    <row r="46" spans="1:7">
      <c r="A46" s="820" t="s">
        <v>1510</v>
      </c>
      <c r="B46" s="821"/>
      <c r="C46" s="1423"/>
      <c r="D46" s="2586" t="s">
        <v>1510</v>
      </c>
      <c r="E46" s="821"/>
      <c r="F46" s="820" t="s">
        <v>1510</v>
      </c>
      <c r="G46" s="821"/>
    </row>
    <row r="47" spans="1:7">
      <c r="A47" s="820" t="s">
        <v>1511</v>
      </c>
      <c r="B47" s="821"/>
      <c r="C47" s="1423"/>
      <c r="D47" s="2586" t="s">
        <v>1511</v>
      </c>
      <c r="E47" s="821"/>
      <c r="F47" s="820" t="s">
        <v>1511</v>
      </c>
      <c r="G47" s="821"/>
    </row>
    <row r="48" spans="1:7">
      <c r="A48" s="820"/>
      <c r="B48" s="821"/>
      <c r="C48" s="1423"/>
      <c r="D48" s="2586"/>
      <c r="E48" s="821"/>
      <c r="F48" s="820"/>
      <c r="G48" s="821"/>
    </row>
    <row r="49" spans="1:66" ht="13.5" thickBot="1">
      <c r="A49" s="804" t="s">
        <v>1555</v>
      </c>
      <c r="B49" s="801"/>
      <c r="C49" s="3396" t="s">
        <v>1555</v>
      </c>
      <c r="D49" s="3397"/>
      <c r="E49" s="819"/>
      <c r="F49" s="804" t="s">
        <v>1556</v>
      </c>
      <c r="G49" s="801"/>
    </row>
    <row r="50" spans="1:66">
      <c r="A50" s="803" t="s">
        <v>1557</v>
      </c>
      <c r="B50" s="818"/>
      <c r="C50" s="3398" t="s">
        <v>1558</v>
      </c>
      <c r="D50" s="3399"/>
      <c r="E50" s="2600"/>
      <c r="F50" s="836"/>
      <c r="G50" s="837"/>
    </row>
    <row r="51" spans="1:66" ht="13.5" thickBot="1">
      <c r="A51" s="803" t="s">
        <v>1559</v>
      </c>
      <c r="B51" s="818"/>
      <c r="C51" s="3406" t="s">
        <v>1560</v>
      </c>
      <c r="D51" s="3409"/>
      <c r="E51" s="801"/>
      <c r="F51" s="810"/>
      <c r="G51" s="829"/>
    </row>
    <row r="52" spans="1:66">
      <c r="A52" s="803" t="s">
        <v>1538</v>
      </c>
      <c r="B52" s="797"/>
      <c r="C52" s="810"/>
      <c r="D52" s="810"/>
      <c r="E52" s="810"/>
      <c r="F52" s="810"/>
      <c r="G52" s="829"/>
    </row>
    <row r="53" spans="1:66" ht="24.75" thickBot="1">
      <c r="A53" s="804" t="s">
        <v>1561</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6" t="s">
        <v>0</v>
      </c>
      <c r="B1" s="3426" t="s">
        <v>2</v>
      </c>
      <c r="C1" s="3426" t="s">
        <v>3</v>
      </c>
      <c r="D1" s="3427" t="s">
        <v>67</v>
      </c>
      <c r="E1" s="3427" t="s">
        <v>68</v>
      </c>
      <c r="F1" s="3427"/>
      <c r="G1" s="3427"/>
      <c r="H1" s="3427"/>
      <c r="I1" s="3427"/>
      <c r="J1" s="3427"/>
      <c r="K1" s="3427"/>
      <c r="L1" s="3427"/>
      <c r="M1" s="3427"/>
    </row>
    <row r="2" spans="1:13" ht="27" customHeight="1">
      <c r="A2" s="3426"/>
      <c r="B2" s="3426"/>
      <c r="C2" s="3426"/>
      <c r="D2" s="3427"/>
      <c r="E2" s="3427" t="s">
        <v>51</v>
      </c>
      <c r="F2" s="3427" t="s">
        <v>52</v>
      </c>
      <c r="G2" s="3427"/>
      <c r="H2" s="3427"/>
      <c r="I2" s="3427"/>
      <c r="J2" s="3427" t="s">
        <v>53</v>
      </c>
      <c r="K2" s="3427"/>
      <c r="L2" s="3427"/>
      <c r="M2" s="3427"/>
    </row>
    <row r="3" spans="1:13" ht="28.5">
      <c r="A3" s="3426"/>
      <c r="B3" s="3426"/>
      <c r="C3" s="3426"/>
      <c r="D3" s="3427"/>
      <c r="E3" s="34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7" t="s">
        <v>69</v>
      </c>
      <c r="B9" s="3427"/>
      <c r="C9" s="34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H20" sqref="H20"/>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1562</v>
      </c>
      <c r="B1" s="945"/>
      <c r="D1" s="2601"/>
      <c r="E1" s="2601"/>
    </row>
    <row r="2" spans="1:41" s="2605" customFormat="1" ht="15.75" thickBot="1">
      <c r="A2" s="2890" t="s">
        <v>1563</v>
      </c>
      <c r="B2" s="2891">
        <f>项目基本情况!D2</f>
        <v>44545</v>
      </c>
      <c r="C2" s="1653"/>
      <c r="D2" s="3428" t="s">
        <v>1564</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1565</v>
      </c>
      <c r="B3" s="2606" t="s">
        <v>3061</v>
      </c>
      <c r="C3" s="1653"/>
      <c r="D3" s="3429"/>
      <c r="E3" s="2607" t="s">
        <v>2983</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1566</v>
      </c>
      <c r="B4" s="2606" t="s">
        <v>2988</v>
      </c>
      <c r="C4" s="1653"/>
      <c r="D4" s="3429"/>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1567</v>
      </c>
      <c r="B5" s="2609">
        <f>项目基本情况!C12</f>
        <v>58.79</v>
      </c>
      <c r="C5" s="1653"/>
      <c r="D5" s="2892" t="s">
        <v>1568</v>
      </c>
      <c r="E5" s="2610">
        <f>位置图及面积明细!O2</f>
        <v>58.79</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1569</v>
      </c>
      <c r="B6" s="2612">
        <f>项目基本情况!C13</f>
        <v>0</v>
      </c>
      <c r="C6" s="1653"/>
      <c r="D6" s="2892" t="s">
        <v>1570</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1571</v>
      </c>
      <c r="B10" s="2614" t="s">
        <v>2989</v>
      </c>
      <c r="C10" s="1653"/>
      <c r="D10" s="2890" t="s">
        <v>1572</v>
      </c>
      <c r="E10" s="2894" t="s">
        <v>1573</v>
      </c>
      <c r="F10" s="3059" t="s">
        <v>2781</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1574</v>
      </c>
      <c r="B11" s="2616">
        <v>50</v>
      </c>
      <c r="C11" s="1653"/>
      <c r="D11" s="2896" t="s">
        <v>1575</v>
      </c>
      <c r="E11" s="2617"/>
      <c r="F11" s="1280" t="s">
        <v>1576</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1577</v>
      </c>
      <c r="B12" s="2619">
        <v>56376</v>
      </c>
      <c r="C12" s="1653"/>
      <c r="D12" s="2897" t="s">
        <v>1578</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1579</v>
      </c>
      <c r="B13" s="2899">
        <f>IF(B12="",B11-(YEAR($B$2)-B27+B24),ROUNDDOWN(MIN((B12-$B$2)/365,B11),2))</f>
        <v>32.409999999999997</v>
      </c>
      <c r="C13" s="2934"/>
      <c r="D13" s="2900" t="s">
        <v>1580</v>
      </c>
      <c r="E13" s="2621">
        <f>成本法!C10</f>
        <v>11758</v>
      </c>
      <c r="F13" s="1278"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1582</v>
      </c>
      <c r="B14" s="2901">
        <f>IF(ISERROR(ROUND(POWER(1+B15,B11-B13)*(POWER(1+B15,B13)-1)/(POWER(1+B15,B11)-1),3)),0,ROUND(POWER(1+B15,B11-B13)*(POWER(1+B15,B13)-1)/(POWER(1+B15,B11)-1),3))</f>
        <v>0.87</v>
      </c>
      <c r="C14" s="1653"/>
      <c r="D14" s="2902" t="s">
        <v>1583</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1584</v>
      </c>
      <c r="B15" s="2623">
        <v>0.05</v>
      </c>
      <c r="C15" s="2531" t="s">
        <v>2782</v>
      </c>
      <c r="D15" s="2897" t="s">
        <v>1585</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1586</v>
      </c>
      <c r="B16" s="2623">
        <v>5.5E-2</v>
      </c>
      <c r="C16" s="2531" t="s">
        <v>2783</v>
      </c>
      <c r="D16" s="2904" t="s">
        <v>1587</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2780</v>
      </c>
      <c r="B17" s="3057">
        <v>7.4999999999999997E-2</v>
      </c>
      <c r="C17" s="2531" t="s">
        <v>2784</v>
      </c>
      <c r="D17" s="2893" t="s">
        <v>1589</v>
      </c>
      <c r="E17" s="3336">
        <v>4000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1588</v>
      </c>
      <c r="B18" s="3065"/>
      <c r="C18" s="1653"/>
      <c r="D18" s="2906" t="str">
        <f>IF(B26=0,"建安总额","在建建安")</f>
        <v>建安总额</v>
      </c>
      <c r="E18" s="2907">
        <f>ROUND(B5*E17*IF(B26=0,1,E20),0)</f>
        <v>235160</v>
      </c>
      <c r="F18" s="2625">
        <f>ROUND(E5*E17*IF(B26=0,1,E20),0)</f>
        <v>235160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1590</v>
      </c>
      <c r="B20" s="1279"/>
      <c r="C20" s="1653"/>
      <c r="D20" s="2910" t="str">
        <f>IF(B26=0,"成新率","工程进度")</f>
        <v>成新率</v>
      </c>
      <c r="E20" s="2627">
        <f>ROUND(1-(2021-2018)/60,2)</f>
        <v>0.95</v>
      </c>
      <c r="F20" s="945"/>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1591</v>
      </c>
      <c r="B21" s="2626">
        <v>0</v>
      </c>
      <c r="C21" s="1653"/>
      <c r="D21" s="2897" t="s">
        <v>1593</v>
      </c>
      <c r="E21" s="2629">
        <v>0.03</v>
      </c>
      <c r="F21" s="2640" t="s">
        <v>2790</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1592</v>
      </c>
      <c r="B22" s="2628">
        <v>2</v>
      </c>
      <c r="C22" s="1653"/>
      <c r="D22" s="2897" t="s">
        <v>1595</v>
      </c>
      <c r="E22" s="2632"/>
      <c r="F22" s="2640" t="s">
        <v>2788</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1594</v>
      </c>
      <c r="B23" s="2631">
        <v>2</v>
      </c>
      <c r="C23" s="1653"/>
      <c r="D23" s="2897" t="s">
        <v>1597</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1596</v>
      </c>
      <c r="B24" s="2914">
        <f>B21+B22</f>
        <v>2</v>
      </c>
      <c r="C24" s="1653"/>
      <c r="D24" s="2904" t="s">
        <v>1599</v>
      </c>
      <c r="E24" s="2633">
        <v>1.4999999999999999E-2</v>
      </c>
      <c r="F24" s="2640" t="s">
        <v>2791</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1598</v>
      </c>
      <c r="B25" s="2916">
        <f>B21+B23</f>
        <v>2</v>
      </c>
      <c r="C25" s="1653"/>
      <c r="D25" s="2896" t="s">
        <v>1601</v>
      </c>
      <c r="E25" s="2629">
        <v>0.02</v>
      </c>
      <c r="F25" s="2640" t="s">
        <v>2789</v>
      </c>
      <c r="I25" s="2935"/>
    </row>
    <row r="26" spans="1:41" ht="15" thickBot="1">
      <c r="A26" s="2913" t="s">
        <v>1600</v>
      </c>
      <c r="B26" s="2917">
        <f>B22-B23</f>
        <v>0</v>
      </c>
      <c r="D26" s="2897" t="s">
        <v>1603</v>
      </c>
      <c r="E26" s="2632">
        <v>0.02</v>
      </c>
      <c r="F26" s="2640" t="s">
        <v>2789</v>
      </c>
      <c r="G26" s="2936"/>
      <c r="H26" s="2936"/>
      <c r="I26" s="1653"/>
      <c r="J26" s="1653"/>
      <c r="K26" s="1653"/>
      <c r="L26" s="1653"/>
      <c r="M26" s="1653"/>
      <c r="N26" s="1653"/>
    </row>
    <row r="27" spans="1:41" ht="15.75" thickBot="1">
      <c r="A27" s="2918" t="s">
        <v>1602</v>
      </c>
      <c r="B27" s="2634">
        <v>2018</v>
      </c>
      <c r="C27" s="1653"/>
      <c r="D27" s="3124" t="s">
        <v>2991</v>
      </c>
      <c r="E27" s="2919">
        <f ca="1">IF(D27="利息：取LPR",存贷款利率!G1,存贷款利率!G1+F27)</f>
        <v>4.3499999999999997E-2</v>
      </c>
      <c r="F27" s="3125">
        <v>5.0000000000000001E-3</v>
      </c>
      <c r="G27" s="2936"/>
      <c r="H27" s="2936"/>
      <c r="K27" s="1653"/>
      <c r="N27" s="1653"/>
    </row>
    <row r="28" spans="1:41" ht="15" thickBot="1">
      <c r="A28" s="945"/>
      <c r="B28" s="945"/>
      <c r="D28" s="2900" t="s">
        <v>1605</v>
      </c>
      <c r="E28" s="2636">
        <v>0.15</v>
      </c>
      <c r="G28" s="2936"/>
      <c r="H28" s="2936"/>
      <c r="K28" s="1653"/>
      <c r="N28" s="1653"/>
    </row>
    <row r="29" spans="1:41" ht="14.25">
      <c r="A29" s="2920" t="s">
        <v>1604</v>
      </c>
      <c r="B29" s="2635" t="s">
        <v>2990</v>
      </c>
      <c r="D29" s="2902" t="s">
        <v>1606</v>
      </c>
      <c r="E29" s="2921">
        <f>E30+E31</f>
        <v>5.5000000000000007E-2</v>
      </c>
      <c r="F29" s="1278"/>
      <c r="G29" s="2936"/>
      <c r="H29" s="2936"/>
      <c r="K29" s="1653"/>
      <c r="N29" s="1653"/>
    </row>
    <row r="30" spans="1:41" ht="14.25">
      <c r="A30" s="2897" t="str">
        <f>IF(B29="租赁期内按合同租金","合同租金","市场租金")</f>
        <v>市场租金</v>
      </c>
      <c r="B30" s="2637">
        <v>3.5</v>
      </c>
      <c r="D30" s="2904" t="s">
        <v>1608</v>
      </c>
      <c r="E30" s="2638">
        <v>0.05</v>
      </c>
      <c r="F30" s="2923">
        <f>IF(B2&lt;DATE(2016,5,1),0,E30)</f>
        <v>0.05</v>
      </c>
      <c r="G30" s="2936"/>
      <c r="H30" s="2936"/>
      <c r="K30" s="1653"/>
      <c r="N30" s="1653"/>
    </row>
    <row r="31" spans="1:41" ht="14.25">
      <c r="A31" s="2897" t="s">
        <v>1607</v>
      </c>
      <c r="B31" s="2922">
        <f ca="1">存贷款利率!I1</f>
        <v>1.4999999999999999E-2</v>
      </c>
      <c r="D31" s="2904" t="s">
        <v>1610</v>
      </c>
      <c r="E31" s="2924">
        <f>E30*(E32+E33+E34)+E35</f>
        <v>5.000000000000001E-3</v>
      </c>
      <c r="F31" s="1278"/>
      <c r="G31" s="2936"/>
      <c r="H31" s="2936"/>
      <c r="K31" s="1653"/>
      <c r="N31" s="1653"/>
    </row>
    <row r="32" spans="1:41" ht="14.25">
      <c r="A32" s="2897" t="s">
        <v>1609</v>
      </c>
      <c r="B32" s="2623">
        <v>0.03</v>
      </c>
      <c r="D32" s="2904" t="s">
        <v>1612</v>
      </c>
      <c r="E32" s="2639">
        <v>0.05</v>
      </c>
      <c r="F32" s="2640" t="s">
        <v>2675</v>
      </c>
      <c r="G32" s="2936"/>
      <c r="H32" s="2936"/>
      <c r="K32" s="1653"/>
      <c r="L32" s="1653"/>
      <c r="M32" s="1653"/>
      <c r="N32" s="1653"/>
    </row>
    <row r="33" spans="1:14" ht="14.25">
      <c r="A33" s="2897" t="s">
        <v>1611</v>
      </c>
      <c r="B33" s="2623">
        <v>0.1</v>
      </c>
      <c r="D33" s="2904" t="s">
        <v>1614</v>
      </c>
      <c r="E33" s="2638">
        <v>0.03</v>
      </c>
      <c r="F33" s="1277" t="s">
        <v>1615</v>
      </c>
      <c r="G33" s="2936"/>
      <c r="H33" s="2936"/>
      <c r="K33" s="1653"/>
      <c r="L33" s="1653"/>
      <c r="M33" s="1653"/>
      <c r="N33" s="1653"/>
    </row>
    <row r="34" spans="1:14" s="2642" customFormat="1" ht="14.25">
      <c r="A34" s="2897" t="s">
        <v>1613</v>
      </c>
      <c r="B34" s="2925">
        <f>收益法!J54</f>
        <v>32.409999999999997</v>
      </c>
      <c r="D34" s="2904" t="s">
        <v>1616</v>
      </c>
      <c r="E34" s="2638">
        <v>0.02</v>
      </c>
      <c r="F34" s="1277" t="s">
        <v>1617</v>
      </c>
      <c r="G34" s="2936"/>
      <c r="H34" s="2936"/>
      <c r="I34" s="1653"/>
      <c r="J34" s="1653"/>
      <c r="K34" s="1653"/>
      <c r="L34" s="1653"/>
      <c r="M34" s="1653"/>
      <c r="N34" s="1653"/>
    </row>
    <row r="35" spans="1:14" s="2642" customFormat="1" ht="15" thickBot="1">
      <c r="A35" s="2904" t="str">
        <f>IF(B29="租赁期内按合同租金","剩余租赁期","——")</f>
        <v>——</v>
      </c>
      <c r="B35" s="2641"/>
      <c r="D35" s="2900" t="s">
        <v>1619</v>
      </c>
      <c r="E35" s="2644"/>
      <c r="F35" s="1280" t="s">
        <v>1620</v>
      </c>
      <c r="G35" s="2936"/>
      <c r="H35" s="2936"/>
      <c r="I35" s="1653"/>
      <c r="J35" s="1653"/>
      <c r="K35" s="1653"/>
      <c r="L35" s="1653"/>
      <c r="M35" s="1653"/>
      <c r="N35" s="1653"/>
    </row>
    <row r="36" spans="1:14" s="2642" customFormat="1" ht="15">
      <c r="A36" s="2926" t="s">
        <v>1618</v>
      </c>
      <c r="B36" s="2927"/>
      <c r="D36" s="2928" t="s">
        <v>1621</v>
      </c>
      <c r="E36" s="2646">
        <v>0.03</v>
      </c>
      <c r="F36" s="1279" t="s">
        <v>1622</v>
      </c>
      <c r="G36" s="2936"/>
      <c r="H36" s="2936"/>
      <c r="I36" s="1653"/>
      <c r="J36" s="1653"/>
      <c r="K36" s="1653"/>
      <c r="L36" s="1653"/>
      <c r="M36" s="1653"/>
      <c r="N36" s="1653"/>
    </row>
    <row r="37" spans="1:14" s="2642" customFormat="1" ht="15" thickBot="1">
      <c r="A37" s="2902" t="str">
        <f>IF(B29="租赁期内按合同租金","租金","——")</f>
        <v>——</v>
      </c>
      <c r="B37" s="2645"/>
      <c r="D37" s="2904" t="s">
        <v>1623</v>
      </c>
      <c r="E37" s="2638">
        <v>5.0000000000000001E-4</v>
      </c>
      <c r="F37" s="1279" t="s">
        <v>1624</v>
      </c>
      <c r="G37" s="2936"/>
      <c r="H37" s="2936"/>
      <c r="I37" s="1653"/>
      <c r="J37" s="1653"/>
      <c r="K37" s="1653"/>
      <c r="L37" s="1653"/>
      <c r="M37" s="1653"/>
      <c r="N37" s="1653"/>
    </row>
    <row r="38" spans="1:14" s="2642" customFormat="1" ht="14.25">
      <c r="A38" s="2897" t="str">
        <f>IF(B29="租赁期内按合同租金","年租金增长率","——")</f>
        <v>——</v>
      </c>
      <c r="B38" s="2623"/>
      <c r="D38" s="2929" t="s">
        <v>1625</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1626</v>
      </c>
      <c r="E39" s="2931">
        <v>0.12</v>
      </c>
      <c r="F39" s="1279"/>
      <c r="G39" s="2936"/>
      <c r="H39" s="2936"/>
      <c r="I39" s="1653"/>
      <c r="J39" s="1653"/>
      <c r="K39" s="1653"/>
      <c r="L39" s="1653"/>
      <c r="M39" s="1653"/>
      <c r="N39" s="1653"/>
    </row>
    <row r="40" spans="1:14" ht="14.25">
      <c r="A40" s="2897" t="str">
        <f>IF(B29="租赁期内按合同租金","成新率","——")</f>
        <v>——</v>
      </c>
      <c r="B40" s="2623"/>
      <c r="D40" s="2929" t="s">
        <v>1627</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1629</v>
      </c>
      <c r="E41" s="2648"/>
      <c r="F41" s="1279" t="s">
        <v>1630</v>
      </c>
      <c r="G41" s="1740" t="s">
        <v>1631</v>
      </c>
      <c r="H41" s="2936"/>
      <c r="I41" s="1653"/>
      <c r="J41" s="1653"/>
      <c r="K41" s="1653"/>
      <c r="L41" s="1653"/>
      <c r="M41" s="1653"/>
      <c r="N41" s="1653"/>
    </row>
    <row r="42" spans="1:14" ht="14.25">
      <c r="A42" s="2896" t="s">
        <v>1628</v>
      </c>
      <c r="B42" s="2647"/>
      <c r="D42" s="2650" t="s">
        <v>1633</v>
      </c>
      <c r="E42" s="2637"/>
      <c r="F42" s="1279">
        <v>30</v>
      </c>
      <c r="G42" s="2936"/>
      <c r="H42" s="2936"/>
      <c r="I42" s="1653"/>
      <c r="J42" s="1653"/>
      <c r="K42" s="1653"/>
      <c r="L42" s="1653"/>
      <c r="M42" s="1653"/>
      <c r="N42" s="1653"/>
    </row>
    <row r="43" spans="1:14" ht="14.25">
      <c r="A43" s="2897" t="s">
        <v>1632</v>
      </c>
      <c r="B43" s="2649">
        <v>365</v>
      </c>
      <c r="D43" s="2650" t="s">
        <v>1635</v>
      </c>
      <c r="E43" s="2637"/>
      <c r="F43" s="1279">
        <v>24</v>
      </c>
      <c r="G43" s="2936"/>
      <c r="H43" s="2936"/>
      <c r="I43" s="1653"/>
      <c r="J43" s="1653"/>
      <c r="K43" s="1653"/>
      <c r="L43" s="1653"/>
      <c r="M43" s="1653"/>
      <c r="N43" s="1653"/>
    </row>
    <row r="44" spans="1:14" ht="14.25">
      <c r="A44" s="2897" t="s">
        <v>1634</v>
      </c>
      <c r="B44" s="2637"/>
      <c r="D44" s="2650" t="s">
        <v>1637</v>
      </c>
      <c r="E44" s="2637"/>
      <c r="F44" s="1279">
        <v>18</v>
      </c>
      <c r="G44" s="2642"/>
      <c r="H44" s="2642"/>
      <c r="I44" s="2936"/>
      <c r="J44" s="1653"/>
      <c r="K44" s="1653"/>
      <c r="L44" s="1653"/>
      <c r="M44" s="1653"/>
      <c r="N44" s="1653"/>
    </row>
    <row r="45" spans="1:14" ht="14.25">
      <c r="A45" s="2897" t="s">
        <v>1636</v>
      </c>
      <c r="B45" s="2651">
        <v>1.4999999999999999E-2</v>
      </c>
      <c r="C45" s="2531" t="s">
        <v>2787</v>
      </c>
      <c r="D45" s="2650" t="s">
        <v>1639</v>
      </c>
      <c r="E45" s="2637"/>
      <c r="F45" s="1279">
        <v>12</v>
      </c>
      <c r="G45" s="2642"/>
      <c r="H45" s="2642"/>
      <c r="M45" s="1653"/>
      <c r="N45" s="1653"/>
    </row>
    <row r="46" spans="1:14" ht="14.25">
      <c r="A46" s="2897" t="s">
        <v>1638</v>
      </c>
      <c r="B46" s="2652">
        <v>1.5E-3</v>
      </c>
      <c r="C46" s="2531" t="s">
        <v>2785</v>
      </c>
      <c r="D46" s="2650" t="s">
        <v>1401</v>
      </c>
      <c r="E46" s="2637"/>
      <c r="F46" s="1279">
        <v>3</v>
      </c>
      <c r="G46" s="2642"/>
      <c r="H46" s="2642"/>
      <c r="M46" s="1653"/>
      <c r="N46" s="1653"/>
    </row>
    <row r="47" spans="1:14" ht="15" thickBot="1">
      <c r="A47" s="2900" t="s">
        <v>1640</v>
      </c>
      <c r="B47" s="2653">
        <v>0.01</v>
      </c>
      <c r="C47" s="2531" t="s">
        <v>2786</v>
      </c>
      <c r="D47" s="2650" t="s">
        <v>1641</v>
      </c>
      <c r="E47" s="2637"/>
      <c r="F47" s="1279">
        <v>1.5</v>
      </c>
      <c r="G47" s="2642"/>
      <c r="H47" s="2642"/>
      <c r="M47" s="1653"/>
      <c r="N47" s="1653"/>
    </row>
    <row r="48" spans="1:14" ht="14.25">
      <c r="A48" s="2642"/>
      <c r="B48" s="2642"/>
      <c r="D48" s="2650" t="s">
        <v>1642</v>
      </c>
      <c r="E48" s="2637"/>
      <c r="F48" s="1279"/>
      <c r="G48" s="2642"/>
      <c r="H48" s="2642"/>
      <c r="M48" s="1653"/>
      <c r="N48" s="1653"/>
    </row>
    <row r="49" spans="1:41" ht="14.25">
      <c r="A49" s="2642"/>
      <c r="B49" s="2642"/>
      <c r="D49" s="2650" t="s">
        <v>1643</v>
      </c>
      <c r="E49" s="2637"/>
      <c r="F49" s="1279"/>
      <c r="G49" s="2642"/>
      <c r="H49" s="2642"/>
      <c r="M49" s="1653"/>
      <c r="N49" s="1653"/>
    </row>
    <row r="50" spans="1:41" ht="14.25">
      <c r="A50" s="2642"/>
      <c r="B50" s="2642"/>
      <c r="D50" s="2650" t="s">
        <v>1644</v>
      </c>
      <c r="E50" s="2637"/>
      <c r="F50" s="1279"/>
      <c r="G50" s="2642"/>
      <c r="H50" s="2642"/>
      <c r="M50" s="1653"/>
      <c r="N50" s="1653"/>
    </row>
    <row r="51" spans="1:41" s="945" customFormat="1" ht="15" thickBot="1">
      <c r="A51" s="2642"/>
      <c r="B51" s="2642"/>
      <c r="C51" s="2642"/>
      <c r="D51" s="2654" t="s">
        <v>1645</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0" t="s">
        <v>1646</v>
      </c>
      <c r="B1" s="3431"/>
      <c r="C1" s="3431"/>
      <c r="D1" s="3431"/>
      <c r="E1" s="3431"/>
      <c r="F1" s="3431"/>
      <c r="G1" s="3431"/>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2"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1" customWidth="1"/>
    <col min="2" max="16384" width="14.625" style="2551"/>
  </cols>
  <sheetData>
    <row r="1" spans="1:9" ht="16.5">
      <c r="A1" s="2549" t="s">
        <v>1155</v>
      </c>
      <c r="B1" s="2549">
        <f>SUM(B14:B23)</f>
        <v>58.79</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44545</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943</v>
      </c>
      <c r="C5" s="2549">
        <f ca="1">ROUND(B5*10000/$B$1,0)</f>
        <v>160401</v>
      </c>
      <c r="D5" s="2549" t="e">
        <f ca="1">ROUND(B5*10000/$B$2,0)</f>
        <v>#DIV/0!</v>
      </c>
      <c r="E5" s="1602"/>
      <c r="F5" s="2550"/>
      <c r="G5" s="2550"/>
    </row>
    <row r="6" spans="1:9" ht="16.5">
      <c r="A6" s="2549" t="s">
        <v>1163</v>
      </c>
      <c r="B6" s="2549">
        <f ca="1">SUM(G14:G23)</f>
        <v>943</v>
      </c>
      <c r="C6" s="2549">
        <f t="shared" ref="C6:C8" ca="1" si="0">ROUND(B6*10000/$B$1,0)</f>
        <v>160401</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1183</v>
      </c>
      <c r="B11" s="2553"/>
      <c r="C11" s="1602"/>
      <c r="D11" s="1602"/>
      <c r="E11" s="1602"/>
      <c r="F11" s="2550"/>
      <c r="G11" s="2550"/>
    </row>
    <row r="12" spans="1:9" ht="16.5">
      <c r="A12" s="1602"/>
      <c r="B12" s="1602"/>
      <c r="C12" s="1602"/>
      <c r="D12" s="1602"/>
      <c r="E12" s="1602"/>
      <c r="F12" s="2550"/>
      <c r="G12" s="2550"/>
    </row>
    <row r="13" spans="1:9" ht="33">
      <c r="A13" s="2554" t="s">
        <v>1182</v>
      </c>
      <c r="B13" s="2555" t="s">
        <v>1155</v>
      </c>
      <c r="C13" s="2555" t="s">
        <v>1156</v>
      </c>
      <c r="D13" s="2555" t="s">
        <v>1168</v>
      </c>
      <c r="E13" s="2549" t="s">
        <v>1160</v>
      </c>
      <c r="F13" s="2549" t="s">
        <v>1161</v>
      </c>
      <c r="G13" s="2555" t="s">
        <v>1169</v>
      </c>
      <c r="H13" s="2555" t="s">
        <v>1170</v>
      </c>
      <c r="I13" s="2555" t="s">
        <v>1171</v>
      </c>
    </row>
    <row r="14" spans="1:9" ht="16.5">
      <c r="A14" s="2854" t="s">
        <v>1181</v>
      </c>
      <c r="B14" s="2884">
        <f>项目基本情况!C12</f>
        <v>58.79</v>
      </c>
      <c r="C14" s="2884">
        <f>项目基本情况!C13</f>
        <v>0</v>
      </c>
      <c r="D14" s="2884">
        <f ca="1">IF('数据-取费表'!B3="万元",IF(A14="估价对象1（结果表）",结果表!H121,'结果表 (1修多)'!H125),IF(A14="估价对象1（结果表）",结果表!H121,'结果表 (1修多)'!H125)/10000)</f>
        <v>943</v>
      </c>
      <c r="E14" s="2884">
        <f ca="1">ROUND(D14*10000/B14,0)</f>
        <v>160401</v>
      </c>
      <c r="F14" s="2884" t="e">
        <f ca="1">ROUND(D14*10000/C14,0)</f>
        <v>#DIV/0!</v>
      </c>
      <c r="G14" s="2884">
        <f ca="1">IF('数据-取费表'!B3="万元",IF(A14="估价对象1（结果表）",结果表!D125,'结果表 (1修多)'!D129),IF(A14="估价对象1（结果表）",结果表!D125,'结果表 (1修多)'!D129)/10000)</f>
        <v>943</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1825</v>
      </c>
      <c r="B1" s="1429"/>
      <c r="C1" s="1429"/>
      <c r="D1" s="1429"/>
      <c r="E1" s="1429"/>
      <c r="F1" s="1429"/>
      <c r="G1" s="1429"/>
      <c r="H1" s="1429"/>
      <c r="I1" s="1429"/>
    </row>
    <row r="2" spans="1:15" ht="21.75" customHeight="1">
      <c r="A2" s="3529" t="s">
        <v>1826</v>
      </c>
      <c r="B2" s="3529"/>
      <c r="C2" s="3529"/>
      <c r="D2" s="3529"/>
      <c r="E2" s="3529"/>
      <c r="F2" s="3529"/>
      <c r="G2" s="3529"/>
      <c r="H2" s="3529"/>
      <c r="I2" s="3529"/>
      <c r="J2" s="2842"/>
    </row>
    <row r="3" spans="1:15" ht="12.75">
      <c r="A3" s="3530" t="s">
        <v>1654</v>
      </c>
      <c r="B3" s="3531"/>
      <c r="C3" s="3531"/>
      <c r="D3" s="3531"/>
      <c r="E3" s="3531"/>
      <c r="F3" s="3531"/>
      <c r="G3" s="3531"/>
      <c r="H3" s="3531"/>
      <c r="I3" s="3531"/>
      <c r="J3" s="2812"/>
    </row>
    <row r="4" spans="1:15" ht="14.25">
      <c r="A4" s="2680" t="s">
        <v>1655</v>
      </c>
      <c r="B4" s="2680" t="s">
        <v>1656</v>
      </c>
      <c r="C4" s="2681" t="s">
        <v>3059</v>
      </c>
      <c r="D4" s="2681" t="s">
        <v>3059</v>
      </c>
      <c r="E4" s="3448" t="s">
        <v>1827</v>
      </c>
      <c r="F4" s="3453"/>
      <c r="G4" s="3453"/>
      <c r="H4" s="3453"/>
      <c r="I4" s="3454"/>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532" t="s">
        <v>1658</v>
      </c>
      <c r="B5" s="3532">
        <v>25</v>
      </c>
      <c r="C5" s="3533"/>
      <c r="D5" s="3536"/>
      <c r="E5" s="12" t="s">
        <v>1659</v>
      </c>
      <c r="F5" s="2057"/>
      <c r="G5" s="2057"/>
      <c r="H5" s="2057"/>
      <c r="I5" s="2052"/>
      <c r="J5" s="2813"/>
    </row>
    <row r="6" spans="1:15" ht="12.75">
      <c r="A6" s="3532"/>
      <c r="B6" s="3532"/>
      <c r="C6" s="3534"/>
      <c r="D6" s="3536"/>
      <c r="E6" s="12" t="s">
        <v>1660</v>
      </c>
      <c r="F6" s="2057"/>
      <c r="G6" s="2057"/>
      <c r="H6" s="2057"/>
      <c r="I6" s="2052"/>
      <c r="J6" s="2813"/>
    </row>
    <row r="7" spans="1:15" ht="12.75">
      <c r="A7" s="3532"/>
      <c r="B7" s="3532"/>
      <c r="C7" s="3535"/>
      <c r="D7" s="3536"/>
      <c r="E7" s="12" t="s">
        <v>1661</v>
      </c>
      <c r="F7" s="2057"/>
      <c r="G7" s="2057"/>
      <c r="H7" s="2057"/>
      <c r="I7" s="2052"/>
      <c r="J7" s="2813"/>
    </row>
    <row r="8" spans="1:15" ht="12.75">
      <c r="A8" s="3532" t="s">
        <v>1662</v>
      </c>
      <c r="B8" s="3532">
        <v>15</v>
      </c>
      <c r="C8" s="3533"/>
      <c r="D8" s="3536"/>
      <c r="E8" s="12" t="s">
        <v>1663</v>
      </c>
      <c r="F8" s="2057"/>
      <c r="G8" s="2057"/>
      <c r="H8" s="2057"/>
      <c r="I8" s="2052"/>
      <c r="J8" s="2813"/>
    </row>
    <row r="9" spans="1:15" ht="12.75">
      <c r="A9" s="3532"/>
      <c r="B9" s="3532"/>
      <c r="C9" s="3535"/>
      <c r="D9" s="3536"/>
      <c r="E9" s="12" t="s">
        <v>1664</v>
      </c>
      <c r="F9" s="2057"/>
      <c r="G9" s="2057"/>
      <c r="H9" s="2057"/>
      <c r="I9" s="2052"/>
      <c r="J9" s="2813"/>
    </row>
    <row r="10" spans="1:15" ht="12.75">
      <c r="A10" s="3532" t="s">
        <v>1665</v>
      </c>
      <c r="B10" s="3532">
        <v>15</v>
      </c>
      <c r="C10" s="3533"/>
      <c r="D10" s="3536"/>
      <c r="E10" s="12" t="s">
        <v>1666</v>
      </c>
      <c r="F10" s="2057"/>
      <c r="G10" s="2057"/>
      <c r="H10" s="2057"/>
      <c r="I10" s="2052"/>
      <c r="J10" s="2813"/>
    </row>
    <row r="11" spans="1:15" ht="12.75">
      <c r="A11" s="3532"/>
      <c r="B11" s="3532"/>
      <c r="C11" s="3535"/>
      <c r="D11" s="3536"/>
      <c r="E11" s="12" t="s">
        <v>1667</v>
      </c>
      <c r="F11" s="2057"/>
      <c r="G11" s="2057"/>
      <c r="H11" s="2057"/>
      <c r="I11" s="2052"/>
      <c r="J11" s="2813"/>
    </row>
    <row r="12" spans="1:15" ht="12.75">
      <c r="A12" s="3532" t="s">
        <v>1668</v>
      </c>
      <c r="B12" s="3532">
        <v>15</v>
      </c>
      <c r="C12" s="3533"/>
      <c r="D12" s="3536"/>
      <c r="E12" s="12" t="s">
        <v>1669</v>
      </c>
      <c r="F12" s="2057"/>
      <c r="G12" s="2057"/>
      <c r="H12" s="2057"/>
      <c r="I12" s="2052"/>
      <c r="J12" s="2813"/>
    </row>
    <row r="13" spans="1:15" ht="12.75">
      <c r="A13" s="3532"/>
      <c r="B13" s="3532"/>
      <c r="C13" s="3535"/>
      <c r="D13" s="3536"/>
      <c r="E13" s="12" t="s">
        <v>1670</v>
      </c>
      <c r="F13" s="2057"/>
      <c r="G13" s="2057"/>
      <c r="H13" s="2057"/>
      <c r="I13" s="2052"/>
      <c r="J13" s="2813"/>
    </row>
    <row r="14" spans="1:15" ht="12.75">
      <c r="A14" s="3532" t="s">
        <v>1671</v>
      </c>
      <c r="B14" s="3532">
        <v>30</v>
      </c>
      <c r="C14" s="3533">
        <v>1</v>
      </c>
      <c r="D14" s="3536">
        <v>1</v>
      </c>
      <c r="E14" s="12" t="s">
        <v>1672</v>
      </c>
      <c r="F14" s="2057"/>
      <c r="G14" s="2057"/>
      <c r="H14" s="2057"/>
      <c r="I14" s="2052"/>
      <c r="J14" s="2813"/>
    </row>
    <row r="15" spans="1:15" ht="12.75">
      <c r="A15" s="3532"/>
      <c r="B15" s="3532"/>
      <c r="C15" s="3534"/>
      <c r="D15" s="3536"/>
      <c r="E15" s="12" t="s">
        <v>1673</v>
      </c>
      <c r="F15" s="2057"/>
      <c r="G15" s="2057"/>
      <c r="H15" s="2057"/>
      <c r="I15" s="2052"/>
      <c r="J15" s="2813"/>
    </row>
    <row r="16" spans="1:15" ht="12.75">
      <c r="A16" s="3532"/>
      <c r="B16" s="3532"/>
      <c r="C16" s="3535"/>
      <c r="D16" s="3536"/>
      <c r="E16" s="12" t="s">
        <v>1674</v>
      </c>
      <c r="F16" s="2057"/>
      <c r="G16" s="2057"/>
      <c r="H16" s="2057"/>
      <c r="I16" s="2052"/>
      <c r="J16" s="2813"/>
    </row>
    <row r="17" spans="1:36" ht="15">
      <c r="A17" s="2682" t="s">
        <v>1675</v>
      </c>
      <c r="B17" s="2062"/>
      <c r="C17" s="2683">
        <f>SUM(C5:C16)</f>
        <v>1</v>
      </c>
      <c r="D17" s="2683">
        <f>SUM(D5:D16)</f>
        <v>1</v>
      </c>
      <c r="E17" s="2531"/>
      <c r="F17" s="2531"/>
      <c r="G17" s="2531"/>
      <c r="H17" s="2531"/>
      <c r="I17" s="2531"/>
      <c r="J17" s="2814"/>
    </row>
    <row r="18" spans="1:36" ht="32.450000000000003" customHeight="1" thickBot="1">
      <c r="A18" s="2684" t="s">
        <v>1676</v>
      </c>
      <c r="B18" s="2685"/>
      <c r="C18" s="2686">
        <f>ROUND(C17/SUM(C17:D17),2)</f>
        <v>0.5</v>
      </c>
      <c r="D18" s="2686">
        <f>1-C18</f>
        <v>0.5</v>
      </c>
      <c r="E18" s="3541" t="s">
        <v>2760</v>
      </c>
      <c r="F18" s="3542"/>
      <c r="G18" s="3542"/>
      <c r="H18" s="3542"/>
      <c r="I18" s="3542"/>
      <c r="J18" s="2814"/>
    </row>
    <row r="19" spans="1:36" ht="15">
      <c r="A19" s="2687" t="s">
        <v>1677</v>
      </c>
      <c r="B19" s="2688" t="s">
        <v>1678</v>
      </c>
      <c r="C19" s="2689">
        <f ca="1">SUMIF(INDIRECT("'"&amp;C4&amp;"'"&amp;"!A:A"),'结果表 (1修多)'!B19,INDIRECT("'"&amp;C4&amp;"'"&amp;"!B:B"))</f>
        <v>943</v>
      </c>
      <c r="D19" s="2690">
        <f ca="1">SUMIF(INDIRECT("'"&amp;D4&amp;"'"&amp;"!A:A"),'结果表 (1修多)'!B19,INDIRECT("'"&amp;D4&amp;"'"&amp;"!B:B"))</f>
        <v>943</v>
      </c>
      <c r="E19" s="2687" t="s">
        <v>1679</v>
      </c>
      <c r="F19" s="2688" t="s">
        <v>1678</v>
      </c>
      <c r="G19" s="2691">
        <f ca="1">ROUND(C19*$C$18+D19*$D$18,0)</f>
        <v>943</v>
      </c>
      <c r="H19" s="2692" t="str">
        <f>'数据-取费表'!B3</f>
        <v>万元</v>
      </c>
      <c r="I19" s="2531"/>
      <c r="J19" s="2814"/>
    </row>
    <row r="20" spans="1:36" ht="15">
      <c r="A20" s="2693"/>
      <c r="B20" s="1662" t="s">
        <v>1680</v>
      </c>
      <c r="C20" s="1887">
        <f ca="1">SUMIF(INDIRECT("'"&amp;C4&amp;"'"&amp;"!A:A"),'结果表 (1修多)'!B20,INDIRECT("'"&amp;C4&amp;"'"&amp;"!B:B"))</f>
        <v>19062</v>
      </c>
      <c r="D20" s="1890">
        <f ca="1">SUMIF(INDIRECT("'"&amp;D4&amp;"'"&amp;"!A:A"),'结果表 (1修多)'!B20,INDIRECT("'"&amp;D4&amp;"'"&amp;"!B:B"))</f>
        <v>19062</v>
      </c>
      <c r="E20" s="2693"/>
      <c r="F20" s="1662" t="s">
        <v>1680</v>
      </c>
      <c r="G20" s="2061">
        <f ca="1">ROUND(C20*$C$18+D20*$D$18,0)</f>
        <v>19062</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37" t="s">
        <v>1683</v>
      </c>
      <c r="B24" s="2688" t="s">
        <v>1678</v>
      </c>
      <c r="C24" s="2691">
        <f>D30</f>
        <v>0</v>
      </c>
      <c r="D24" s="2643"/>
      <c r="E24" s="945"/>
      <c r="F24" s="945"/>
      <c r="G24" s="945"/>
      <c r="H24" s="945"/>
      <c r="I24" s="945"/>
      <c r="J24" s="2814"/>
    </row>
    <row r="25" spans="1:36" ht="21.75" customHeight="1">
      <c r="A25" s="3538"/>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t="s">
        <v>1828</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1829</v>
      </c>
      <c r="B30" s="2742"/>
      <c r="C30" s="2742"/>
      <c r="D30" s="2742"/>
      <c r="E30" s="2709" t="s">
        <v>2764</v>
      </c>
      <c r="F30" s="2531"/>
      <c r="G30" s="2531"/>
      <c r="H30" s="2531"/>
      <c r="I30" s="2531"/>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440" t="s">
        <v>1830</v>
      </c>
      <c r="B32" s="3440"/>
      <c r="C32" s="3440"/>
      <c r="D32" s="3440"/>
      <c r="E32" s="3440"/>
      <c r="F32" s="3440"/>
      <c r="G32" s="3440"/>
      <c r="H32" s="3440"/>
      <c r="I32" s="3440"/>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1831</v>
      </c>
      <c r="C33" s="2744">
        <f ca="1">典型户型修正!R27</f>
        <v>20410</v>
      </c>
      <c r="D33" s="2531" t="s">
        <v>1832</v>
      </c>
      <c r="E33" s="945"/>
      <c r="F33" s="945"/>
      <c r="G33" s="945"/>
      <c r="H33" s="945"/>
      <c r="I33" s="945"/>
      <c r="J33" s="2814"/>
    </row>
    <row r="34" spans="1:16" ht="15">
      <c r="A34" s="1480" t="s">
        <v>1833</v>
      </c>
      <c r="B34" s="2745" t="s">
        <v>1834</v>
      </c>
      <c r="C34" s="2746">
        <f ca="1">典型户型修正!B2</f>
        <v>943</v>
      </c>
      <c r="D34" s="2747" t="str">
        <f>IF('数据-取费表'!B3="万元","万元","元")</f>
        <v>万元</v>
      </c>
      <c r="E34" s="945"/>
      <c r="F34" s="945"/>
      <c r="G34" s="945"/>
      <c r="H34" s="945"/>
      <c r="I34" s="945"/>
      <c r="J34" s="2814"/>
    </row>
    <row r="35" spans="1:16" ht="15.75" thickBot="1">
      <c r="A35" s="1481"/>
      <c r="B35" s="2748" t="s">
        <v>1835</v>
      </c>
      <c r="C35" s="2697">
        <f ca="1">典型户型修正!B3</f>
        <v>19062</v>
      </c>
      <c r="D35" s="2531" t="s">
        <v>1836</v>
      </c>
      <c r="E35" s="945"/>
      <c r="F35" s="945"/>
      <c r="G35" s="945"/>
      <c r="H35" s="945"/>
      <c r="I35" s="945"/>
      <c r="J35" s="2814"/>
    </row>
    <row r="36" spans="1:16" ht="15">
      <c r="A36" s="1482"/>
      <c r="B36" s="1436" t="s">
        <v>1837</v>
      </c>
      <c r="C36" s="2749">
        <f>IF('数据-取费表'!B3="万元",典型户型修正!V25,典型户型修正!U25)</f>
        <v>0</v>
      </c>
      <c r="D36" s="2531" t="str">
        <f>D34</f>
        <v>万元</v>
      </c>
      <c r="E36" s="945"/>
      <c r="F36" s="945"/>
      <c r="G36" s="945"/>
      <c r="H36" s="945"/>
      <c r="I36" s="945"/>
      <c r="J36" s="2814"/>
    </row>
    <row r="37" spans="1:16" ht="15.75" thickBot="1">
      <c r="A37" s="1435"/>
      <c r="B37" s="1437" t="s">
        <v>1838</v>
      </c>
      <c r="C37" s="2750">
        <f>IF('数据-取费表'!B3="万元",典型户型修正!Y25,典型户型修正!X25)</f>
        <v>0</v>
      </c>
      <c r="D37" s="2531" t="str">
        <f>D34</f>
        <v>万元</v>
      </c>
      <c r="E37" s="945"/>
      <c r="F37" s="945"/>
      <c r="G37" s="945"/>
      <c r="H37" s="945"/>
      <c r="I37" s="945"/>
      <c r="J37" s="2814"/>
    </row>
    <row r="38" spans="1:16" ht="15.75" thickBot="1">
      <c r="A38" s="3537" t="s">
        <v>1839</v>
      </c>
      <c r="B38" s="1436" t="s">
        <v>1840</v>
      </c>
      <c r="C38" s="2724"/>
      <c r="D38" s="2725"/>
      <c r="E38" s="1648"/>
      <c r="F38" s="1648"/>
      <c r="G38" s="945"/>
      <c r="H38" s="945"/>
      <c r="I38" s="945"/>
      <c r="J38" s="2814"/>
    </row>
    <row r="39" spans="1:16" ht="15.75" thickBot="1">
      <c r="A39" s="3539"/>
      <c r="B39" s="2062" t="s">
        <v>1841</v>
      </c>
      <c r="C39" s="2726"/>
      <c r="D39" s="1279"/>
      <c r="E39" s="1279"/>
      <c r="F39" s="1648"/>
      <c r="G39" s="1279"/>
      <c r="H39" s="1279"/>
      <c r="I39" s="1279"/>
      <c r="J39" s="2818"/>
    </row>
    <row r="40" spans="1:16" ht="15.75" thickBot="1">
      <c r="A40" s="3540"/>
      <c r="B40" s="1437" t="s">
        <v>1842</v>
      </c>
      <c r="C40" s="2727"/>
      <c r="D40" s="2728" t="s">
        <v>1843</v>
      </c>
      <c r="E40" s="1279"/>
      <c r="F40" s="1648"/>
      <c r="G40" s="1279"/>
      <c r="H40" s="1279"/>
      <c r="I40" s="1279"/>
      <c r="J40" s="2818"/>
    </row>
    <row r="41" spans="1:16" ht="15">
      <c r="A41" s="2693" t="s">
        <v>1844</v>
      </c>
      <c r="B41" s="2729" t="s">
        <v>1845</v>
      </c>
      <c r="C41" s="2730" t="s">
        <v>1846</v>
      </c>
      <c r="D41" s="2730" t="s">
        <v>1847</v>
      </c>
      <c r="E41" s="2731" t="s">
        <v>1848</v>
      </c>
      <c r="F41" s="1648"/>
      <c r="G41" s="1279"/>
      <c r="H41" s="1279"/>
      <c r="I41" s="1279"/>
      <c r="J41" s="2818"/>
    </row>
    <row r="42" spans="1:16" ht="14.25">
      <c r="A42" s="2732" t="s">
        <v>1849</v>
      </c>
      <c r="B42" s="2733"/>
      <c r="C42" s="2734"/>
      <c r="D42" s="2734"/>
      <c r="E42" s="2735"/>
      <c r="F42" s="1648"/>
      <c r="G42" s="1279"/>
      <c r="H42" s="1279"/>
      <c r="I42" s="1279"/>
      <c r="J42" s="2818"/>
    </row>
    <row r="43" spans="1:16" ht="14.25">
      <c r="A43" s="2732" t="s">
        <v>1850</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1851</v>
      </c>
      <c r="B46" s="1440"/>
      <c r="C46" s="1440"/>
      <c r="D46" s="2751"/>
      <c r="E46" s="2751"/>
      <c r="F46" s="2751"/>
      <c r="G46" s="2751"/>
      <c r="H46" s="2751"/>
      <c r="I46" s="2808" t="s">
        <v>2759</v>
      </c>
      <c r="J46" s="2844"/>
      <c r="K46" s="1443" t="s">
        <v>1706</v>
      </c>
      <c r="L46" s="1444"/>
      <c r="M46" s="1444"/>
      <c r="N46" s="1444"/>
      <c r="O46" s="1444"/>
      <c r="P46" s="1444"/>
    </row>
    <row r="47" spans="1:16" ht="14.25" customHeight="1" thickBot="1">
      <c r="A47" s="3443" t="s">
        <v>1852</v>
      </c>
      <c r="B47" s="3444"/>
      <c r="C47" s="3470"/>
      <c r="D47" s="246">
        <f ca="1">ROUND(I104*F47,0)</f>
        <v>943</v>
      </c>
      <c r="E47" s="1510" t="s">
        <v>1853</v>
      </c>
      <c r="F47" s="2529">
        <v>1</v>
      </c>
      <c r="G47" s="2530" t="s">
        <v>1854</v>
      </c>
      <c r="H47" s="945"/>
      <c r="I47" s="945"/>
      <c r="J47" s="2814"/>
      <c r="K47" s="3544" t="s">
        <v>1710</v>
      </c>
      <c r="L47" s="3544"/>
      <c r="M47" s="3544"/>
      <c r="N47" s="3544"/>
      <c r="O47" s="3544"/>
      <c r="P47" s="3544"/>
    </row>
    <row r="48" spans="1:16" ht="14.25" customHeight="1">
      <c r="A48" s="3545" t="s">
        <v>1711</v>
      </c>
      <c r="B48" s="3546"/>
      <c r="C48" s="3546"/>
      <c r="D48" s="3546"/>
      <c r="E48" s="3546"/>
      <c r="F48" s="3546"/>
      <c r="G48" s="3547"/>
      <c r="H48" s="2946"/>
      <c r="I48" s="945"/>
      <c r="J48" s="2814"/>
      <c r="K48" s="2481">
        <v>1</v>
      </c>
      <c r="L48" s="3523" t="s">
        <v>1712</v>
      </c>
      <c r="M48" s="3523"/>
      <c r="N48" s="3548"/>
      <c r="O48" s="3548"/>
      <c r="P48" s="3548"/>
    </row>
    <row r="49" spans="1:17" ht="12" customHeight="1">
      <c r="A49" s="38" t="s">
        <v>1713</v>
      </c>
      <c r="B49" s="39"/>
      <c r="C49" s="40"/>
      <c r="D49" s="1068" t="s">
        <v>1714</v>
      </c>
      <c r="E49" s="235" t="s">
        <v>1715</v>
      </c>
      <c r="F49" s="41" t="s">
        <v>1716</v>
      </c>
      <c r="G49" s="2532" t="s">
        <v>1717</v>
      </c>
      <c r="H49" s="2946"/>
      <c r="I49" s="945"/>
      <c r="J49" s="2814"/>
      <c r="K49" s="2481">
        <v>2</v>
      </c>
      <c r="L49" s="3523" t="s">
        <v>1718</v>
      </c>
      <c r="M49" s="3523"/>
      <c r="N49" s="3549">
        <f>'数据-取费表'!B2</f>
        <v>44545</v>
      </c>
      <c r="O49" s="3549"/>
      <c r="P49" s="3549"/>
    </row>
    <row r="50" spans="1:17" ht="25.5">
      <c r="A50" s="3550" t="s">
        <v>1719</v>
      </c>
      <c r="B50" s="3447"/>
      <c r="C50" s="3447"/>
      <c r="D50" s="12">
        <f ca="1">IF(H50="情况1",0,IF(H50="情况2",D54,IF(H50="情况3",D55,IF(H50="情况4",D56))))</f>
        <v>49</v>
      </c>
      <c r="E50" s="2060" t="str">
        <f>IF(H50="情况4","(销售额-原购置价)×税（费）率","销售额×税（费）率")</f>
        <v>销售额×税（费）率</v>
      </c>
      <c r="F50" s="2533">
        <f>IF(H50="情况1","免征",'数据-取费表'!E29)</f>
        <v>5.5000000000000007E-2</v>
      </c>
      <c r="G50" s="2534" t="s">
        <v>1720</v>
      </c>
      <c r="H50" s="2535" t="s">
        <v>1721</v>
      </c>
      <c r="I50" s="2946"/>
      <c r="J50" s="2821"/>
      <c r="K50" s="2481">
        <v>3</v>
      </c>
      <c r="L50" s="3523" t="s">
        <v>1722</v>
      </c>
      <c r="M50" s="3523"/>
      <c r="N50" s="3524">
        <f ca="1">I104</f>
        <v>943</v>
      </c>
      <c r="O50" s="3524"/>
      <c r="P50" s="3524"/>
    </row>
    <row r="51" spans="1:17" ht="25.5" customHeight="1">
      <c r="A51" s="2059" t="s">
        <v>1723</v>
      </c>
      <c r="B51" s="3453" t="s">
        <v>1724</v>
      </c>
      <c r="C51" s="3453"/>
      <c r="D51" s="2536">
        <v>0</v>
      </c>
      <c r="E51" s="261" t="s">
        <v>1725</v>
      </c>
      <c r="F51" s="2537" t="s">
        <v>48</v>
      </c>
      <c r="G51" s="3525"/>
      <c r="H51" s="2538" t="s">
        <v>2684</v>
      </c>
      <c r="I51" s="2539"/>
      <c r="J51" s="2822"/>
      <c r="K51" s="2481">
        <v>4</v>
      </c>
      <c r="L51" s="3523" t="str">
        <f>IF(项目基本情况!F5="房地产抵押价值","房地产抵押价值","抵押担保权已注销时的房地产抵押价值")</f>
        <v>房地产抵押价值</v>
      </c>
      <c r="M51" s="3523"/>
      <c r="N51" s="3524">
        <f ca="1">IF(项目基本情况!F5="房地产抵押价值",I112,I114)</f>
        <v>943</v>
      </c>
      <c r="O51" s="3524"/>
      <c r="P51" s="3524"/>
    </row>
    <row r="52" spans="1:17" ht="25.5" customHeight="1">
      <c r="A52" s="2049"/>
      <c r="B52" s="3453" t="s">
        <v>1726</v>
      </c>
      <c r="C52" s="3453"/>
      <c r="D52" s="2540"/>
      <c r="E52" s="269"/>
      <c r="F52" s="2537"/>
      <c r="G52" s="3526"/>
      <c r="H52" s="2541" t="s">
        <v>2685</v>
      </c>
      <c r="I52" s="2539"/>
      <c r="J52" s="2822"/>
      <c r="K52" s="3523" t="s">
        <v>1727</v>
      </c>
      <c r="L52" s="3523"/>
      <c r="M52" s="3523"/>
      <c r="N52" s="3523"/>
      <c r="O52" s="3523"/>
      <c r="P52" s="3523"/>
    </row>
    <row r="53" spans="1:17" ht="20.45" customHeight="1">
      <c r="A53" s="2542"/>
      <c r="B53" s="3453" t="s">
        <v>1728</v>
      </c>
      <c r="C53" s="3453"/>
      <c r="D53" s="1068"/>
      <c r="E53" s="264"/>
      <c r="F53" s="2537"/>
      <c r="G53" s="3527"/>
      <c r="H53" s="2541" t="s">
        <v>2686</v>
      </c>
      <c r="I53" s="2539"/>
      <c r="J53" s="2822"/>
      <c r="K53" s="2482" t="s">
        <v>1729</v>
      </c>
      <c r="L53" s="3523" t="s">
        <v>1730</v>
      </c>
      <c r="M53" s="3523"/>
      <c r="N53" s="2482" t="s">
        <v>1731</v>
      </c>
      <c r="O53" s="2482" t="s">
        <v>1732</v>
      </c>
      <c r="P53" s="2482" t="s">
        <v>1733</v>
      </c>
    </row>
    <row r="54" spans="1:17" ht="24" customHeight="1">
      <c r="A54" s="2050" t="s">
        <v>1734</v>
      </c>
      <c r="B54" s="3453" t="s">
        <v>1735</v>
      </c>
      <c r="C54" s="3453"/>
      <c r="D54" s="1068">
        <f ca="1">ROUND(D47*'数据-取费表'!E29/(1+'数据-取费表'!F30),0)</f>
        <v>49</v>
      </c>
      <c r="E54" s="2060" t="s">
        <v>1736</v>
      </c>
      <c r="F54" s="2543">
        <f>'数据-取费表'!E29</f>
        <v>5.5000000000000007E-2</v>
      </c>
      <c r="G54" s="2544"/>
      <c r="H54" s="945"/>
      <c r="I54" s="2947"/>
      <c r="J54" s="2822"/>
      <c r="K54" s="2481">
        <v>1</v>
      </c>
      <c r="L54" s="3519" t="s">
        <v>1737</v>
      </c>
      <c r="M54" s="3519"/>
      <c r="N54" s="2483">
        <f ca="1">D50</f>
        <v>49</v>
      </c>
      <c r="O54" s="2481" t="str">
        <f>E50</f>
        <v>销售额×税（费）率</v>
      </c>
      <c r="P54" s="2484">
        <f>F50</f>
        <v>5.5000000000000007E-2</v>
      </c>
    </row>
    <row r="55" spans="1:17" ht="12" customHeight="1">
      <c r="A55" s="2050" t="s">
        <v>1738</v>
      </c>
      <c r="B55" s="3448" t="s">
        <v>2778</v>
      </c>
      <c r="C55" s="3454"/>
      <c r="D55" s="1068">
        <f ca="1">ROUND(D47*'数据-取费表'!E29/(1+'数据-取费表'!F30),0)</f>
        <v>49</v>
      </c>
      <c r="E55" s="2060" t="s">
        <v>1736</v>
      </c>
      <c r="F55" s="2543">
        <f>'数据-取费表'!E29</f>
        <v>5.5000000000000007E-2</v>
      </c>
      <c r="G55" s="2544"/>
      <c r="H55" s="945"/>
      <c r="I55" s="2947"/>
      <c r="J55" s="2822"/>
      <c r="K55" s="2481">
        <v>2</v>
      </c>
      <c r="L55" s="3519" t="s">
        <v>1739</v>
      </c>
      <c r="M55" s="3519"/>
      <c r="N55" s="2483">
        <f t="shared" ref="N55:P56" ca="1" si="1">D57</f>
        <v>0</v>
      </c>
      <c r="O55" s="2481" t="str">
        <f t="shared" si="1"/>
        <v>销售额×税（费）率</v>
      </c>
      <c r="P55" s="2484">
        <f t="shared" si="1"/>
        <v>5.0000000000000001E-4</v>
      </c>
    </row>
    <row r="56" spans="1:17" ht="12" customHeight="1">
      <c r="A56" s="2050" t="s">
        <v>1740</v>
      </c>
      <c r="B56" s="3448" t="s">
        <v>2779</v>
      </c>
      <c r="C56" s="3454"/>
      <c r="D56" s="1068">
        <f ca="1">C70</f>
        <v>49</v>
      </c>
      <c r="E56" s="264" t="s">
        <v>1741</v>
      </c>
      <c r="F56" s="2543">
        <f>'数据-取费表'!E29</f>
        <v>5.5000000000000007E-2</v>
      </c>
      <c r="G56" s="2544"/>
      <c r="H56" s="2948"/>
      <c r="I56" s="2947"/>
      <c r="J56" s="2822"/>
      <c r="K56" s="2481">
        <v>3</v>
      </c>
      <c r="L56" s="3519" t="s">
        <v>1742</v>
      </c>
      <c r="M56" s="3519"/>
      <c r="N56" s="2483">
        <f t="shared" ca="1" si="1"/>
        <v>535</v>
      </c>
      <c r="O56" s="2481" t="str">
        <f t="shared" si="1"/>
        <v>增值额×税（费）率</v>
      </c>
      <c r="P56" s="2485" t="str">
        <f t="shared" si="1"/>
        <v>——</v>
      </c>
    </row>
    <row r="57" spans="1:17" ht="24" customHeight="1">
      <c r="A57" s="3446" t="s">
        <v>1743</v>
      </c>
      <c r="B57" s="3447"/>
      <c r="C57" s="3447"/>
      <c r="D57" s="12">
        <f ca="1">IF(H57="个人住宅",0,ROUND(D47*I57,0))</f>
        <v>0</v>
      </c>
      <c r="E57" s="2060" t="s">
        <v>1744</v>
      </c>
      <c r="F57" s="2543">
        <f>IF(H57="正常",I57,"免征")</f>
        <v>5.0000000000000001E-4</v>
      </c>
      <c r="G57" s="2544"/>
      <c r="H57" s="2535" t="s">
        <v>1745</v>
      </c>
      <c r="I57" s="74">
        <f>'数据-取费表'!E37</f>
        <v>5.0000000000000001E-4</v>
      </c>
      <c r="J57" s="2822"/>
      <c r="K57" s="2481">
        <f>IF(H61="非个人房产","",4)</f>
        <v>4</v>
      </c>
      <c r="L57" s="3519" t="str">
        <f>IF(H61="非个人房产","——","个人所得税")</f>
        <v>个人所得税</v>
      </c>
      <c r="M57" s="3519"/>
      <c r="N57" s="2486">
        <f ca="1">D61</f>
        <v>9</v>
      </c>
      <c r="O57" s="2487" t="str">
        <f>E61</f>
        <v>销售额×税（费）率</v>
      </c>
      <c r="P57" s="2488">
        <f>F61</f>
        <v>0.01</v>
      </c>
    </row>
    <row r="58" spans="1:17" ht="24.75">
      <c r="A58" s="3446" t="s">
        <v>1746</v>
      </c>
      <c r="B58" s="3447"/>
      <c r="C58" s="3447"/>
      <c r="D58" s="12">
        <f ca="1">IF(H58="个人住宅",D59,D60)</f>
        <v>535</v>
      </c>
      <c r="E58" s="2060" t="s">
        <v>1747</v>
      </c>
      <c r="F58" s="2543" t="str">
        <f>IF(H58="正常",F60,"免征")</f>
        <v>——</v>
      </c>
      <c r="G58" s="2545" t="s">
        <v>1748</v>
      </c>
      <c r="H58" s="2546" t="s">
        <v>1745</v>
      </c>
      <c r="I58" s="2949"/>
      <c r="J58" s="2822"/>
      <c r="K58" s="2481" t="str">
        <f>IF(项目基本情况!I6="上海银行",IF(K57="",4,K57+1),"")</f>
        <v/>
      </c>
      <c r="L58" s="3521" t="str">
        <f>IF(项目基本情况!I6="上海银行","其他处置费用","")</f>
        <v/>
      </c>
      <c r="M58" s="3522"/>
      <c r="N58" s="2483" t="str">
        <f>IF(项目基本情况!I6="上海银行",N71,"")</f>
        <v/>
      </c>
      <c r="O58" s="3521" t="str">
        <f>IF(项目基本情况!I6="上海银行","包含处置中涉及的律师、诉讼、拍卖、评估等费用","")</f>
        <v/>
      </c>
      <c r="P58" s="3528"/>
    </row>
    <row r="59" spans="1:17" ht="12.75">
      <c r="A59" s="2050" t="s">
        <v>1723</v>
      </c>
      <c r="B59" s="3448" t="s">
        <v>1749</v>
      </c>
      <c r="C59" s="3454"/>
      <c r="D59" s="2536">
        <v>0</v>
      </c>
      <c r="E59" s="261" t="s">
        <v>1725</v>
      </c>
      <c r="F59" s="235"/>
      <c r="G59" s="2544"/>
      <c r="H59" s="2949"/>
      <c r="I59" s="2949"/>
      <c r="J59" s="2822"/>
      <c r="K59" s="3519">
        <f>IF(AND(K57="",K58=""),4,IF(项目基本情况!I6="上海银行",K58+1,K57+1))</f>
        <v>5</v>
      </c>
      <c r="L59" s="3519" t="s">
        <v>1750</v>
      </c>
      <c r="M59" s="2489" t="s">
        <v>1751</v>
      </c>
      <c r="N59" s="2490"/>
      <c r="O59" s="2491">
        <f ca="1">SUMIF(N54:N58,"&lt;9e307")</f>
        <v>593</v>
      </c>
      <c r="P59" s="2492"/>
      <c r="Q59" s="1274">
        <f ca="1">O59/N51</f>
        <v>0.62884411452810185</v>
      </c>
    </row>
    <row r="60" spans="1:17" ht="24.75">
      <c r="A60" s="2050" t="s">
        <v>1734</v>
      </c>
      <c r="B60" s="3448" t="s">
        <v>1752</v>
      </c>
      <c r="C60" s="3453"/>
      <c r="D60" s="12">
        <f ca="1">IF(H60="转让取得",C83,C99)</f>
        <v>535</v>
      </c>
      <c r="E60" s="2060" t="s">
        <v>1747</v>
      </c>
      <c r="F60" s="235" t="s">
        <v>48</v>
      </c>
      <c r="G60" s="2544"/>
      <c r="H60" s="2546" t="s">
        <v>1753</v>
      </c>
      <c r="I60" s="2949"/>
      <c r="J60" s="2822"/>
      <c r="K60" s="3519"/>
      <c r="L60" s="3519"/>
      <c r="M60" s="2489" t="s">
        <v>1754</v>
      </c>
      <c r="N60" s="2493"/>
      <c r="O60" s="2494" t="str">
        <f ca="1">IF(H19="元",NUMBERSTRING(INT(O59),2)&amp;"元整",NUMBERSTRING(INT(O59*10000),2)&amp;"元整")</f>
        <v>伍佰玖拾叁万元整</v>
      </c>
      <c r="P60" s="2495"/>
    </row>
    <row r="61" spans="1:17" ht="26.25" thickBot="1">
      <c r="A61" s="3432" t="s">
        <v>1755</v>
      </c>
      <c r="B61" s="3433"/>
      <c r="C61" s="3433"/>
      <c r="D61" s="69">
        <f ca="1">IF(H61="非个人房产","——",IF(H61="个人住宅（满五唯一有凭证）",0,IF(H61="个人其他（无凭证）",ROUND(D47*F61,0),ROUND(C69*F61,0))))</f>
        <v>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4" t="s">
        <v>2683</v>
      </c>
      <c r="I61" s="2850" t="s">
        <v>2769</v>
      </c>
      <c r="J61" s="2822"/>
      <c r="K61" s="3517">
        <f>K59+1</f>
        <v>6</v>
      </c>
      <c r="L61" s="3519" t="s">
        <v>1756</v>
      </c>
      <c r="M61" s="2481" t="s">
        <v>1751</v>
      </c>
      <c r="N61" s="2496"/>
      <c r="O61" s="2497">
        <f ca="1">N51-O59</f>
        <v>350</v>
      </c>
      <c r="P61" s="2498"/>
    </row>
    <row r="62" spans="1:17" ht="12" customHeight="1">
      <c r="A62" s="1425"/>
      <c r="B62" s="2531"/>
      <c r="C62" s="2531"/>
      <c r="D62" s="2531"/>
      <c r="E62" s="1425"/>
      <c r="F62" s="2949"/>
      <c r="G62" s="2949"/>
      <c r="H62" s="2944"/>
      <c r="I62" s="945"/>
      <c r="J62" s="2822"/>
      <c r="K62" s="3518"/>
      <c r="L62" s="3519"/>
      <c r="M62" s="2489" t="s">
        <v>1754</v>
      </c>
      <c r="N62" s="2493"/>
      <c r="O62" s="2494" t="str">
        <f ca="1">IF(H19="元",NUMBERSTRING(INT(O61),2)&amp;"元整",NUMBERSTRING(INT(O61*10000),2)&amp;"元整")</f>
        <v>叁佰伍拾万元整</v>
      </c>
      <c r="P62" s="2495"/>
    </row>
    <row r="63" spans="1:17" ht="13.5" thickBot="1">
      <c r="A63" s="3520" t="s">
        <v>1757</v>
      </c>
      <c r="B63" s="3520"/>
      <c r="C63" s="3520"/>
      <c r="D63" s="3520"/>
      <c r="E63" s="3520"/>
      <c r="F63" s="2949"/>
      <c r="G63" s="2949"/>
      <c r="H63" s="2944"/>
      <c r="I63" s="945"/>
      <c r="J63" s="2814"/>
      <c r="K63" s="2481">
        <f>K61+1</f>
        <v>7</v>
      </c>
      <c r="L63" s="3519" t="s">
        <v>1758</v>
      </c>
      <c r="M63" s="3519"/>
      <c r="N63" s="2499"/>
      <c r="O63" s="2500">
        <f ca="1">IF(H19="元",ROUND(O61/项目基本情况!C12,0),ROUND(O61*10000/项目基本情况!C12,0))</f>
        <v>59534</v>
      </c>
      <c r="P63" s="2501"/>
    </row>
    <row r="64" spans="1:17" ht="12.75">
      <c r="A64" s="3501" t="s">
        <v>1759</v>
      </c>
      <c r="B64" s="3502"/>
      <c r="C64" s="1575"/>
      <c r="D64" s="1575" t="s">
        <v>1760</v>
      </c>
      <c r="E64" s="45" t="s">
        <v>1761</v>
      </c>
      <c r="F64" s="2949"/>
      <c r="G64" s="2949"/>
      <c r="H64" s="2944"/>
      <c r="I64" s="945"/>
      <c r="J64" s="2814"/>
      <c r="K64" s="1276"/>
      <c r="L64" s="1276"/>
      <c r="M64" s="1276"/>
      <c r="N64" s="1276"/>
      <c r="O64" s="1276"/>
    </row>
    <row r="65" spans="1:36" ht="12.75">
      <c r="A65" s="46">
        <v>1</v>
      </c>
      <c r="B65" s="47" t="s">
        <v>1762</v>
      </c>
      <c r="C65" s="2753">
        <f ca="1">ROUND((C66+C67)/(1+'数据-取费表'!F30),0)</f>
        <v>898</v>
      </c>
      <c r="D65" s="47"/>
      <c r="E65" s="48"/>
      <c r="F65" s="2949"/>
      <c r="G65" s="2949"/>
      <c r="H65" s="2944"/>
      <c r="I65" s="945"/>
      <c r="J65" s="2814"/>
      <c r="K65" s="3543" t="s">
        <v>1763</v>
      </c>
      <c r="L65" s="1275" t="s">
        <v>1764</v>
      </c>
      <c r="M65" s="1275">
        <f ca="1">IF(N51&gt;10000,N51*0.5%,IF(AND(N51&gt;1000,N51&lt;=10000),N51*1%,IF(AND(N51&gt;100,N51&lt;=1000),N51*3%,IF(AND(N51&gt;10,N51&lt;=100),N51*5%,N51*8%))))</f>
        <v>28.29</v>
      </c>
      <c r="N65" s="235">
        <f ca="1">ROUND(M65,1)</f>
        <v>28.3</v>
      </c>
      <c r="O65" s="2502"/>
    </row>
    <row r="66" spans="1:36" ht="12.75">
      <c r="A66" s="49" t="s">
        <v>71</v>
      </c>
      <c r="B66" s="50" t="s">
        <v>1765</v>
      </c>
      <c r="C66" s="2754">
        <f ca="1">D47</f>
        <v>943</v>
      </c>
      <c r="D66" s="50" t="s">
        <v>41</v>
      </c>
      <c r="E66" s="52"/>
      <c r="F66" s="2949"/>
      <c r="G66" s="2949"/>
      <c r="H66" s="2944"/>
      <c r="I66" s="945"/>
      <c r="J66" s="2814"/>
      <c r="K66" s="3543"/>
      <c r="L66" s="1275" t="s">
        <v>1766</v>
      </c>
      <c r="M66" s="1275">
        <f ca="1">IF(N51&gt;2000,N51*0.5%,IF(AND(N51&gt;1000,N51&lt;=2000),N51*0.6%,IF(AND(N51&gt;500,N51&lt;=1000),N51*0.7%,IF(AND(N51&gt;200,N51&lt;=500),N51*0.8%,IF(AND(N51&gt;100,N51&lt;=200),N51*0.9%,IF(AND(N51&gt;50,N51&lt;=100),N51*1%,IF(AND(N51&gt;20,N51&lt;=50),N51*1.5%,IF(AND(N51&gt;10,N51&lt;=20),N51*2%,IF(AND(N51&gt;1,N51&lt;=10),N51*2.5%)))))))))</f>
        <v>6.6009999999999991</v>
      </c>
      <c r="N66" s="235">
        <f t="shared" ref="N66:N67" ca="1" si="2">ROUND(M66,1)</f>
        <v>6.6</v>
      </c>
      <c r="O66" s="2502" t="s">
        <v>1767</v>
      </c>
    </row>
    <row r="67" spans="1:36" ht="12.75">
      <c r="A67" s="49" t="s">
        <v>72</v>
      </c>
      <c r="B67" s="50" t="s">
        <v>1768</v>
      </c>
      <c r="C67" s="2755"/>
      <c r="D67" s="50"/>
      <c r="E67" s="52"/>
      <c r="F67" s="2949"/>
      <c r="G67" s="2949"/>
      <c r="H67" s="2944"/>
      <c r="I67" s="945"/>
      <c r="J67" s="2814"/>
      <c r="K67" s="3543"/>
      <c r="L67" s="1275" t="s">
        <v>1769</v>
      </c>
      <c r="M67" s="1275">
        <f ca="1">IF(N51&gt;1000,N51*0.1%,IF(AND(N51&gt;500,N51&lt;=1000),N51*0.5%,IF(AND(N51&gt;50,N51&lt;=500),N51*1%,IF(AND(N51&gt;1,N51&lt;=50),N51*1.5%))))</f>
        <v>4.7149999999999999</v>
      </c>
      <c r="N67" s="235">
        <f t="shared" ca="1" si="2"/>
        <v>4.7</v>
      </c>
      <c r="O67" s="2502" t="s">
        <v>1767</v>
      </c>
    </row>
    <row r="68" spans="1:36" ht="12.75">
      <c r="A68" s="53" t="s">
        <v>47</v>
      </c>
      <c r="B68" s="54" t="s">
        <v>1770</v>
      </c>
      <c r="C68" s="2756"/>
      <c r="D68" s="54" t="s">
        <v>41</v>
      </c>
      <c r="E68" s="1284" t="s">
        <v>1771</v>
      </c>
      <c r="F68" s="2949"/>
      <c r="G68" s="2949"/>
      <c r="H68" s="2944"/>
      <c r="I68" s="945"/>
      <c r="J68" s="2814"/>
      <c r="K68" s="3543"/>
      <c r="L68" s="1275" t="s">
        <v>1772</v>
      </c>
      <c r="M68" s="1275">
        <f ca="1">N51*0.5%</f>
        <v>4.7149999999999999</v>
      </c>
      <c r="N68" s="235">
        <f ca="1">IF(M68&gt;0.5,0.5,ROUND(M68,0))</f>
        <v>0.5</v>
      </c>
      <c r="O68" s="2502" t="s">
        <v>1773</v>
      </c>
    </row>
    <row r="69" spans="1:36" ht="12.75">
      <c r="A69" s="53" t="s">
        <v>42</v>
      </c>
      <c r="B69" s="54" t="s">
        <v>1774</v>
      </c>
      <c r="C69" s="2757">
        <f ca="1">C65-C68</f>
        <v>898</v>
      </c>
      <c r="D69" s="50" t="s">
        <v>41</v>
      </c>
      <c r="E69" s="52"/>
      <c r="F69" s="2949"/>
      <c r="G69" s="2949"/>
      <c r="H69" s="2944"/>
      <c r="I69" s="945"/>
      <c r="J69" s="2814"/>
      <c r="K69" s="3543"/>
      <c r="L69" s="1275" t="s">
        <v>1775</v>
      </c>
      <c r="M69" s="1275">
        <f ca="1">IF(N51&gt;=10000,(8.25+(N51-10000)*0.01%),IF(AND(N51&gt;=8000,N51&lt;10000),(7.85+(N51-8000)*0.02%),IF(AND(N51&gt;=5000,N51&lt;8000),(6.65+(N51-5000)*0.04%),IF(AND(N51&gt;=2000,N51&lt;5000),(4.25+(PN51-2000)*0.08%),IF(AND(N51&gt;=1000,N51&lt;2000),(2.75+(N51-1000)*0.15%),IF(AND(N51&gt;=100,N51&lt;1000),(0.5+(N51-100)*0.25%),IF(AND(N51&gt;0,N51&lt;100),N51*0.5%)))))))</f>
        <v>2.6074999999999999</v>
      </c>
      <c r="N69" s="235">
        <f ca="1">ROUND(M69*0.9,1)</f>
        <v>2.2999999999999998</v>
      </c>
      <c r="O69" s="2502"/>
    </row>
    <row r="70" spans="1:36" ht="13.5" thickBot="1">
      <c r="A70" s="55" t="s">
        <v>46</v>
      </c>
      <c r="B70" s="56" t="s">
        <v>1776</v>
      </c>
      <c r="C70" s="2758">
        <f ca="1">IF(C69&lt;=0,0,ROUND(C69*D70,0))</f>
        <v>49</v>
      </c>
      <c r="D70" s="2210">
        <f>'数据-取费表'!E29</f>
        <v>5.5000000000000007E-2</v>
      </c>
      <c r="E70" s="57"/>
      <c r="F70" s="2949"/>
      <c r="G70" s="2949"/>
      <c r="H70" s="2944"/>
      <c r="I70" s="945"/>
      <c r="J70" s="2814"/>
      <c r="K70" s="3543"/>
      <c r="L70" s="1275" t="s">
        <v>1777</v>
      </c>
      <c r="M70" s="1275">
        <f ca="1">IF(N51&gt;10000,N51*0.5%,IF(AND(N51&gt;5000,N51&lt;=10000),N51*1%,IF(AND(N51&gt;1000,N51&lt;=5000),N51*2%,IF(AND(N51&gt;200,N51&lt;=1000),N51*3%,N51*5%))))</f>
        <v>28.29</v>
      </c>
      <c r="N70" s="235">
        <f ca="1">ROUND(M70,1)</f>
        <v>28.3</v>
      </c>
      <c r="O70" s="2502"/>
    </row>
    <row r="71" spans="1:36" s="1433" customFormat="1" ht="7.5" customHeight="1">
      <c r="A71" s="1445"/>
      <c r="B71" s="1446"/>
      <c r="C71" s="2759"/>
      <c r="D71" s="2253"/>
      <c r="E71" s="1449"/>
      <c r="F71" s="1425"/>
      <c r="G71" s="1425"/>
      <c r="H71" s="1449"/>
      <c r="I71" s="2531"/>
      <c r="J71" s="2814"/>
      <c r="K71" s="3543"/>
      <c r="L71" s="1275" t="s">
        <v>1778</v>
      </c>
      <c r="M71" s="1275"/>
      <c r="N71" s="235">
        <f ca="1">ROUND(SUM(N65:N70),0)</f>
        <v>71</v>
      </c>
      <c r="O71" s="2503">
        <f ca="1">N71/N51</f>
        <v>7.5291622481442208E-2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512" t="s">
        <v>1779</v>
      </c>
      <c r="B72" s="3513"/>
      <c r="C72" s="3513"/>
      <c r="D72" s="3513"/>
      <c r="E72" s="3513"/>
      <c r="F72" s="3513"/>
      <c r="G72" s="3513"/>
      <c r="H72" s="3513"/>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501" t="s">
        <v>1759</v>
      </c>
      <c r="B73" s="3502"/>
      <c r="C73" s="1575"/>
      <c r="D73" s="1575" t="s">
        <v>1760</v>
      </c>
      <c r="E73" s="58" t="s">
        <v>1761</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1780</v>
      </c>
      <c r="C74" s="2757">
        <f ca="1">ROUND(D47/(1+'数据-取费表'!F30),0)</f>
        <v>898</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1782</v>
      </c>
      <c r="C75" s="2757">
        <f ca="1">C76+C80</f>
        <v>4</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1783</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1784</v>
      </c>
      <c r="C77" s="2236"/>
      <c r="D77" s="50" t="s">
        <v>41</v>
      </c>
      <c r="E77" s="64" t="s">
        <v>1785</v>
      </c>
      <c r="F77" s="2761" t="s">
        <v>1786</v>
      </c>
      <c r="G77" s="64" t="s">
        <v>1787</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1788</v>
      </c>
      <c r="C78" s="50">
        <f>IF(F77="购房发票",ROUND(C77*H77*D78,0),0)</f>
        <v>0</v>
      </c>
      <c r="D78" s="2763">
        <v>0.05</v>
      </c>
      <c r="E78" s="3448" t="s">
        <v>1789</v>
      </c>
      <c r="F78" s="3453"/>
      <c r="G78" s="3453"/>
      <c r="H78" s="3514"/>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3"/>
      <c r="G79" s="1454" t="s">
        <v>1792</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1793</v>
      </c>
      <c r="C80" s="2765">
        <f ca="1">ROUND(D47*D80/(1+'数据-取费表'!F30),0)</f>
        <v>4</v>
      </c>
      <c r="D80" s="2766">
        <f>'数据-取费表'!E31</f>
        <v>5.000000000000001E-3</v>
      </c>
      <c r="E80" s="3503" t="s">
        <v>1794</v>
      </c>
      <c r="F80" s="3504"/>
      <c r="G80" s="3504"/>
      <c r="H80" s="3505"/>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1795</v>
      </c>
      <c r="C81" s="2757">
        <f ca="1">C74-C75</f>
        <v>894</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1796</v>
      </c>
      <c r="C82" s="2767">
        <f ca="1">IF(C81&lt;=0,0,C81/C75)</f>
        <v>223.5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1797</v>
      </c>
      <c r="C83" s="2768">
        <f ca="1">ROUND(IF(C81&lt;=0,0,IF(C82&gt;=200%,C81*60%-C75*35%,IF(C82&gt;=100%,C81*50%-C75*15%,IF(C82&gt;=50%,C81*40%-C75*5%,IF(C82&lt;50%,C81*30%,0))))),0)</f>
        <v>535</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512" t="s">
        <v>1798</v>
      </c>
      <c r="B85" s="3513"/>
      <c r="C85" s="3513"/>
      <c r="D85" s="3513"/>
      <c r="E85" s="3513"/>
      <c r="F85" s="3513"/>
      <c r="G85" s="3513"/>
      <c r="H85" s="3513"/>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501" t="s">
        <v>1759</v>
      </c>
      <c r="B86" s="3502"/>
      <c r="C86" s="1575"/>
      <c r="D86" s="1575" t="s">
        <v>1760</v>
      </c>
      <c r="E86" s="58" t="s">
        <v>1761</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1780</v>
      </c>
      <c r="C87" s="2757">
        <f ca="1">ROUND(D47/(1+'数据-取费表'!F30),0)</f>
        <v>898</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1782</v>
      </c>
      <c r="C88" s="2757">
        <f ca="1">IF(H90="仅含出让金",C89+C92+C93+C94+C95+C96,C89+C93+C94+C95+C96)</f>
        <v>4</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1799</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1800</v>
      </c>
      <c r="C90" s="2770"/>
      <c r="D90" s="2766"/>
      <c r="E90" s="74" t="s">
        <v>1801</v>
      </c>
      <c r="F90" s="2054"/>
      <c r="G90" s="75" t="s">
        <v>1802</v>
      </c>
      <c r="H90" s="1456"/>
      <c r="I90" s="607"/>
      <c r="J90" s="2846"/>
      <c r="K90" s="2941" t="s">
        <v>2761</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1790</v>
      </c>
      <c r="C91" s="2765">
        <f>ROUND(C90*D91,0)</f>
        <v>0</v>
      </c>
      <c r="D91" s="2766">
        <f>'数据-取费表'!E36+'数据-取费表'!E37</f>
        <v>3.0499999999999999E-2</v>
      </c>
      <c r="E91" s="74" t="s">
        <v>1803</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1804</v>
      </c>
      <c r="C92" s="2770"/>
      <c r="D92" s="2766"/>
      <c r="E92" s="74" t="str">
        <f>IF(H90="-","土地取得成本中已包含该笔费用"," ")</f>
        <v xml:space="preserve"> </v>
      </c>
      <c r="F92" s="2054"/>
      <c r="G92" s="3515" t="s">
        <v>2678</v>
      </c>
      <c r="H92" s="3516"/>
      <c r="I92" s="607"/>
      <c r="J92" s="2846"/>
      <c r="K92" s="2941" t="s">
        <v>2762</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1805</v>
      </c>
      <c r="C93" s="2765">
        <f>IF(H93="——",成本法!C33,I93)</f>
        <v>0</v>
      </c>
      <c r="D93" s="2766"/>
      <c r="E93" s="3503" t="s">
        <v>1806</v>
      </c>
      <c r="F93" s="3504"/>
      <c r="G93" s="3504"/>
      <c r="H93" s="1457" t="s">
        <v>1807</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1808</v>
      </c>
      <c r="C94" s="2765">
        <f>ROUND((C89+C92+C93)*D94,0)</f>
        <v>0</v>
      </c>
      <c r="D94" s="2766">
        <v>0.1</v>
      </c>
      <c r="E94" s="3503" t="s">
        <v>1809</v>
      </c>
      <c r="F94" s="3504"/>
      <c r="G94" s="3504"/>
      <c r="H94" s="3505"/>
      <c r="I94" s="607"/>
      <c r="J94" s="2846"/>
      <c r="K94" s="2942" t="s">
        <v>2763</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1793</v>
      </c>
      <c r="C95" s="2765">
        <f ca="1">ROUND(D47*D95/(1+'数据-取费表'!F30),0)</f>
        <v>4</v>
      </c>
      <c r="D95" s="2766">
        <f>'数据-取费表'!E31</f>
        <v>5.000000000000001E-3</v>
      </c>
      <c r="E95" s="3503" t="s">
        <v>1794</v>
      </c>
      <c r="F95" s="3504"/>
      <c r="G95" s="3504"/>
      <c r="H95" s="3505"/>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1810</v>
      </c>
      <c r="C96" s="2765">
        <f>ROUND((C89+C92+C93)*D96,0)</f>
        <v>0</v>
      </c>
      <c r="D96" s="2766">
        <v>0.2</v>
      </c>
      <c r="E96" s="3503" t="s">
        <v>1811</v>
      </c>
      <c r="F96" s="3504"/>
      <c r="G96" s="3504"/>
      <c r="H96" s="3505"/>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1795</v>
      </c>
      <c r="C97" s="2757">
        <f ca="1">ROUND(C87-C88,0)</f>
        <v>894</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1796</v>
      </c>
      <c r="C98" s="2767">
        <f ca="1">IF(C97&lt;=0,0,C97/C88)</f>
        <v>223.5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1797</v>
      </c>
      <c r="C99" s="67">
        <f ca="1">ROUND(IF(C97&lt;=0,0,IF(C98&gt;=200%,C97*60%-C88*35%,IF(C98&gt;=100%,C97*50%-C88*15%,IF(C98&gt;=50%,C97*40%-C88*5%,IF(C98&lt;50%,C97*30%,0))))),0)</f>
        <v>535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1812</v>
      </c>
      <c r="B100" s="1429"/>
      <c r="C100" s="1429"/>
      <c r="D100" s="1429"/>
      <c r="E100" s="811"/>
      <c r="F100" s="811"/>
      <c r="G100" s="811"/>
      <c r="H100" s="1438"/>
      <c r="I100" s="1429"/>
    </row>
    <row r="101" spans="1:36" ht="15">
      <c r="A101" s="3506" t="s">
        <v>1813</v>
      </c>
      <c r="B101" s="3507"/>
      <c r="C101" s="3507"/>
      <c r="D101" s="3508"/>
      <c r="E101" s="1429"/>
      <c r="F101" s="3509" t="s">
        <v>2720</v>
      </c>
      <c r="G101" s="3510"/>
      <c r="H101" s="3510"/>
      <c r="I101" s="3511"/>
      <c r="J101" s="2849"/>
    </row>
    <row r="102" spans="1:36" ht="30">
      <c r="A102" s="3494" t="s">
        <v>1815</v>
      </c>
      <c r="B102" s="3495"/>
      <c r="C102" s="2772" t="str">
        <f>C4</f>
        <v>典型户型修正</v>
      </c>
      <c r="D102" s="2773" t="str">
        <f>D4</f>
        <v>典型户型修正</v>
      </c>
      <c r="E102" s="1429"/>
      <c r="F102" s="3463" t="s">
        <v>2721</v>
      </c>
      <c r="G102" s="3464"/>
      <c r="H102" s="3458" t="s">
        <v>2722</v>
      </c>
      <c r="I102" s="3459"/>
      <c r="J102" s="2829"/>
    </row>
    <row r="103" spans="1:36" ht="12.75">
      <c r="A103" s="3496" t="s">
        <v>2716</v>
      </c>
      <c r="B103" s="2275" t="str">
        <f>IF(H19="元","总价（元）","总价（万元）")</f>
        <v>总价（万元）</v>
      </c>
      <c r="C103" s="1275">
        <f ca="1">C19</f>
        <v>943</v>
      </c>
      <c r="D103" s="2776">
        <f ca="1">D19</f>
        <v>943</v>
      </c>
      <c r="E103" s="1429"/>
      <c r="F103" s="3497"/>
      <c r="G103" s="3498"/>
      <c r="H103" s="3450">
        <f>典型户型修正!B25</f>
        <v>494.7</v>
      </c>
      <c r="I103" s="3459"/>
      <c r="J103" s="2829"/>
    </row>
    <row r="104" spans="1:36" ht="12.75">
      <c r="A104" s="3496"/>
      <c r="B104" s="2275" t="s">
        <v>2717</v>
      </c>
      <c r="C104" s="2777">
        <f ca="1">C20</f>
        <v>19062</v>
      </c>
      <c r="D104" s="2778">
        <f ca="1">D20</f>
        <v>19062</v>
      </c>
      <c r="E104" s="1429"/>
      <c r="F104" s="3441" t="s">
        <v>2723</v>
      </c>
      <c r="G104" s="3442"/>
      <c r="H104" s="2786" t="str">
        <f>C110</f>
        <v>总价（万元）</v>
      </c>
      <c r="I104" s="2787">
        <f ca="1">H125</f>
        <v>943</v>
      </c>
      <c r="J104" s="2829"/>
    </row>
    <row r="105" spans="1:36" ht="12.75">
      <c r="A105" s="3496" t="s">
        <v>2718</v>
      </c>
      <c r="B105" s="2213" t="str">
        <f>B103</f>
        <v>总价（万元）</v>
      </c>
      <c r="C105" s="12">
        <f ca="1">ROUND(IF('数据-取费表'!B4="总价",G19,IF(H19="元",G20*'数据-取费表'!E5,G20*'数据-取费表'!E5/10000)),0)</f>
        <v>943</v>
      </c>
      <c r="D105" s="2779"/>
      <c r="E105" s="1429"/>
      <c r="F105" s="3441"/>
      <c r="G105" s="3442"/>
      <c r="H105" s="2786" t="s">
        <v>2724</v>
      </c>
      <c r="I105" s="52">
        <f ca="1">I125</f>
        <v>19062</v>
      </c>
      <c r="J105" s="2813"/>
    </row>
    <row r="106" spans="1:36" ht="12.75">
      <c r="A106" s="3496"/>
      <c r="B106" s="2275" t="s">
        <v>2717</v>
      </c>
      <c r="C106" s="1449">
        <f ca="1">ROUND(IF('数据-取费表'!B4="楼面单价",G20,IF(H19="元",G19/'数据-取费表'!E5,G19*10000/'数据-取费表'!E5)),0)</f>
        <v>160401</v>
      </c>
      <c r="D106" s="2779"/>
      <c r="E106" s="1429"/>
      <c r="F106" s="3441"/>
      <c r="G106" s="3442"/>
      <c r="H106" s="3499"/>
      <c r="I106" s="3500"/>
      <c r="J106" s="2830"/>
    </row>
    <row r="107" spans="1:36" ht="12.75">
      <c r="A107" s="3438" t="s">
        <v>2719</v>
      </c>
      <c r="B107" s="2780" t="str">
        <f>B103</f>
        <v>总价（万元）</v>
      </c>
      <c r="C107" s="2781">
        <f ca="1">H125</f>
        <v>943</v>
      </c>
      <c r="D107" s="2782"/>
      <c r="E107" s="1429"/>
      <c r="F107" s="3490" t="s">
        <v>2725</v>
      </c>
      <c r="G107" s="3491"/>
      <c r="H107" s="2788" t="str">
        <f>C112</f>
        <v>总额（万元）</v>
      </c>
      <c r="I107" s="2787">
        <f>SUMIF(I108:I110,"&lt;9E307")</f>
        <v>0</v>
      </c>
      <c r="J107" s="2829"/>
    </row>
    <row r="108" spans="1:36" ht="15" thickBot="1">
      <c r="A108" s="3439"/>
      <c r="B108" s="2783" t="s">
        <v>2717</v>
      </c>
      <c r="C108" s="2784">
        <f ca="1">I125</f>
        <v>19062</v>
      </c>
      <c r="D108" s="2785"/>
      <c r="E108" s="1429"/>
      <c r="F108" s="3467" t="s">
        <v>2726</v>
      </c>
      <c r="G108" s="3468"/>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487" t="s">
        <v>1816</v>
      </c>
      <c r="B109" s="3488"/>
      <c r="C109" s="3488"/>
      <c r="D109" s="3489"/>
      <c r="E109" s="1429"/>
      <c r="F109" s="3467" t="s">
        <v>2727</v>
      </c>
      <c r="G109" s="3468"/>
      <c r="H109" s="2788" t="str">
        <f>C114</f>
        <v>总额（万元）</v>
      </c>
      <c r="I109" s="52">
        <f>C39</f>
        <v>0</v>
      </c>
      <c r="J109" s="2813"/>
    </row>
    <row r="110" spans="1:36" ht="12.75">
      <c r="A110" s="3441" t="s">
        <v>2730</v>
      </c>
      <c r="B110" s="3442"/>
      <c r="C110" s="2786" t="str">
        <f>B103</f>
        <v>总价（万元）</v>
      </c>
      <c r="D110" s="2787">
        <f ca="1">H125</f>
        <v>943</v>
      </c>
      <c r="E110" s="1429"/>
      <c r="F110" s="3467" t="s">
        <v>2728</v>
      </c>
      <c r="G110" s="3468"/>
      <c r="H110" s="2788" t="str">
        <f>C115</f>
        <v>总额（万元）</v>
      </c>
      <c r="I110" s="52">
        <f>C40</f>
        <v>0</v>
      </c>
      <c r="J110" s="2813"/>
    </row>
    <row r="111" spans="1:36" ht="12.75">
      <c r="A111" s="3441"/>
      <c r="B111" s="3442"/>
      <c r="C111" s="2786" t="s">
        <v>2731</v>
      </c>
      <c r="D111" s="52">
        <f ca="1">I125</f>
        <v>19062</v>
      </c>
      <c r="E111" s="1429"/>
      <c r="F111" s="3441"/>
      <c r="G111" s="3442"/>
      <c r="H111" s="3465"/>
      <c r="I111" s="3466"/>
      <c r="J111" s="2831"/>
    </row>
    <row r="112" spans="1:36" ht="28.5" customHeight="1">
      <c r="A112" s="3492" t="s">
        <v>2725</v>
      </c>
      <c r="B112" s="3493"/>
      <c r="C112" s="2788" t="str">
        <f>IF(H19="元","总额（元）","总额（万元）")</f>
        <v>总额（万元）</v>
      </c>
      <c r="D112" s="2787">
        <f>IF(D38="正常操作",I108+I109+I110,I109+I110)</f>
        <v>0</v>
      </c>
      <c r="E112" s="1429"/>
      <c r="F112" s="3469" t="str">
        <f>IF(项目基本情况!F5="已注销","——","3.房地产抵押价值")</f>
        <v>3.房地产抵押价值</v>
      </c>
      <c r="G112" s="3470"/>
      <c r="H112" s="1449" t="str">
        <f>C116</f>
        <v>总价（万元）</v>
      </c>
      <c r="I112" s="2787">
        <f ca="1">IF(F112="——","——",I104-I107)</f>
        <v>943</v>
      </c>
      <c r="J112" s="2829"/>
    </row>
    <row r="113" spans="1:27" ht="12.75">
      <c r="A113" s="3467" t="s">
        <v>2732</v>
      </c>
      <c r="B113" s="3468"/>
      <c r="C113" s="2788" t="str">
        <f>C112</f>
        <v>总额（万元）</v>
      </c>
      <c r="D113" s="52">
        <f>IF(D38="同一抵押权人同一抵押物续贷",C38&amp;"（未扣减，详见特别提示）",C38)</f>
        <v>0</v>
      </c>
      <c r="E113" s="1429"/>
      <c r="F113" s="3471"/>
      <c r="G113" s="3472"/>
      <c r="H113" s="2786" t="s">
        <v>2724</v>
      </c>
      <c r="I113" s="2790">
        <f ca="1">D117</f>
        <v>19062</v>
      </c>
      <c r="J113" s="2832"/>
    </row>
    <row r="114" spans="1:27" ht="12.75">
      <c r="A114" s="3467" t="s">
        <v>2733</v>
      </c>
      <c r="B114" s="3468"/>
      <c r="C114" s="2788" t="str">
        <f>C112</f>
        <v>总额（万元）</v>
      </c>
      <c r="D114" s="52">
        <f>C39</f>
        <v>0</v>
      </c>
      <c r="E114" s="1429"/>
      <c r="F114" s="3469" t="str">
        <f>IF(项目基本情况!F5="已注销及未注销","4.抵押担保权已注销时的房地产抵押价值",IF(项目基本情况!F5="已注销","3.抵押担保权已注销时的房地产抵押价值","——"))</f>
        <v>——</v>
      </c>
      <c r="G114" s="3470"/>
      <c r="H114" s="1449" t="str">
        <f>C118</f>
        <v>总价（万元）</v>
      </c>
      <c r="I114" s="2787" t="str">
        <f>IF(F114="——","——",I104-I109-I110)</f>
        <v>——</v>
      </c>
      <c r="J114" s="2829"/>
    </row>
    <row r="115" spans="1:27" ht="12.75">
      <c r="A115" s="3467" t="s">
        <v>2734</v>
      </c>
      <c r="B115" s="3468"/>
      <c r="C115" s="2788" t="str">
        <f>C112</f>
        <v>总额（万元）</v>
      </c>
      <c r="D115" s="52">
        <f>C40</f>
        <v>0</v>
      </c>
      <c r="E115" s="1429"/>
      <c r="F115" s="3471"/>
      <c r="G115" s="3472"/>
      <c r="H115" s="2786" t="s">
        <v>2724</v>
      </c>
      <c r="I115" s="52" t="str">
        <f>D119</f>
        <v>——</v>
      </c>
      <c r="J115" s="2813"/>
    </row>
    <row r="116" spans="1:27" ht="12.75">
      <c r="A116" s="3441" t="str">
        <f>IF(项目基本情况!F5="已注销","——","3.房地产抵押价值")</f>
        <v>3.房地产抵押价值</v>
      </c>
      <c r="B116" s="3442"/>
      <c r="C116" s="2786" t="str">
        <f>B103</f>
        <v>总价（万元）</v>
      </c>
      <c r="D116" s="2787">
        <f ca="1">IF(A116="——","——",D110-D112)</f>
        <v>943</v>
      </c>
      <c r="E116" s="1429"/>
      <c r="F116" s="3469" t="str">
        <f>IF(项目基本情况!G5="抵押净值",IF(OR(项目基本情况!F5="已注销",项目基本情况!F5="房地产抵押价值"),"4.抵押净值","5.抵押净值"),"——")</f>
        <v>——</v>
      </c>
      <c r="G116" s="3470"/>
      <c r="H116" s="2786" t="str">
        <f>C120</f>
        <v>总价（万元）</v>
      </c>
      <c r="I116" s="2787" t="str">
        <f>IF(F116="——","——",O61)</f>
        <v>——</v>
      </c>
      <c r="J116" s="2829"/>
    </row>
    <row r="117" spans="1:27" ht="13.5" thickBot="1">
      <c r="A117" s="3441"/>
      <c r="B117" s="3442"/>
      <c r="C117" s="2786" t="s">
        <v>2731</v>
      </c>
      <c r="D117" s="52">
        <f ca="1">ROUND(IF(D116=D110,D111,IF(H19="元",D116/B125,D116*10000/B125)),0)</f>
        <v>19062</v>
      </c>
      <c r="E117" s="1429"/>
      <c r="F117" s="3478"/>
      <c r="G117" s="3479"/>
      <c r="H117" s="2791" t="s">
        <v>2724</v>
      </c>
      <c r="I117" s="2775" t="str">
        <f ca="1">D121</f>
        <v>——</v>
      </c>
      <c r="J117" s="2813"/>
    </row>
    <row r="118" spans="1:27" ht="15.75">
      <c r="A118" s="3441" t="str">
        <f>IF(项目基本情况!F5="已注销及未注销","4.抵押担保权已注销时的房地产抵押价值",IF(项目基本情况!F5="已注销","3.抵押担保权已注销时的房地产抵押价值","——"))</f>
        <v>——</v>
      </c>
      <c r="B118" s="3442"/>
      <c r="C118" s="2786" t="str">
        <f>B103</f>
        <v>总价（万元）</v>
      </c>
      <c r="D118" s="2787" t="str">
        <f>IF(A118="——","——",D110-D114-D115)</f>
        <v>——</v>
      </c>
      <c r="E118" s="1429"/>
      <c r="F118" s="3482"/>
      <c r="G118" s="3482"/>
      <c r="H118" s="3483"/>
      <c r="I118" s="3483"/>
      <c r="J118" s="2833"/>
      <c r="O118" s="32"/>
      <c r="P118" s="32"/>
    </row>
    <row r="119" spans="1:27" s="1276" customFormat="1" ht="12.75">
      <c r="A119" s="3441"/>
      <c r="B119" s="3442"/>
      <c r="C119" s="2786" t="s">
        <v>2731</v>
      </c>
      <c r="D119" s="52" t="str">
        <f>IF(A118="——","——",IF(H19="元",ROUND(D118/B125,0),ROUND(D118*10000/B125,0)))</f>
        <v>——</v>
      </c>
      <c r="E119" s="1429"/>
      <c r="F119" s="3484" t="str">
        <f>IF(B33="总价","（以上估价结果中楼面单价为总价除以建筑面积得出）","（以上估价结果中总价为楼面单价乘以建筑面积得出）")</f>
        <v>（以上估价结果中总价为楼面单价乘以建筑面积得出）</v>
      </c>
      <c r="G119" s="3484"/>
      <c r="H119" s="3484"/>
      <c r="I119" s="3484"/>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41" t="str">
        <f>IF(项目基本情况!G5="抵押净值",IF(OR(项目基本情况!F5="已注销",项目基本情况!F5="房地产抵押价值"),"4.抵押净值","5.抵押净值"),"——")</f>
        <v>——</v>
      </c>
      <c r="B120" s="3442"/>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480"/>
      <c r="B121" s="3481"/>
      <c r="C121" s="2791" t="s">
        <v>2731</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485" t="s">
        <v>1855</v>
      </c>
      <c r="B122" s="3486"/>
      <c r="C122" s="3486"/>
      <c r="D122" s="3486"/>
      <c r="E122" s="3486"/>
      <c r="F122" s="3486"/>
      <c r="G122" s="3486"/>
      <c r="H122" s="3486"/>
      <c r="I122" s="3486"/>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46" t="s">
        <v>2735</v>
      </c>
      <c r="B123" s="3473" t="s">
        <v>2736</v>
      </c>
      <c r="C123" s="3473" t="s">
        <v>2742</v>
      </c>
      <c r="D123" s="3475" t="s">
        <v>2737</v>
      </c>
      <c r="E123" s="3476"/>
      <c r="F123" s="3447" t="s">
        <v>2743</v>
      </c>
      <c r="G123" s="3447"/>
      <c r="H123" s="3447" t="s">
        <v>2738</v>
      </c>
      <c r="I123" s="3477"/>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46"/>
      <c r="B124" s="3474"/>
      <c r="C124" s="3474"/>
      <c r="D124" s="2060" t="s">
        <v>2739</v>
      </c>
      <c r="E124" s="2060" t="s">
        <v>2744</v>
      </c>
      <c r="F124" s="2060" t="s">
        <v>2739</v>
      </c>
      <c r="G124" s="2060" t="s">
        <v>2740</v>
      </c>
      <c r="H124" s="2060" t="s">
        <v>2739</v>
      </c>
      <c r="I124" s="52" t="s">
        <v>2740</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494.7</v>
      </c>
      <c r="C125" s="1424"/>
      <c r="D125" s="2060">
        <f>C36</f>
        <v>0</v>
      </c>
      <c r="E125" s="2060">
        <f>ROUND(IF(H19="元",D125/B125,D125*10000/B125),0)</f>
        <v>0</v>
      </c>
      <c r="F125" s="2060">
        <f>C37</f>
        <v>0</v>
      </c>
      <c r="G125" s="2060">
        <f>ROUND(IF(H19="元",F125/B125,F125*10000/B125),0)</f>
        <v>0</v>
      </c>
      <c r="H125" s="2060">
        <f ca="1">C34</f>
        <v>943</v>
      </c>
      <c r="I125" s="52">
        <f ca="1">C35</f>
        <v>19062</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46" t="s">
        <v>2741</v>
      </c>
      <c r="B126" s="3447"/>
      <c r="C126" s="3447"/>
      <c r="D126" s="3460" t="str">
        <f>IF(H19="元",NUMBERSTRING(INT(D125),2)&amp;"元整",NUMBERSTRING(INT(D125*10000),2)&amp;"元整")</f>
        <v>零元整</v>
      </c>
      <c r="E126" s="3461"/>
      <c r="F126" s="3460" t="str">
        <f>IF(H19="元",NUMBERSTRING(INT(F125),2)&amp;"元整",NUMBERSTRING(INT(F125*10000),2)&amp;"元整")</f>
        <v>零元整</v>
      </c>
      <c r="G126" s="3461"/>
      <c r="H126" s="3460" t="str">
        <f ca="1">IF(H19="元",NUMBERSTRING(INT(H125),2)&amp;"元整",NUMBERSTRING(INT(H125*10000),2)&amp;"元整")</f>
        <v>玖佰肆拾叁万元整</v>
      </c>
      <c r="I126" s="3462"/>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63" t="str">
        <f>IF(项目基本情况!D5="房地产市场价值","——",MID(A112,3,LEN(A112)-2))</f>
        <v>估价师所知悉的法定优先受偿款</v>
      </c>
      <c r="B127" s="3458"/>
      <c r="C127" s="3464"/>
      <c r="D127" s="3450">
        <f>I107</f>
        <v>0</v>
      </c>
      <c r="E127" s="3458"/>
      <c r="F127" s="3458"/>
      <c r="G127" s="3458"/>
      <c r="H127" s="3458"/>
      <c r="I127" s="3459"/>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52" t="s">
        <v>2741</v>
      </c>
      <c r="B128" s="3453"/>
      <c r="C128" s="3454"/>
      <c r="D128" s="3455">
        <f>H111</f>
        <v>0</v>
      </c>
      <c r="E128" s="3456"/>
      <c r="F128" s="3456"/>
      <c r="G128" s="3456"/>
      <c r="H128" s="3456"/>
      <c r="I128" s="3457"/>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41" t="str">
        <f>IF(项目基本情况!D5="房地产市场价值","——",MID(A116,3,LEN(A116)-2))</f>
        <v>房地产抵押价值</v>
      </c>
      <c r="B129" s="3442"/>
      <c r="C129" s="3442"/>
      <c r="D129" s="3450">
        <f ca="1">I112</f>
        <v>943</v>
      </c>
      <c r="E129" s="3458"/>
      <c r="F129" s="3458"/>
      <c r="G129" s="3458"/>
      <c r="H129" s="3458"/>
      <c r="I129" s="3459"/>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46" t="s">
        <v>2741</v>
      </c>
      <c r="B130" s="3447"/>
      <c r="C130" s="3447"/>
      <c r="D130" s="3455">
        <f ca="1">I113</f>
        <v>19062</v>
      </c>
      <c r="E130" s="3456"/>
      <c r="F130" s="3456"/>
      <c r="G130" s="3456"/>
      <c r="H130" s="3456"/>
      <c r="I130" s="3457"/>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41" t="str">
        <f>IF(项目基本情况!D5="房地产市场价值","——",MID(A118,3,LEN(A118)-2))</f>
        <v/>
      </c>
      <c r="B131" s="3442"/>
      <c r="C131" s="3442"/>
      <c r="D131" s="3443" t="str">
        <f>I114</f>
        <v>——</v>
      </c>
      <c r="E131" s="3444"/>
      <c r="F131" s="3444"/>
      <c r="G131" s="3444"/>
      <c r="H131" s="3444"/>
      <c r="I131" s="3445"/>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46" t="s">
        <v>2741</v>
      </c>
      <c r="B132" s="3447"/>
      <c r="C132" s="3448"/>
      <c r="D132" s="3449" t="str">
        <f>I115</f>
        <v>——</v>
      </c>
      <c r="E132" s="3449"/>
      <c r="F132" s="3449"/>
      <c r="G132" s="3449"/>
      <c r="H132" s="3449"/>
      <c r="I132" s="3449"/>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41" t="str">
        <f>IF(项目基本情况!D5="房地产市场价值","——",MID(F116,3,LEN(F116)-2))</f>
        <v/>
      </c>
      <c r="B133" s="3442"/>
      <c r="C133" s="3450"/>
      <c r="D133" s="3451" t="str">
        <f>I116</f>
        <v>——</v>
      </c>
      <c r="E133" s="3451"/>
      <c r="F133" s="3451"/>
      <c r="G133" s="3451"/>
      <c r="H133" s="3451"/>
      <c r="I133" s="3451"/>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32" t="s">
        <v>2741</v>
      </c>
      <c r="B134" s="3433"/>
      <c r="C134" s="3433"/>
      <c r="D134" s="3434">
        <f>H118</f>
        <v>0</v>
      </c>
      <c r="E134" s="3435"/>
      <c r="F134" s="3435"/>
      <c r="G134" s="3435"/>
      <c r="H134" s="3435"/>
      <c r="I134" s="3436"/>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437" t="str">
        <f>IF(B33="总价","（以上估价结果中楼面单价为总价除以建筑面积得出）","（以上估价结果中总价为楼面单价乘以建筑面积得出）")</f>
        <v>（以上估价结果中总价为楼面单价乘以建筑面积得出）</v>
      </c>
      <c r="B136" s="3437"/>
      <c r="C136" s="3437"/>
      <c r="D136" s="3437"/>
      <c r="E136" s="3437"/>
      <c r="F136" s="3437"/>
      <c r="G136" s="3437"/>
      <c r="H136" s="3437"/>
      <c r="I136" s="3437"/>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1818</v>
      </c>
      <c r="B137" s="1460"/>
      <c r="C137" s="1461" t="s">
        <v>1819</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1820</v>
      </c>
      <c r="G143" s="1473"/>
      <c r="H143" s="1473"/>
      <c r="I143" s="1474" t="s">
        <v>1821</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1822</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1823</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1824</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1823</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L22" sqref="L22"/>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1653</v>
      </c>
      <c r="B1" s="1429"/>
      <c r="C1" s="1429"/>
      <c r="D1" s="1429"/>
      <c r="E1" s="1429"/>
      <c r="F1" s="1429"/>
      <c r="G1" s="1429"/>
      <c r="H1" s="1429"/>
      <c r="I1" s="1429"/>
    </row>
    <row r="2" spans="1:15" ht="21.75" customHeight="1">
      <c r="A2" s="3553" t="str">
        <f>项目基本情况!B1</f>
        <v>北京市房地产抵押价值预评估</v>
      </c>
      <c r="B2" s="3553"/>
      <c r="C2" s="3553"/>
      <c r="D2" s="3553"/>
      <c r="E2" s="3553"/>
      <c r="F2" s="3553"/>
      <c r="G2" s="3553"/>
      <c r="H2" s="3553"/>
      <c r="I2" s="3553"/>
      <c r="J2" s="2811"/>
    </row>
    <row r="3" spans="1:15" ht="12.75">
      <c r="A3" s="3530" t="s">
        <v>1654</v>
      </c>
      <c r="B3" s="3531"/>
      <c r="C3" s="3531"/>
      <c r="D3" s="3531"/>
      <c r="E3" s="3531"/>
      <c r="F3" s="3531"/>
      <c r="G3" s="3531"/>
      <c r="H3" s="3531"/>
      <c r="I3" s="3531"/>
      <c r="J3" s="2812"/>
    </row>
    <row r="4" spans="1:15" ht="14.25">
      <c r="A4" s="2680" t="s">
        <v>1655</v>
      </c>
      <c r="B4" s="2680" t="s">
        <v>1656</v>
      </c>
      <c r="C4" s="2681" t="s">
        <v>3004</v>
      </c>
      <c r="D4" s="2681" t="s">
        <v>3029</v>
      </c>
      <c r="E4" s="3448" t="s">
        <v>1657</v>
      </c>
      <c r="F4" s="3453"/>
      <c r="G4" s="3453"/>
      <c r="H4" s="3453"/>
      <c r="I4" s="3454"/>
      <c r="J4" s="2813"/>
      <c r="L4" s="1429" t="str">
        <f>IF(ISNUMBER(FIND("比较法",结果表!C4)),"比较法",IF(ISNUMBER(FIND("成本法",结果表!C4)),"成本法",IF(ISNUMBER(FIND("假设开发法",结果表!C4)),"假设开发法",IF(ISNUMBER(FIND("收益法",结果表!C4)),"收益法","基准地价系数修正法"))))</f>
        <v>成本法</v>
      </c>
      <c r="M4" s="1429" t="str">
        <f>IF(ISNUMBER(FIND("比较法",结果表!D4)),"比较法",IF(ISNUMBER(FIND("成本法",结果表!D4)),"成本法",IF(ISNUMBER(FIND("假设开发法",结果表!D4)),"假设开发法",IF(ISNUMBER(FIND("收益法",结果表!D4)),"收益法","基准地价系数修正法"))))</f>
        <v>比较法</v>
      </c>
      <c r="N4" s="1429"/>
      <c r="O4" s="1429"/>
    </row>
    <row r="5" spans="1:15" ht="12.75">
      <c r="A5" s="3532" t="s">
        <v>1658</v>
      </c>
      <c r="B5" s="3532">
        <v>25</v>
      </c>
      <c r="C5" s="3533"/>
      <c r="D5" s="3536"/>
      <c r="E5" s="12" t="s">
        <v>1659</v>
      </c>
      <c r="F5" s="2057"/>
      <c r="G5" s="2057"/>
      <c r="H5" s="2057"/>
      <c r="I5" s="2052"/>
      <c r="J5" s="2813"/>
    </row>
    <row r="6" spans="1:15" ht="12.75">
      <c r="A6" s="3532"/>
      <c r="B6" s="3532"/>
      <c r="C6" s="3534"/>
      <c r="D6" s="3536"/>
      <c r="E6" s="12" t="s">
        <v>1660</v>
      </c>
      <c r="F6" s="2057"/>
      <c r="G6" s="2057"/>
      <c r="H6" s="2057"/>
      <c r="I6" s="2052"/>
      <c r="J6" s="2813"/>
    </row>
    <row r="7" spans="1:15" ht="12.75">
      <c r="A7" s="3532"/>
      <c r="B7" s="3532"/>
      <c r="C7" s="3535"/>
      <c r="D7" s="3536"/>
      <c r="E7" s="12" t="s">
        <v>1661</v>
      </c>
      <c r="F7" s="2057"/>
      <c r="G7" s="2057"/>
      <c r="H7" s="2057"/>
      <c r="I7" s="2052"/>
      <c r="J7" s="2813"/>
    </row>
    <row r="8" spans="1:15" ht="12.75">
      <c r="A8" s="3532" t="s">
        <v>1662</v>
      </c>
      <c r="B8" s="3532">
        <v>15</v>
      </c>
      <c r="C8" s="3533"/>
      <c r="D8" s="3536"/>
      <c r="E8" s="12" t="s">
        <v>1663</v>
      </c>
      <c r="F8" s="2057"/>
      <c r="G8" s="2057"/>
      <c r="H8" s="2057"/>
      <c r="I8" s="2052"/>
      <c r="J8" s="2813"/>
    </row>
    <row r="9" spans="1:15" ht="12.75">
      <c r="A9" s="3532"/>
      <c r="B9" s="3532"/>
      <c r="C9" s="3535"/>
      <c r="D9" s="3536"/>
      <c r="E9" s="12" t="s">
        <v>1664</v>
      </c>
      <c r="F9" s="2057"/>
      <c r="G9" s="2057"/>
      <c r="H9" s="2057"/>
      <c r="I9" s="2052"/>
      <c r="J9" s="2813"/>
    </row>
    <row r="10" spans="1:15" ht="12.75">
      <c r="A10" s="3532" t="s">
        <v>1665</v>
      </c>
      <c r="B10" s="3532">
        <v>15</v>
      </c>
      <c r="C10" s="3533"/>
      <c r="D10" s="3536"/>
      <c r="E10" s="12" t="s">
        <v>1666</v>
      </c>
      <c r="F10" s="2057"/>
      <c r="G10" s="2057"/>
      <c r="H10" s="2057"/>
      <c r="I10" s="2052"/>
      <c r="J10" s="2813"/>
    </row>
    <row r="11" spans="1:15" ht="12.75">
      <c r="A11" s="3532"/>
      <c r="B11" s="3532"/>
      <c r="C11" s="3535"/>
      <c r="D11" s="3536"/>
      <c r="E11" s="12" t="s">
        <v>1667</v>
      </c>
      <c r="F11" s="2057"/>
      <c r="G11" s="2057"/>
      <c r="H11" s="2057"/>
      <c r="I11" s="2052"/>
      <c r="J11" s="2813"/>
    </row>
    <row r="12" spans="1:15" ht="12.75">
      <c r="A12" s="3532" t="s">
        <v>1668</v>
      </c>
      <c r="B12" s="3532">
        <v>15</v>
      </c>
      <c r="C12" s="3533"/>
      <c r="D12" s="3536"/>
      <c r="E12" s="12" t="s">
        <v>1669</v>
      </c>
      <c r="F12" s="2057"/>
      <c r="G12" s="2057"/>
      <c r="H12" s="2057"/>
      <c r="I12" s="2052"/>
      <c r="J12" s="2813"/>
    </row>
    <row r="13" spans="1:15" ht="12.75">
      <c r="A13" s="3532"/>
      <c r="B13" s="3532"/>
      <c r="C13" s="3535"/>
      <c r="D13" s="3536"/>
      <c r="E13" s="12" t="s">
        <v>1670</v>
      </c>
      <c r="F13" s="2057"/>
      <c r="G13" s="2057"/>
      <c r="H13" s="2057"/>
      <c r="I13" s="2052"/>
      <c r="J13" s="2813"/>
    </row>
    <row r="14" spans="1:15" ht="12.75">
      <c r="A14" s="3532" t="s">
        <v>1671</v>
      </c>
      <c r="B14" s="3532">
        <v>30</v>
      </c>
      <c r="C14" s="3533">
        <v>5</v>
      </c>
      <c r="D14" s="3536">
        <v>5</v>
      </c>
      <c r="E14" s="12" t="s">
        <v>1672</v>
      </c>
      <c r="F14" s="2057"/>
      <c r="G14" s="2057"/>
      <c r="H14" s="2057"/>
      <c r="I14" s="2052"/>
      <c r="J14" s="2813"/>
    </row>
    <row r="15" spans="1:15" ht="12.75">
      <c r="A15" s="3532"/>
      <c r="B15" s="3532"/>
      <c r="C15" s="3534"/>
      <c r="D15" s="3536"/>
      <c r="E15" s="12" t="s">
        <v>1673</v>
      </c>
      <c r="F15" s="2057"/>
      <c r="G15" s="2057"/>
      <c r="H15" s="2057"/>
      <c r="I15" s="2052"/>
      <c r="J15" s="2813"/>
    </row>
    <row r="16" spans="1:15" ht="12.75">
      <c r="A16" s="3532"/>
      <c r="B16" s="3532"/>
      <c r="C16" s="3535"/>
      <c r="D16" s="3536"/>
      <c r="E16" s="12" t="s">
        <v>1674</v>
      </c>
      <c r="F16" s="2057"/>
      <c r="G16" s="2057"/>
      <c r="H16" s="2057"/>
      <c r="I16" s="2052"/>
      <c r="J16" s="2813"/>
    </row>
    <row r="17" spans="1:36" ht="15">
      <c r="A17" s="2682" t="s">
        <v>1675</v>
      </c>
      <c r="B17" s="2062"/>
      <c r="C17" s="2683">
        <f>SUM(C5:C16)</f>
        <v>5</v>
      </c>
      <c r="D17" s="2683">
        <f>SUM(D5:D16)</f>
        <v>5</v>
      </c>
      <c r="E17" s="2531"/>
      <c r="F17" s="2531"/>
      <c r="G17" s="2531"/>
      <c r="H17" s="2531"/>
      <c r="I17" s="2531"/>
      <c r="J17" s="2814"/>
    </row>
    <row r="18" spans="1:36" ht="30" customHeight="1" thickBot="1">
      <c r="A18" s="2684" t="s">
        <v>1676</v>
      </c>
      <c r="B18" s="2685"/>
      <c r="C18" s="2686">
        <f>ROUND(C17/SUM(C17:D17),2)</f>
        <v>0.5</v>
      </c>
      <c r="D18" s="2686">
        <f>1-C18</f>
        <v>0.5</v>
      </c>
      <c r="E18" s="3541" t="s">
        <v>2760</v>
      </c>
      <c r="F18" s="3542"/>
      <c r="G18" s="3542"/>
      <c r="H18" s="3542"/>
      <c r="I18" s="3542"/>
      <c r="J18" s="2814"/>
    </row>
    <row r="19" spans="1:36" ht="15">
      <c r="A19" s="2687" t="s">
        <v>1677</v>
      </c>
      <c r="B19" s="2688" t="s">
        <v>1678</v>
      </c>
      <c r="C19" s="2689">
        <f ca="1">SUMIF(INDIRECT("'"&amp;C4&amp;"'"&amp;"!A:A"),结果表!B19,INDIRECT("'"&amp;C4&amp;"'"&amp;"!B:B"))</f>
        <v>115</v>
      </c>
      <c r="D19" s="2690">
        <f ca="1">SUMIF(INDIRECT("'"&amp;D4&amp;"'"&amp;"!A:A"),结果表!B19,INDIRECT("'"&amp;D4&amp;"'"&amp;"!B:B"))</f>
        <v>125</v>
      </c>
      <c r="E19" s="2687" t="s">
        <v>1679</v>
      </c>
      <c r="F19" s="2688" t="s">
        <v>1678</v>
      </c>
      <c r="G19" s="2691">
        <f ca="1">ROUND(C19*$C$18+D19*$D$18,0)</f>
        <v>120</v>
      </c>
      <c r="H19" s="2692" t="str">
        <f>'数据-取费表'!B3</f>
        <v>万元</v>
      </c>
      <c r="I19" s="2740"/>
      <c r="J19" s="2815"/>
    </row>
    <row r="20" spans="1:36" ht="15">
      <c r="A20" s="2693"/>
      <c r="B20" s="1662" t="s">
        <v>1680</v>
      </c>
      <c r="C20" s="1887">
        <f ca="1">SUMIF(INDIRECT("'"&amp;C4&amp;"'"&amp;"!A:A"),结果表!B20,INDIRECT("'"&amp;C4&amp;"'"&amp;"!B:B"))</f>
        <v>19486</v>
      </c>
      <c r="D20" s="1890">
        <f ca="1">SUMIF(INDIRECT("'"&amp;D4&amp;"'"&amp;"!A:A"),结果表!B20,INDIRECT("'"&amp;D4&amp;"'"&amp;"!B:B"))</f>
        <v>21334</v>
      </c>
      <c r="E20" s="2693"/>
      <c r="F20" s="1662" t="s">
        <v>1680</v>
      </c>
      <c r="G20" s="2061">
        <f ca="1">ROUND(C20*$C$18+D20*$D$18,0)</f>
        <v>20410</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5"/>
      <c r="D22" s="2702">
        <f ca="1">IF(C19&lt;D19,D19/C19-1,C19/D19-1)</f>
        <v>8.6956521739130377E-2</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37" t="s">
        <v>1683</v>
      </c>
      <c r="B24" s="2688" t="s">
        <v>1678</v>
      </c>
      <c r="C24" s="2691">
        <f>D30</f>
        <v>0</v>
      </c>
      <c r="D24" s="2643"/>
      <c r="E24" s="945"/>
      <c r="F24" s="945"/>
      <c r="G24" s="945"/>
      <c r="H24" s="945"/>
      <c r="I24" s="945"/>
      <c r="J24" s="2814"/>
    </row>
    <row r="25" spans="1:36" ht="21.75" customHeight="1">
      <c r="A25" s="3538"/>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1688</v>
      </c>
      <c r="B30" s="2742"/>
      <c r="C30" s="2742"/>
      <c r="D30" s="2742"/>
      <c r="E30" s="2709" t="s">
        <v>2764</v>
      </c>
      <c r="F30" s="2531"/>
      <c r="G30" s="2531"/>
      <c r="H30" s="2531"/>
      <c r="I30" s="2531"/>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120</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5"/>
      <c r="H33" s="945"/>
      <c r="I33" s="945"/>
      <c r="J33" s="2814"/>
    </row>
    <row r="34" spans="1:17" ht="15">
      <c r="A34" s="1434"/>
      <c r="B34" s="2715" t="s">
        <v>1692</v>
      </c>
      <c r="C34" s="2716">
        <f ca="1">IF(D33="自定义",F34,C32-C35)</f>
        <v>84</v>
      </c>
      <c r="D34" s="2717">
        <f ca="1">IF(D33="自定义",ROUND(C34/C32,3),1-D35)</f>
        <v>0.70300000000000007</v>
      </c>
      <c r="E34" s="1403" t="s">
        <v>1693</v>
      </c>
      <c r="F34" s="2718">
        <v>2000</v>
      </c>
      <c r="G34" s="945"/>
      <c r="H34" s="945"/>
      <c r="I34" s="945"/>
      <c r="J34" s="2814"/>
    </row>
    <row r="35" spans="1:17" ht="15.75" thickBot="1">
      <c r="A35" s="1435"/>
      <c r="B35" s="2719" t="s">
        <v>1694</v>
      </c>
      <c r="C35" s="2720">
        <f ca="1">IF(D33="自定义",F35,ROUND(C32*D35,0))</f>
        <v>36</v>
      </c>
      <c r="D35" s="2721">
        <f ca="1">IF(D33="自定义",ROUND(C35/C32,3),IF(D33="成本法成本比率",成本法!C56,IF(D33="收益法收益比率",收益法!J38,收益法!J41)))</f>
        <v>0.29699999999999999</v>
      </c>
      <c r="E35" s="2722" t="s">
        <v>1695</v>
      </c>
      <c r="F35" s="2723">
        <v>4460</v>
      </c>
      <c r="G35" s="945"/>
      <c r="H35" s="945"/>
      <c r="I35" s="945"/>
      <c r="J35" s="2814"/>
    </row>
    <row r="36" spans="1:17" ht="15.75" thickBot="1">
      <c r="A36" s="3537" t="s">
        <v>1696</v>
      </c>
      <c r="B36" s="1436" t="s">
        <v>1697</v>
      </c>
      <c r="C36" s="2724">
        <v>0</v>
      </c>
      <c r="D36" s="2725"/>
      <c r="E36" s="1648"/>
      <c r="F36" s="1648"/>
      <c r="G36" s="945"/>
      <c r="H36" s="945"/>
      <c r="I36" s="945"/>
      <c r="J36" s="2814"/>
    </row>
    <row r="37" spans="1:17" ht="15.75" thickBot="1">
      <c r="A37" s="3539"/>
      <c r="B37" s="2062" t="s">
        <v>1698</v>
      </c>
      <c r="C37" s="2726">
        <v>0</v>
      </c>
      <c r="D37" s="1279"/>
      <c r="E37" s="1279"/>
      <c r="F37" s="1648"/>
      <c r="G37" s="1279"/>
      <c r="H37" s="1279"/>
      <c r="I37" s="1279"/>
      <c r="J37" s="2818"/>
    </row>
    <row r="38" spans="1:17" ht="15.75" thickBot="1">
      <c r="A38" s="3540"/>
      <c r="B38" s="1437" t="s">
        <v>1699</v>
      </c>
      <c r="C38" s="2727">
        <v>0</v>
      </c>
      <c r="D38" s="2728" t="s">
        <v>1700</v>
      </c>
      <c r="E38" s="1279"/>
      <c r="F38" s="1648"/>
      <c r="G38" s="1279"/>
      <c r="H38" s="1279"/>
      <c r="I38" s="1279"/>
      <c r="J38" s="2818"/>
    </row>
    <row r="39" spans="1:17" ht="15">
      <c r="A39" s="2693" t="s">
        <v>1701</v>
      </c>
      <c r="B39" s="2729" t="s">
        <v>1685</v>
      </c>
      <c r="C39" s="2730" t="s">
        <v>1686</v>
      </c>
      <c r="D39" s="2730" t="s">
        <v>1702</v>
      </c>
      <c r="E39" s="2731" t="s">
        <v>1687</v>
      </c>
      <c r="F39" s="1648"/>
      <c r="G39" s="1279"/>
      <c r="H39" s="1279"/>
      <c r="I39" s="1279"/>
      <c r="J39" s="2818"/>
    </row>
    <row r="40" spans="1:17" ht="14.25">
      <c r="A40" s="2732" t="s">
        <v>1703</v>
      </c>
      <c r="B40" s="2733"/>
      <c r="C40" s="2734"/>
      <c r="D40" s="2734"/>
      <c r="E40" s="2735"/>
      <c r="F40" s="1648"/>
      <c r="G40" s="1279"/>
      <c r="H40" s="1279"/>
      <c r="I40" s="1279"/>
      <c r="J40" s="2818"/>
    </row>
    <row r="41" spans="1:17" ht="14.25">
      <c r="A41" s="2732" t="s">
        <v>1704</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1705</v>
      </c>
      <c r="B44" s="1440"/>
      <c r="C44" s="1440"/>
      <c r="D44" s="1441"/>
      <c r="E44" s="1441"/>
      <c r="F44" s="1442"/>
      <c r="G44" s="1442"/>
      <c r="H44" s="1442"/>
      <c r="I44" s="2808" t="s">
        <v>2759</v>
      </c>
      <c r="J44" s="2820"/>
      <c r="K44" s="1443" t="s">
        <v>1706</v>
      </c>
      <c r="L44" s="1444"/>
      <c r="M44" s="1444"/>
      <c r="N44" s="1444"/>
      <c r="O44" s="1444"/>
      <c r="P44" s="1444"/>
      <c r="Q44" s="1276"/>
    </row>
    <row r="45" spans="1:17" ht="14.25" customHeight="1" thickBot="1">
      <c r="A45" s="3443" t="s">
        <v>1707</v>
      </c>
      <c r="B45" s="3444"/>
      <c r="C45" s="3470"/>
      <c r="D45" s="246">
        <f ca="1">ROUND(I102*F45,0)</f>
        <v>120</v>
      </c>
      <c r="E45" s="1510" t="s">
        <v>1708</v>
      </c>
      <c r="F45" s="2529">
        <v>1</v>
      </c>
      <c r="G45" s="2530" t="s">
        <v>1709</v>
      </c>
      <c r="H45" s="945"/>
      <c r="I45" s="945"/>
      <c r="J45" s="2814"/>
      <c r="K45" s="3567" t="s">
        <v>2689</v>
      </c>
      <c r="L45" s="3567"/>
      <c r="M45" s="3567"/>
      <c r="N45" s="3567"/>
      <c r="O45" s="3567"/>
      <c r="P45" s="3567"/>
      <c r="Q45" s="1276"/>
    </row>
    <row r="46" spans="1:17" ht="14.25" customHeight="1">
      <c r="A46" s="3545" t="s">
        <v>1711</v>
      </c>
      <c r="B46" s="3546"/>
      <c r="C46" s="3546"/>
      <c r="D46" s="3546"/>
      <c r="E46" s="3546"/>
      <c r="F46" s="3546"/>
      <c r="G46" s="3547"/>
      <c r="H46" s="2946"/>
      <c r="I46" s="945"/>
      <c r="J46" s="2814"/>
      <c r="K46" s="2504">
        <v>1</v>
      </c>
      <c r="L46" s="3568" t="s">
        <v>2690</v>
      </c>
      <c r="M46" s="3568"/>
      <c r="N46" s="3569" t="str">
        <f>项目基本情况!B1</f>
        <v>北京市房地产抵押价值预评估</v>
      </c>
      <c r="O46" s="3569"/>
      <c r="P46" s="3569"/>
      <c r="Q46" s="1276"/>
    </row>
    <row r="47" spans="1:17" ht="12" customHeight="1">
      <c r="A47" s="38" t="s">
        <v>1713</v>
      </c>
      <c r="B47" s="39"/>
      <c r="C47" s="40"/>
      <c r="D47" s="1068" t="s">
        <v>1714</v>
      </c>
      <c r="E47" s="235" t="s">
        <v>1715</v>
      </c>
      <c r="F47" s="41" t="s">
        <v>1716</v>
      </c>
      <c r="G47" s="2532" t="s">
        <v>1717</v>
      </c>
      <c r="H47" s="2946"/>
      <c r="I47" s="945"/>
      <c r="J47" s="2814"/>
      <c r="K47" s="2504">
        <v>2</v>
      </c>
      <c r="L47" s="3568" t="s">
        <v>2691</v>
      </c>
      <c r="M47" s="3568"/>
      <c r="N47" s="3570">
        <f>'数据-取费表'!B2</f>
        <v>44545</v>
      </c>
      <c r="O47" s="3570"/>
      <c r="P47" s="3570"/>
      <c r="Q47" s="1276"/>
    </row>
    <row r="48" spans="1:17" ht="25.5">
      <c r="A48" s="3550" t="s">
        <v>1719</v>
      </c>
      <c r="B48" s="3447"/>
      <c r="C48" s="3447"/>
      <c r="D48" s="12">
        <f ca="1">IF(H48="情况1",0,IF(H48="情况2",D52,IF(H48="情况3",D53,IF(H48="情况4",D54))))</f>
        <v>6</v>
      </c>
      <c r="E48" s="2060" t="str">
        <f>IF(H48="情况4","(销售额-原购置价)×税（费）率","销售额×税（费）率")</f>
        <v>销售额×税（费）率</v>
      </c>
      <c r="F48" s="2533">
        <f>IF(H48="情况1","免征",'数据-取费表'!E29)</f>
        <v>5.5000000000000007E-2</v>
      </c>
      <c r="G48" s="2534" t="s">
        <v>1720</v>
      </c>
      <c r="H48" s="2535" t="s">
        <v>1721</v>
      </c>
      <c r="I48" s="2946"/>
      <c r="J48" s="2821"/>
      <c r="K48" s="2504">
        <v>3</v>
      </c>
      <c r="L48" s="3568" t="s">
        <v>2692</v>
      </c>
      <c r="M48" s="3568"/>
      <c r="N48" s="3569">
        <f ca="1">I102</f>
        <v>120</v>
      </c>
      <c r="O48" s="3569"/>
      <c r="P48" s="3569"/>
      <c r="Q48" s="1276"/>
    </row>
    <row r="49" spans="1:17" ht="25.5" customHeight="1">
      <c r="A49" s="2059" t="s">
        <v>1723</v>
      </c>
      <c r="B49" s="3453" t="s">
        <v>1724</v>
      </c>
      <c r="C49" s="3453"/>
      <c r="D49" s="2536">
        <v>0</v>
      </c>
      <c r="E49" s="261" t="s">
        <v>1725</v>
      </c>
      <c r="F49" s="2537" t="s">
        <v>48</v>
      </c>
      <c r="G49" s="3525"/>
      <c r="H49" s="2538" t="s">
        <v>2766</v>
      </c>
      <c r="I49" s="2539"/>
      <c r="J49" s="2822"/>
      <c r="K49" s="2504">
        <v>4</v>
      </c>
      <c r="L49" s="3568" t="str">
        <f>IF(项目基本情况!F5="房地产抵押价值","房地产抵押价值","抵押担保权已注销时的房地产抵押价值")</f>
        <v>房地产抵押价值</v>
      </c>
      <c r="M49" s="3568"/>
      <c r="N49" s="3569">
        <f ca="1">IF(项目基本情况!F5="房地产抵押价值",I110,I112)</f>
        <v>120</v>
      </c>
      <c r="O49" s="3569"/>
      <c r="P49" s="3569"/>
      <c r="Q49" s="1276"/>
    </row>
    <row r="50" spans="1:17" ht="25.5" customHeight="1">
      <c r="A50" s="2049"/>
      <c r="B50" s="3453" t="s">
        <v>1726</v>
      </c>
      <c r="C50" s="3453"/>
      <c r="D50" s="2540"/>
      <c r="E50" s="269"/>
      <c r="F50" s="2537"/>
      <c r="G50" s="3526"/>
      <c r="H50" s="2541" t="s">
        <v>2685</v>
      </c>
      <c r="I50" s="2539"/>
      <c r="J50" s="2822"/>
      <c r="K50" s="3568" t="s">
        <v>2693</v>
      </c>
      <c r="L50" s="3568"/>
      <c r="M50" s="3568"/>
      <c r="N50" s="3568"/>
      <c r="O50" s="3568"/>
      <c r="P50" s="3568"/>
      <c r="Q50" s="1276"/>
    </row>
    <row r="51" spans="1:17" ht="20.45" customHeight="1">
      <c r="A51" s="2542"/>
      <c r="B51" s="3453" t="s">
        <v>1728</v>
      </c>
      <c r="C51" s="3453"/>
      <c r="D51" s="1068"/>
      <c r="E51" s="264"/>
      <c r="F51" s="2537"/>
      <c r="G51" s="3527"/>
      <c r="H51" s="2541" t="s">
        <v>2686</v>
      </c>
      <c r="I51" s="2539"/>
      <c r="J51" s="2822"/>
      <c r="K51" s="2505" t="s">
        <v>2694</v>
      </c>
      <c r="L51" s="3568" t="s">
        <v>2695</v>
      </c>
      <c r="M51" s="3568"/>
      <c r="N51" s="2505" t="s">
        <v>2696</v>
      </c>
      <c r="O51" s="2505" t="s">
        <v>2697</v>
      </c>
      <c r="P51" s="2505" t="s">
        <v>2698</v>
      </c>
      <c r="Q51" s="1276"/>
    </row>
    <row r="52" spans="1:17" ht="24" customHeight="1">
      <c r="A52" s="2050" t="s">
        <v>1734</v>
      </c>
      <c r="B52" s="3453" t="s">
        <v>1735</v>
      </c>
      <c r="C52" s="3453"/>
      <c r="D52" s="1068">
        <f ca="1">ROUND(D45*'数据-取费表'!E29/(1+'数据-取费表'!F30),0)</f>
        <v>6</v>
      </c>
      <c r="E52" s="2060" t="s">
        <v>1736</v>
      </c>
      <c r="F52" s="2543">
        <f>'数据-取费表'!E29</f>
        <v>5.5000000000000007E-2</v>
      </c>
      <c r="G52" s="2544"/>
      <c r="H52" s="945"/>
      <c r="I52" s="2947"/>
      <c r="J52" s="2822"/>
      <c r="K52" s="2504">
        <v>1</v>
      </c>
      <c r="L52" s="3558" t="s">
        <v>2699</v>
      </c>
      <c r="M52" s="3558"/>
      <c r="N52" s="2506">
        <f ca="1">D48</f>
        <v>6</v>
      </c>
      <c r="O52" s="2504" t="str">
        <f>E48</f>
        <v>销售额×税（费）率</v>
      </c>
      <c r="P52" s="2507">
        <f>F48</f>
        <v>5.5000000000000007E-2</v>
      </c>
      <c r="Q52" s="1276"/>
    </row>
    <row r="53" spans="1:17" ht="12" customHeight="1">
      <c r="A53" s="2050" t="s">
        <v>1738</v>
      </c>
      <c r="B53" s="3448" t="s">
        <v>2778</v>
      </c>
      <c r="C53" s="3454"/>
      <c r="D53" s="1068">
        <f ca="1">ROUND(D45*'数据-取费表'!E29/(1+'数据-取费表'!F30),0)</f>
        <v>6</v>
      </c>
      <c r="E53" s="2060" t="s">
        <v>1736</v>
      </c>
      <c r="F53" s="2543">
        <f>'数据-取费表'!E29</f>
        <v>5.5000000000000007E-2</v>
      </c>
      <c r="G53" s="2544"/>
      <c r="H53" s="945"/>
      <c r="I53" s="2947"/>
      <c r="J53" s="2822"/>
      <c r="K53" s="2504">
        <v>2</v>
      </c>
      <c r="L53" s="3558" t="s">
        <v>2700</v>
      </c>
      <c r="M53" s="3558"/>
      <c r="N53" s="2506">
        <f t="shared" ref="N53:P54" si="1">D55</f>
        <v>0</v>
      </c>
      <c r="O53" s="2504" t="str">
        <f t="shared" si="1"/>
        <v>销售额×税（费）率</v>
      </c>
      <c r="P53" s="2507" t="str">
        <f t="shared" si="1"/>
        <v>免征</v>
      </c>
      <c r="Q53" s="1276"/>
    </row>
    <row r="54" spans="1:17" ht="12" customHeight="1">
      <c r="A54" s="2050" t="s">
        <v>1740</v>
      </c>
      <c r="B54" s="3448" t="s">
        <v>2779</v>
      </c>
      <c r="C54" s="3454"/>
      <c r="D54" s="1068">
        <f ca="1">C68</f>
        <v>6</v>
      </c>
      <c r="E54" s="264" t="s">
        <v>1741</v>
      </c>
      <c r="F54" s="2543">
        <f>'数据-取费表'!E29</f>
        <v>5.5000000000000007E-2</v>
      </c>
      <c r="G54" s="2544"/>
      <c r="H54" s="2948"/>
      <c r="I54" s="2947"/>
      <c r="J54" s="2822"/>
      <c r="K54" s="2504">
        <v>3</v>
      </c>
      <c r="L54" s="3558" t="s">
        <v>2701</v>
      </c>
      <c r="M54" s="3558"/>
      <c r="N54" s="2506">
        <f t="shared" si="1"/>
        <v>0</v>
      </c>
      <c r="O54" s="2504" t="str">
        <f t="shared" si="1"/>
        <v>增值额×税（费）率</v>
      </c>
      <c r="P54" s="2508" t="str">
        <f t="shared" si="1"/>
        <v>免征</v>
      </c>
      <c r="Q54" s="1276"/>
    </row>
    <row r="55" spans="1:17" ht="24" customHeight="1">
      <c r="A55" s="3446" t="s">
        <v>1743</v>
      </c>
      <c r="B55" s="3447"/>
      <c r="C55" s="3447"/>
      <c r="D55" s="12">
        <f>IF(H55="个人住宅",0,ROUND(D45*I55,0))</f>
        <v>0</v>
      </c>
      <c r="E55" s="2060" t="s">
        <v>1744</v>
      </c>
      <c r="F55" s="2543" t="str">
        <f>IF(H55="正常",I55,"免征")</f>
        <v>免征</v>
      </c>
      <c r="G55" s="2544"/>
      <c r="H55" s="2535" t="s">
        <v>2682</v>
      </c>
      <c r="I55" s="74">
        <f>'数据-取费表'!E37</f>
        <v>5.0000000000000001E-4</v>
      </c>
      <c r="J55" s="2822"/>
      <c r="K55" s="2504" t="str">
        <f>IF(H59="非个人房产","",4)</f>
        <v/>
      </c>
      <c r="L55" s="3558" t="str">
        <f>IF(H59="非个人房产","——","个人所得税")</f>
        <v>——</v>
      </c>
      <c r="M55" s="3558"/>
      <c r="N55" s="2509" t="str">
        <f>D59</f>
        <v>——</v>
      </c>
      <c r="O55" s="2510" t="str">
        <f>E59</f>
        <v>——</v>
      </c>
      <c r="P55" s="2511" t="str">
        <f>F59</f>
        <v>——</v>
      </c>
      <c r="Q55" s="1276"/>
    </row>
    <row r="56" spans="1:17" ht="24.75">
      <c r="A56" s="3446" t="s">
        <v>1746</v>
      </c>
      <c r="B56" s="3447"/>
      <c r="C56" s="3447"/>
      <c r="D56" s="12">
        <f>IF(H56="个人住宅",D57,D58)</f>
        <v>0</v>
      </c>
      <c r="E56" s="2060" t="s">
        <v>1747</v>
      </c>
      <c r="F56" s="2543" t="str">
        <f>IF(H56="正常",F58,"免征")</f>
        <v>免征</v>
      </c>
      <c r="G56" s="2545" t="s">
        <v>1748</v>
      </c>
      <c r="H56" s="2546" t="s">
        <v>2682</v>
      </c>
      <c r="I56" s="2949"/>
      <c r="J56" s="2822"/>
      <c r="K56" s="2504" t="str">
        <f>IF(项目基本情况!I6="上海银行",IF(K55="",4,K55+1),"")</f>
        <v/>
      </c>
      <c r="L56" s="3560" t="str">
        <f>IF(项目基本情况!I6="上海银行","其他处置费用","")</f>
        <v/>
      </c>
      <c r="M56" s="3561"/>
      <c r="N56" s="2506" t="str">
        <f>IF(项目基本情况!I6="上海银行",N69,"")</f>
        <v/>
      </c>
      <c r="O56" s="3560" t="str">
        <f>IF(项目基本情况!I6="上海银行","包含处置中涉及的律师、诉讼、拍卖、评估等费用","")</f>
        <v/>
      </c>
      <c r="P56" s="3566"/>
      <c r="Q56" s="1276"/>
    </row>
    <row r="57" spans="1:17" ht="12.75">
      <c r="A57" s="2050" t="s">
        <v>1723</v>
      </c>
      <c r="B57" s="3448" t="s">
        <v>1749</v>
      </c>
      <c r="C57" s="3454"/>
      <c r="D57" s="2536">
        <v>0</v>
      </c>
      <c r="E57" s="261" t="s">
        <v>1725</v>
      </c>
      <c r="F57" s="235"/>
      <c r="G57" s="2544"/>
      <c r="H57" s="2949"/>
      <c r="I57" s="2949"/>
      <c r="J57" s="2822"/>
      <c r="K57" s="3558">
        <f>IF(AND(K55="",K56=""),4,IF(项目基本情况!I6="上海银行",K56+1,K55+1))</f>
        <v>4</v>
      </c>
      <c r="L57" s="3558" t="s">
        <v>2702</v>
      </c>
      <c r="M57" s="2512" t="s">
        <v>2703</v>
      </c>
      <c r="N57" s="2513"/>
      <c r="O57" s="2514">
        <f ca="1">SUMIF(N52:N56,"&lt;9e307")</f>
        <v>6</v>
      </c>
      <c r="P57" s="2515"/>
      <c r="Q57" s="1274">
        <f ca="1">O57/N49</f>
        <v>0.05</v>
      </c>
    </row>
    <row r="58" spans="1:17" ht="24.75">
      <c r="A58" s="2050" t="s">
        <v>1734</v>
      </c>
      <c r="B58" s="3448" t="s">
        <v>1752</v>
      </c>
      <c r="C58" s="3453"/>
      <c r="D58" s="12">
        <f ca="1">IF(H58="转让取得",C81,C97)</f>
        <v>67</v>
      </c>
      <c r="E58" s="2060" t="s">
        <v>1747</v>
      </c>
      <c r="F58" s="235" t="s">
        <v>48</v>
      </c>
      <c r="G58" s="2544"/>
      <c r="H58" s="2546" t="s">
        <v>1753</v>
      </c>
      <c r="I58" s="2949"/>
      <c r="J58" s="2822"/>
      <c r="K58" s="3558"/>
      <c r="L58" s="3558"/>
      <c r="M58" s="2512" t="s">
        <v>2704</v>
      </c>
      <c r="N58" s="2516"/>
      <c r="O58" s="2517" t="str">
        <f ca="1">IF(H19="元",NUMBERSTRING(INT(O57),2)&amp;"元整",NUMBERSTRING(INT(O57*10000),2)&amp;"元整")</f>
        <v>陆万元整</v>
      </c>
      <c r="P58" s="2518"/>
      <c r="Q58" s="1276"/>
    </row>
    <row r="59" spans="1:17" ht="24.75" thickBot="1">
      <c r="A59" s="3432" t="s">
        <v>1755</v>
      </c>
      <c r="B59" s="3433"/>
      <c r="C59" s="3433"/>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2757</v>
      </c>
      <c r="H59" s="2064" t="s">
        <v>2767</v>
      </c>
      <c r="I59" s="2851" t="s">
        <v>2768</v>
      </c>
      <c r="J59" s="2822"/>
      <c r="K59" s="3556">
        <f>K57+1</f>
        <v>5</v>
      </c>
      <c r="L59" s="3558" t="s">
        <v>2705</v>
      </c>
      <c r="M59" s="2504" t="s">
        <v>2703</v>
      </c>
      <c r="N59" s="2519"/>
      <c r="O59" s="2520">
        <f ca="1">N49-O57</f>
        <v>114</v>
      </c>
      <c r="P59" s="2521"/>
      <c r="Q59" s="1276"/>
    </row>
    <row r="60" spans="1:17" ht="12" customHeight="1">
      <c r="A60" s="1425"/>
      <c r="B60" s="1429"/>
      <c r="C60" s="1429"/>
      <c r="D60" s="1429"/>
      <c r="E60" s="811"/>
      <c r="F60" s="2950"/>
      <c r="G60" s="2950"/>
      <c r="H60" s="2951"/>
      <c r="I60" s="31"/>
      <c r="K60" s="3557"/>
      <c r="L60" s="3558"/>
      <c r="M60" s="2512" t="s">
        <v>2704</v>
      </c>
      <c r="N60" s="2516"/>
      <c r="O60" s="2517" t="str">
        <f ca="1">IF(H19="元",NUMBERSTRING(INT(O59),2)&amp;"元整",NUMBERSTRING(INT(O59*10000),2)&amp;"元整")</f>
        <v>壹佰壹拾肆万元整</v>
      </c>
      <c r="P60" s="2518"/>
      <c r="Q60" s="1276"/>
    </row>
    <row r="61" spans="1:17" ht="13.5" thickBot="1">
      <c r="A61" s="3552" t="s">
        <v>1757</v>
      </c>
      <c r="B61" s="3552"/>
      <c r="C61" s="3552"/>
      <c r="D61" s="3552"/>
      <c r="E61" s="3552"/>
      <c r="F61" s="2950"/>
      <c r="G61" s="2950"/>
      <c r="H61" s="2952"/>
      <c r="I61" s="31"/>
      <c r="K61" s="2504">
        <f>K59+1</f>
        <v>6</v>
      </c>
      <c r="L61" s="3558" t="s">
        <v>2706</v>
      </c>
      <c r="M61" s="3558"/>
      <c r="N61" s="2522"/>
      <c r="O61" s="2523">
        <f ca="1">IF(H19="元",ROUND(O59/项目基本情况!C12,0),ROUND(O59*10000/项目基本情况!C12,0))</f>
        <v>19391</v>
      </c>
      <c r="P61" s="2524"/>
      <c r="Q61" s="1276"/>
    </row>
    <row r="62" spans="1:17" ht="12.75">
      <c r="A62" s="3501" t="s">
        <v>1759</v>
      </c>
      <c r="B62" s="3502"/>
      <c r="C62" s="1575"/>
      <c r="D62" s="1575" t="s">
        <v>1760</v>
      </c>
      <c r="E62" s="45" t="s">
        <v>1761</v>
      </c>
      <c r="F62" s="2950"/>
      <c r="G62" s="2950"/>
      <c r="H62" s="2952"/>
      <c r="I62" s="31"/>
      <c r="K62" s="2525"/>
      <c r="L62" s="2525"/>
      <c r="M62" s="2525"/>
      <c r="N62" s="2525"/>
      <c r="O62" s="2525"/>
      <c r="P62" s="2525"/>
      <c r="Q62" s="1276"/>
    </row>
    <row r="63" spans="1:17" ht="12.75">
      <c r="A63" s="46">
        <v>1</v>
      </c>
      <c r="B63" s="47" t="s">
        <v>1762</v>
      </c>
      <c r="C63" s="2753">
        <f ca="1">ROUND((C64+C65)/(1+'数据-取费表'!F30),0)</f>
        <v>114</v>
      </c>
      <c r="D63" s="47"/>
      <c r="E63" s="48"/>
      <c r="F63" s="2950"/>
      <c r="G63" s="2950"/>
      <c r="H63" s="2952"/>
      <c r="I63" s="31"/>
      <c r="K63" s="3562" t="s">
        <v>2707</v>
      </c>
      <c r="L63" s="2526" t="s">
        <v>2708</v>
      </c>
      <c r="M63" s="2526">
        <f ca="1">IF(N49&gt;10000,N49*0.5%,IF(AND(N49&gt;1000,N49&lt;=10000),N49*1%,IF(AND(N49&gt;100,N49&lt;=1000),N49*3%,IF(AND(N49&gt;10,N49&lt;=100),N49*5%,N49*8%))))</f>
        <v>3.5999999999999996</v>
      </c>
      <c r="N63" s="2527">
        <f ca="1">ROUND(M63,1)</f>
        <v>3.6</v>
      </c>
      <c r="O63" s="2525"/>
      <c r="P63" s="2525"/>
      <c r="Q63" s="1276"/>
    </row>
    <row r="64" spans="1:17" ht="12.75">
      <c r="A64" s="49" t="s">
        <v>71</v>
      </c>
      <c r="B64" s="50" t="s">
        <v>1765</v>
      </c>
      <c r="C64" s="2754">
        <f ca="1">D45</f>
        <v>120</v>
      </c>
      <c r="D64" s="50" t="s">
        <v>41</v>
      </c>
      <c r="E64" s="52"/>
      <c r="F64" s="2950"/>
      <c r="G64" s="2950"/>
      <c r="H64" s="2952"/>
      <c r="I64" s="31"/>
      <c r="K64" s="3562"/>
      <c r="L64" s="2526" t="s">
        <v>2709</v>
      </c>
      <c r="M64" s="2526">
        <f ca="1">IF(N49&gt;2000,N49*0.5%,IF(AND(N49&gt;1000,N49&lt;=2000),N49*0.6%,IF(AND(N49&gt;500,N49&lt;=1000),N49*0.7%,IF(AND(N49&gt;200,N49&lt;=500),N49*0.8%,IF(AND(N49&gt;100,N49&lt;=200),N49*0.9%,IF(AND(N49&gt;50,N49&lt;=100),N49*1%,IF(AND(N49&gt;20,N49&lt;=50),N49*1.5%,IF(AND(N49&gt;10,N49&lt;=20),N49*2%,IF(AND(N49&gt;1,N49&lt;=10),N49*2.5%)))))))))</f>
        <v>1.08</v>
      </c>
      <c r="N64" s="2527">
        <f t="shared" ref="N64:N65" ca="1" si="2">ROUND(M64,1)</f>
        <v>1.1000000000000001</v>
      </c>
      <c r="O64" s="2525" t="s">
        <v>2710</v>
      </c>
      <c r="P64" s="2525"/>
      <c r="Q64" s="1276"/>
    </row>
    <row r="65" spans="1:36" ht="12.75">
      <c r="A65" s="49" t="s">
        <v>72</v>
      </c>
      <c r="B65" s="50" t="s">
        <v>1768</v>
      </c>
      <c r="C65" s="2755"/>
      <c r="D65" s="50"/>
      <c r="E65" s="52"/>
      <c r="F65" s="2950"/>
      <c r="G65" s="2950"/>
      <c r="H65" s="2952"/>
      <c r="I65" s="31"/>
      <c r="K65" s="3562"/>
      <c r="L65" s="2526" t="s">
        <v>2711</v>
      </c>
      <c r="M65" s="2526">
        <f ca="1">IF(N49&gt;1000,N49*0.1%,IF(AND(N49&gt;500,N49&lt;=1000),N49*0.5%,IF(AND(N49&gt;50,N49&lt;=500),N49*1%,IF(AND(N49&gt;1,N49&lt;=50),N49*1.5%))))</f>
        <v>1.2</v>
      </c>
      <c r="N65" s="2527">
        <f t="shared" ca="1" si="2"/>
        <v>1.2</v>
      </c>
      <c r="O65" s="2525" t="s">
        <v>2710</v>
      </c>
      <c r="P65" s="2525"/>
      <c r="Q65" s="1276"/>
    </row>
    <row r="66" spans="1:36" ht="12.75">
      <c r="A66" s="53" t="s">
        <v>47</v>
      </c>
      <c r="B66" s="54" t="s">
        <v>1770</v>
      </c>
      <c r="C66" s="2756"/>
      <c r="D66" s="54" t="s">
        <v>41</v>
      </c>
      <c r="E66" s="1284" t="s">
        <v>1771</v>
      </c>
      <c r="F66" s="2950"/>
      <c r="G66" s="2950"/>
      <c r="H66" s="2952"/>
      <c r="I66" s="31"/>
      <c r="K66" s="3562"/>
      <c r="L66" s="2526" t="s">
        <v>2712</v>
      </c>
      <c r="M66" s="2526">
        <f ca="1">N49*0.5%</f>
        <v>0.6</v>
      </c>
      <c r="N66" s="2527">
        <f ca="1">IF(M66&gt;0.5,0.5,ROUND(M66,0))</f>
        <v>0.5</v>
      </c>
      <c r="O66" s="2525" t="s">
        <v>2713</v>
      </c>
      <c r="P66" s="2525"/>
      <c r="Q66" s="1276"/>
    </row>
    <row r="67" spans="1:36" ht="12.75">
      <c r="A67" s="53" t="s">
        <v>42</v>
      </c>
      <c r="B67" s="54" t="s">
        <v>1774</v>
      </c>
      <c r="C67" s="2757">
        <f ca="1">C63-C66</f>
        <v>114</v>
      </c>
      <c r="D67" s="50" t="s">
        <v>41</v>
      </c>
      <c r="E67" s="52"/>
      <c r="F67" s="2950"/>
      <c r="G67" s="2950"/>
      <c r="H67" s="2952"/>
      <c r="I67" s="31"/>
      <c r="K67" s="3562"/>
      <c r="L67" s="2526" t="s">
        <v>2714</v>
      </c>
      <c r="M67" s="2526">
        <f ca="1">IF(N49&gt;=10000,(8.25+(N49-10000)*0.01%),IF(AND(N49&gt;=8000,N49&lt;10000),(7.85+(N49-8000)*0.02%),IF(AND(N49&gt;=5000,N49&lt;8000),(6.65+(N49-5000)*0.04%),IF(AND(N49&gt;=2000,N49&lt;5000),(4.25+(PN49-2000)*0.08%),IF(AND(N49&gt;=1000,N49&lt;2000),(2.75+(N49-1000)*0.15%),IF(AND(N49&gt;=100,N49&lt;1000),(0.5+(N49-100)*0.25%),IF(AND(N49&gt;0,N49&lt;100),N49*0.5%)))))))</f>
        <v>0.55000000000000004</v>
      </c>
      <c r="N67" s="2527">
        <f ca="1">ROUND(M67*0.9,1)</f>
        <v>0.5</v>
      </c>
      <c r="O67" s="2525"/>
      <c r="P67" s="2525"/>
      <c r="Q67" s="1276"/>
    </row>
    <row r="68" spans="1:36" ht="13.5" thickBot="1">
      <c r="A68" s="55" t="s">
        <v>46</v>
      </c>
      <c r="B68" s="56" t="s">
        <v>1776</v>
      </c>
      <c r="C68" s="2758">
        <f ca="1">IF(C67&lt;=0,0,ROUND(C67*D68,0))</f>
        <v>6</v>
      </c>
      <c r="D68" s="2210">
        <f>'数据-取费表'!E29</f>
        <v>5.5000000000000007E-2</v>
      </c>
      <c r="E68" s="57"/>
      <c r="F68" s="2950"/>
      <c r="G68" s="2950"/>
      <c r="H68" s="2952"/>
      <c r="I68" s="31"/>
      <c r="K68" s="3562"/>
      <c r="L68" s="2526" t="s">
        <v>2715</v>
      </c>
      <c r="M68" s="2526">
        <f ca="1">IF(N49&gt;10000,N49*0.5%,IF(AND(N49&gt;5000,N49&lt;=10000),N49*1%,IF(AND(N49&gt;1000,N49&lt;=5000),N49*2%,IF(AND(N49&gt;200,N49&lt;=1000),N49*3%,N49*5%))))</f>
        <v>6</v>
      </c>
      <c r="N68" s="2527">
        <f ca="1">ROUND(M68,1)</f>
        <v>6</v>
      </c>
      <c r="O68" s="2525"/>
      <c r="P68" s="2525"/>
      <c r="Q68" s="1276"/>
    </row>
    <row r="69" spans="1:36" s="1433" customFormat="1" ht="7.5" customHeight="1">
      <c r="A69" s="1445"/>
      <c r="B69" s="1446"/>
      <c r="C69" s="1447"/>
      <c r="D69" s="1448"/>
      <c r="E69" s="1449"/>
      <c r="F69" s="811"/>
      <c r="G69" s="811"/>
      <c r="H69" s="1438"/>
      <c r="I69" s="1429"/>
      <c r="J69" s="2810"/>
      <c r="K69" s="3562"/>
      <c r="L69" s="2526" t="s">
        <v>54</v>
      </c>
      <c r="M69" s="2526"/>
      <c r="N69" s="2527">
        <f ca="1">ROUND(SUM(N63:N68),0)</f>
        <v>13</v>
      </c>
      <c r="O69" s="2528">
        <f ca="1">N69/N49</f>
        <v>0.10833333333333334</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54" t="s">
        <v>1779</v>
      </c>
      <c r="B70" s="3555"/>
      <c r="C70" s="3555"/>
      <c r="D70" s="3555"/>
      <c r="E70" s="3555"/>
      <c r="F70" s="3555"/>
      <c r="G70" s="3555"/>
      <c r="H70" s="3555"/>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501" t="s">
        <v>1759</v>
      </c>
      <c r="B71" s="3502"/>
      <c r="C71" s="1575"/>
      <c r="D71" s="1575" t="s">
        <v>1760</v>
      </c>
      <c r="E71" s="58" t="s">
        <v>1761</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1780</v>
      </c>
      <c r="C72" s="2757">
        <f ca="1">ROUND(D45/(1+'数据-取费表'!F30),0)</f>
        <v>114</v>
      </c>
      <c r="D72" s="50" t="s">
        <v>41</v>
      </c>
      <c r="E72" s="12" t="s">
        <v>1781</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1782</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1" t="s">
        <v>1786</v>
      </c>
      <c r="G75" s="64" t="s">
        <v>1787</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3">
        <v>0.05</v>
      </c>
      <c r="E76" s="3448" t="s">
        <v>1789</v>
      </c>
      <c r="F76" s="3453"/>
      <c r="G76" s="3453"/>
      <c r="H76" s="3514"/>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3"/>
      <c r="G77" s="1454" t="s">
        <v>1792</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1793</v>
      </c>
      <c r="C78" s="2765">
        <f ca="1">ROUND(D45*D78/(1+'数据-取费表'!F30),0)</f>
        <v>1</v>
      </c>
      <c r="D78" s="2766">
        <f>'数据-取费表'!E31</f>
        <v>5.000000000000001E-3</v>
      </c>
      <c r="E78" s="3503" t="s">
        <v>1794</v>
      </c>
      <c r="F78" s="3504"/>
      <c r="G78" s="3504"/>
      <c r="H78" s="3505"/>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1795</v>
      </c>
      <c r="C79" s="2757">
        <f ca="1">C72-C73</f>
        <v>113</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1796</v>
      </c>
      <c r="C80" s="2767">
        <f ca="1">IF(C79&lt;=0,0,C79/C73)</f>
        <v>113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1797</v>
      </c>
      <c r="C81" s="2768">
        <f ca="1">ROUND(IF(C79&lt;=0,0,IF(C80&gt;=200%,C79*60%-C73*35%,IF(C80&gt;=100%,C79*50%-C73*15%,IF(C80&gt;=50%,C79*40%-C73*5%,IF(C80&lt;50%,C79*30%,0))))),0)</f>
        <v>67</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54" t="s">
        <v>1798</v>
      </c>
      <c r="B83" s="3555"/>
      <c r="C83" s="3555"/>
      <c r="D83" s="3555"/>
      <c r="E83" s="3555"/>
      <c r="F83" s="3555"/>
      <c r="G83" s="3555"/>
      <c r="H83" s="3555"/>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501" t="s">
        <v>1759</v>
      </c>
      <c r="B84" s="3502"/>
      <c r="C84" s="1575"/>
      <c r="D84" s="1575" t="s">
        <v>1760</v>
      </c>
      <c r="E84" s="58" t="s">
        <v>1761</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1780</v>
      </c>
      <c r="C85" s="2757">
        <f ca="1">ROUND(D45/(1+'数据-取费表'!F30),0)</f>
        <v>114</v>
      </c>
      <c r="D85" s="50" t="s">
        <v>41</v>
      </c>
      <c r="E85" s="2056" t="s">
        <v>1781</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1782</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1799</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1800</v>
      </c>
      <c r="C88" s="2770"/>
      <c r="D88" s="2766"/>
      <c r="E88" s="74" t="s">
        <v>1801</v>
      </c>
      <c r="F88" s="2054"/>
      <c r="G88" s="75" t="s">
        <v>1802</v>
      </c>
      <c r="H88" s="1456"/>
      <c r="I88" s="9"/>
      <c r="J88" s="2825"/>
      <c r="K88" s="2941" t="s">
        <v>2761</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1790</v>
      </c>
      <c r="C89" s="2765">
        <f>ROUND(C88*D89,0)</f>
        <v>0</v>
      </c>
      <c r="D89" s="2766">
        <f>'数据-取费表'!E36+'数据-取费表'!E37</f>
        <v>3.0499999999999999E-2</v>
      </c>
      <c r="E89" s="74" t="s">
        <v>1803</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1804</v>
      </c>
      <c r="C90" s="2770"/>
      <c r="D90" s="2766"/>
      <c r="E90" s="74" t="str">
        <f>IF(H88="-","土地取得成本中已包含该笔费用"," ")</f>
        <v xml:space="preserve"> </v>
      </c>
      <c r="F90" s="2054"/>
      <c r="G90" s="3515" t="s">
        <v>2677</v>
      </c>
      <c r="H90" s="3515"/>
      <c r="I90" s="9"/>
      <c r="J90" s="2825"/>
      <c r="K90" s="2941" t="s">
        <v>2762</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1805</v>
      </c>
      <c r="C91" s="2765">
        <f>IF(H91="——",成本法!C33,I91)</f>
        <v>0</v>
      </c>
      <c r="D91" s="2766"/>
      <c r="E91" s="3503" t="s">
        <v>1806</v>
      </c>
      <c r="F91" s="3504"/>
      <c r="G91" s="3504"/>
      <c r="H91" s="1457" t="s">
        <v>1807</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1808</v>
      </c>
      <c r="C92" s="2765">
        <f>ROUND((C87+C90+C91)*D92,0)</f>
        <v>0</v>
      </c>
      <c r="D92" s="2809">
        <v>0.1</v>
      </c>
      <c r="E92" s="3503" t="s">
        <v>1809</v>
      </c>
      <c r="F92" s="3504"/>
      <c r="G92" s="3504"/>
      <c r="H92" s="3505"/>
      <c r="I92" s="9"/>
      <c r="J92" s="2825"/>
      <c r="K92" s="2942" t="s">
        <v>2763</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1793</v>
      </c>
      <c r="C93" s="2765">
        <f ca="1">ROUND(D45*D93/(1+'数据-取费表'!F30),0)</f>
        <v>1</v>
      </c>
      <c r="D93" s="2766">
        <f>'数据-取费表'!E31</f>
        <v>5.000000000000001E-3</v>
      </c>
      <c r="E93" s="3503" t="s">
        <v>1794</v>
      </c>
      <c r="F93" s="3504"/>
      <c r="G93" s="3504"/>
      <c r="H93" s="3505"/>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1810</v>
      </c>
      <c r="C94" s="2765">
        <f>ROUND((C87+C90+C91)*D94,0)</f>
        <v>0</v>
      </c>
      <c r="D94" s="2766">
        <v>0.2</v>
      </c>
      <c r="E94" s="3503" t="s">
        <v>1811</v>
      </c>
      <c r="F94" s="3504"/>
      <c r="G94" s="3504"/>
      <c r="H94" s="3505"/>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1795</v>
      </c>
      <c r="C95" s="2757">
        <f ca="1">ROUND(C85-C86,0)</f>
        <v>113</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1796</v>
      </c>
      <c r="C96" s="2767">
        <f ca="1">IF(C95&lt;=0,0,C95/C86)</f>
        <v>113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1797</v>
      </c>
      <c r="C97" s="2768">
        <f ca="1">ROUND(IF(C95&lt;=0,0,IF(C96&gt;=200%,C95*60%-C86*35%,IF(C96&gt;=100%,C95*50%-C86*15%,IF(C96&gt;=50%,C95*40%-C86*5%,IF(C96&lt;50%,C95*30%,0))))),0)</f>
        <v>67</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1812</v>
      </c>
      <c r="B98" s="1429"/>
      <c r="C98" s="1429"/>
      <c r="D98" s="1429"/>
      <c r="E98" s="811"/>
      <c r="F98" s="811"/>
      <c r="G98" s="811"/>
      <c r="H98" s="1438"/>
      <c r="I98" s="1429"/>
    </row>
    <row r="99" spans="1:36" ht="15.75">
      <c r="A99" s="3506" t="s">
        <v>1813</v>
      </c>
      <c r="B99" s="3507"/>
      <c r="C99" s="3507"/>
      <c r="D99" s="3508"/>
      <c r="E99" s="1429"/>
      <c r="F99" s="3563" t="s">
        <v>1814</v>
      </c>
      <c r="G99" s="3564"/>
      <c r="H99" s="3564"/>
      <c r="I99" s="3565"/>
      <c r="J99" s="2828"/>
    </row>
    <row r="100" spans="1:36" ht="15">
      <c r="A100" s="3494" t="s">
        <v>1815</v>
      </c>
      <c r="B100" s="3495"/>
      <c r="C100" s="1275" t="str">
        <f>C4</f>
        <v>成本法</v>
      </c>
      <c r="D100" s="2776" t="str">
        <f>D4</f>
        <v>比较法-办公更新</v>
      </c>
      <c r="E100" s="1429"/>
      <c r="F100" s="3463" t="s">
        <v>2721</v>
      </c>
      <c r="G100" s="3464"/>
      <c r="H100" s="3463" t="s">
        <v>2722</v>
      </c>
      <c r="I100" s="3459"/>
      <c r="J100" s="2829"/>
    </row>
    <row r="101" spans="1:36" ht="12.75">
      <c r="A101" s="3559" t="s">
        <v>2754</v>
      </c>
      <c r="B101" s="2275" t="str">
        <f>IF(H19="元","总价（元）","总价（万元）")</f>
        <v>总价（万元）</v>
      </c>
      <c r="C101" s="1275">
        <f ca="1">C19</f>
        <v>115</v>
      </c>
      <c r="D101" s="2776">
        <f ca="1">D19</f>
        <v>125</v>
      </c>
      <c r="E101" s="1429"/>
      <c r="F101" s="3463" t="str">
        <f>项目基本情况!I1</f>
        <v>北京市房地产</v>
      </c>
      <c r="G101" s="3464"/>
      <c r="H101" s="3450">
        <f>项目基本情况!C12</f>
        <v>58.79</v>
      </c>
      <c r="I101" s="3459"/>
      <c r="J101" s="2829"/>
    </row>
    <row r="102" spans="1:36" ht="12.75">
      <c r="A102" s="3559"/>
      <c r="B102" s="2275" t="s">
        <v>2755</v>
      </c>
      <c r="C102" s="2777">
        <f ca="1">C20</f>
        <v>19486</v>
      </c>
      <c r="D102" s="2778">
        <f ca="1">D20</f>
        <v>21334</v>
      </c>
      <c r="E102" s="1429"/>
      <c r="F102" s="3441" t="s">
        <v>2751</v>
      </c>
      <c r="G102" s="3442"/>
      <c r="H102" s="2786" t="str">
        <f>C106</f>
        <v>总价（万元）</v>
      </c>
      <c r="I102" s="2787">
        <f ca="1">H121</f>
        <v>120</v>
      </c>
      <c r="J102" s="2829"/>
    </row>
    <row r="103" spans="1:36" ht="12.75">
      <c r="A103" s="3559" t="s">
        <v>2756</v>
      </c>
      <c r="B103" s="2213" t="str">
        <f>B101</f>
        <v>总价（万元）</v>
      </c>
      <c r="C103" s="2781">
        <f ca="1">H121</f>
        <v>120</v>
      </c>
      <c r="D103" s="2779"/>
      <c r="E103" s="1429"/>
      <c r="F103" s="3441"/>
      <c r="G103" s="3442"/>
      <c r="H103" s="2786" t="s">
        <v>2724</v>
      </c>
      <c r="I103" s="52">
        <f ca="1">I121</f>
        <v>20412</v>
      </c>
      <c r="J103" s="2813"/>
    </row>
    <row r="104" spans="1:36" ht="13.5" thickBot="1">
      <c r="A104" s="3439"/>
      <c r="B104" s="2783" t="s">
        <v>2755</v>
      </c>
      <c r="C104" s="2784">
        <f ca="1">I121</f>
        <v>20412</v>
      </c>
      <c r="D104" s="2785"/>
      <c r="E104" s="1429"/>
      <c r="F104" s="3441"/>
      <c r="G104" s="3442"/>
      <c r="H104" s="3499"/>
      <c r="I104" s="3500"/>
      <c r="J104" s="2830"/>
    </row>
    <row r="105" spans="1:36" ht="15">
      <c r="A105" s="3506" t="s">
        <v>1816</v>
      </c>
      <c r="B105" s="3507"/>
      <c r="C105" s="3507"/>
      <c r="D105" s="3508"/>
      <c r="E105" s="1429"/>
      <c r="F105" s="3490" t="s">
        <v>2725</v>
      </c>
      <c r="G105" s="3491"/>
      <c r="H105" s="2788" t="str">
        <f>C108</f>
        <v>总额（万元）</v>
      </c>
      <c r="I105" s="2787">
        <f>SUMIF(I106:I108,"&lt;9E307")</f>
        <v>0</v>
      </c>
      <c r="J105" s="2829"/>
    </row>
    <row r="106" spans="1:36" ht="14.25">
      <c r="A106" s="3441" t="s">
        <v>2748</v>
      </c>
      <c r="B106" s="3442"/>
      <c r="C106" s="2786" t="str">
        <f>B101</f>
        <v>总价（万元）</v>
      </c>
      <c r="D106" s="2787">
        <f ca="1">H121</f>
        <v>120</v>
      </c>
      <c r="E106" s="1429"/>
      <c r="F106" s="3467" t="s">
        <v>2726</v>
      </c>
      <c r="G106" s="3468"/>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41"/>
      <c r="B107" s="3442"/>
      <c r="C107" s="2786" t="s">
        <v>2749</v>
      </c>
      <c r="D107" s="52">
        <f ca="1">I121</f>
        <v>20412</v>
      </c>
      <c r="E107" s="1429"/>
      <c r="F107" s="3467" t="s">
        <v>2727</v>
      </c>
      <c r="G107" s="3468"/>
      <c r="H107" s="2788" t="str">
        <f>C110</f>
        <v>总额（万元）</v>
      </c>
      <c r="I107" s="52">
        <f>C37</f>
        <v>0</v>
      </c>
      <c r="J107" s="2813"/>
    </row>
    <row r="108" spans="1:36" ht="12.75">
      <c r="A108" s="3492" t="s">
        <v>2725</v>
      </c>
      <c r="B108" s="3493"/>
      <c r="C108" s="2788" t="str">
        <f>IF(H19="元","总额（元）","总额（万元）")</f>
        <v>总额（万元）</v>
      </c>
      <c r="D108" s="2787">
        <f>IF(D36="正常操作",I106+I107+I108,I107+I108)</f>
        <v>0</v>
      </c>
      <c r="E108" s="1429"/>
      <c r="F108" s="3467" t="s">
        <v>2752</v>
      </c>
      <c r="G108" s="3468"/>
      <c r="H108" s="2788" t="str">
        <f>C111</f>
        <v>总额（万元）</v>
      </c>
      <c r="I108" s="52">
        <f>C38</f>
        <v>0</v>
      </c>
      <c r="J108" s="2813"/>
    </row>
    <row r="109" spans="1:36" ht="12.75">
      <c r="A109" s="3467" t="s">
        <v>2726</v>
      </c>
      <c r="B109" s="3468"/>
      <c r="C109" s="2788" t="str">
        <f>C108</f>
        <v>总额（万元）</v>
      </c>
      <c r="D109" s="52">
        <f>IF(D36="同一抵押权人同一抵押物续贷",C36&amp;"（未扣减，详见特别提示）",C36)</f>
        <v>0</v>
      </c>
      <c r="E109" s="1429"/>
      <c r="F109" s="3441"/>
      <c r="G109" s="3442"/>
      <c r="H109" s="3465"/>
      <c r="I109" s="3466"/>
      <c r="J109" s="2831"/>
    </row>
    <row r="110" spans="1:36" ht="28.5" customHeight="1">
      <c r="A110" s="3467" t="s">
        <v>2750</v>
      </c>
      <c r="B110" s="3468"/>
      <c r="C110" s="2788" t="str">
        <f>C108</f>
        <v>总额（万元）</v>
      </c>
      <c r="D110" s="52">
        <f>C37</f>
        <v>0</v>
      </c>
      <c r="E110" s="1429"/>
      <c r="F110" s="3469" t="str">
        <f>IF(项目基本情况!F5="已注销","——","3.房地产抵押价值")</f>
        <v>3.房地产抵押价值</v>
      </c>
      <c r="G110" s="3470"/>
      <c r="H110" s="2774" t="str">
        <f>C112</f>
        <v>总价（万元）</v>
      </c>
      <c r="I110" s="2787">
        <f ca="1">IF(F110="——","——",I102-I105)</f>
        <v>120</v>
      </c>
      <c r="J110" s="2829"/>
    </row>
    <row r="111" spans="1:36" ht="12.75">
      <c r="A111" s="3467" t="s">
        <v>2729</v>
      </c>
      <c r="B111" s="3468"/>
      <c r="C111" s="2788" t="str">
        <f>C108</f>
        <v>总额（万元）</v>
      </c>
      <c r="D111" s="52">
        <f>C38</f>
        <v>0</v>
      </c>
      <c r="E111" s="1429"/>
      <c r="F111" s="3471"/>
      <c r="G111" s="3472"/>
      <c r="H111" s="2786" t="s">
        <v>2724</v>
      </c>
      <c r="I111" s="2790">
        <f ca="1">D113</f>
        <v>20412</v>
      </c>
      <c r="J111" s="2832"/>
    </row>
    <row r="112" spans="1:36" ht="26.25" customHeight="1">
      <c r="A112" s="3441" t="str">
        <f>IF(项目基本情况!F5="已注销","——","3.房地产抵押价值")</f>
        <v>3.房地产抵押价值</v>
      </c>
      <c r="B112" s="3442"/>
      <c r="C112" s="2786" t="str">
        <f>B101</f>
        <v>总价（万元）</v>
      </c>
      <c r="D112" s="2787">
        <f ca="1">IF(A112="——","——",D106-D108)</f>
        <v>120</v>
      </c>
      <c r="E112" s="1429"/>
      <c r="F112" s="3469" t="str">
        <f>IF(项目基本情况!F5="已注销及未注销","4.抵押担保权已注销时的房地产抵押价值",IF(项目基本情况!F5="已注销","3.抵押担保权已注销时的房地产抵押价值","——"))</f>
        <v>——</v>
      </c>
      <c r="G112" s="3470"/>
      <c r="H112" s="2774" t="str">
        <f>C114</f>
        <v>总价（万元）</v>
      </c>
      <c r="I112" s="2787" t="str">
        <f>IF(F112="——","——",I102-I107-I108)</f>
        <v>——</v>
      </c>
      <c r="J112" s="2829"/>
    </row>
    <row r="113" spans="1:16" ht="12.75">
      <c r="A113" s="3441"/>
      <c r="B113" s="3442"/>
      <c r="C113" s="2786" t="s">
        <v>2717</v>
      </c>
      <c r="D113" s="52">
        <f ca="1">ROUND(IF(D112=D106,D107,IF(H19="元",D112/项目基本情况!C12,D112*10000/项目基本情况!C12)),0)</f>
        <v>20412</v>
      </c>
      <c r="E113" s="1429"/>
      <c r="F113" s="3471"/>
      <c r="G113" s="3472"/>
      <c r="H113" s="2786" t="s">
        <v>2753</v>
      </c>
      <c r="I113" s="52" t="str">
        <f>D115</f>
        <v>——</v>
      </c>
      <c r="J113" s="2813"/>
    </row>
    <row r="114" spans="1:16" ht="12.75">
      <c r="A114" s="3441" t="str">
        <f>IF(项目基本情况!F5="已注销及未注销","4.抵押担保权已注销时的房地产抵押价值",IF(项目基本情况!F5="已注销","3.抵押担保权已注销时的房地产抵押价值","——"))</f>
        <v>——</v>
      </c>
      <c r="B114" s="3442"/>
      <c r="C114" s="2786" t="str">
        <f>B101</f>
        <v>总价（万元）</v>
      </c>
      <c r="D114" s="2787" t="str">
        <f>IF(A114="——","——",D106-D110-D111)</f>
        <v>——</v>
      </c>
      <c r="E114" s="1429"/>
      <c r="F114" s="3469" t="str">
        <f>IF(项目基本情况!G5="抵押净值",IF(OR(项目基本情况!F5="已注销",项目基本情况!F5="房地产抵押价值"),"4.抵押净值","5.抵押净值"),"——")</f>
        <v>——</v>
      </c>
      <c r="G114" s="3470"/>
      <c r="H114" s="2786" t="str">
        <f>C116</f>
        <v>总价（万元）</v>
      </c>
      <c r="I114" s="2787" t="str">
        <f>IF(F114="——","——",O59)</f>
        <v>——</v>
      </c>
      <c r="J114" s="2829"/>
    </row>
    <row r="115" spans="1:16" ht="13.5" thickBot="1">
      <c r="A115" s="3441"/>
      <c r="B115" s="3442"/>
      <c r="C115" s="2786" t="s">
        <v>2717</v>
      </c>
      <c r="D115" s="52" t="str">
        <f>IF(A114="——","——",ROUND(IF(D114=D106,D107,IF(H19="元",D114/项目基本情况!C12,D114*10000/项目基本情况!C12)),0))</f>
        <v>——</v>
      </c>
      <c r="E115" s="1429"/>
      <c r="F115" s="3478"/>
      <c r="G115" s="3479"/>
      <c r="H115" s="2791" t="s">
        <v>2717</v>
      </c>
      <c r="I115" s="2775" t="str">
        <f ca="1">D117</f>
        <v>——</v>
      </c>
      <c r="J115" s="2813"/>
    </row>
    <row r="116" spans="1:16" ht="15.75">
      <c r="A116" s="3441" t="str">
        <f>IF(项目基本情况!G5="抵押净值",IF(OR(项目基本情况!F5="已注销",项目基本情况!F5="房地产抵押价值"),"4.抵押净值","5.抵押净值"),"——")</f>
        <v>——</v>
      </c>
      <c r="B116" s="3442"/>
      <c r="C116" s="2786" t="str">
        <f>B101</f>
        <v>总价（万元）</v>
      </c>
      <c r="D116" s="2787" t="str">
        <f>IF(A116="——","——",O59)</f>
        <v>——</v>
      </c>
      <c r="E116" s="1429"/>
      <c r="F116" s="3482"/>
      <c r="G116" s="3482"/>
      <c r="H116" s="3483"/>
      <c r="I116" s="3483"/>
      <c r="J116" s="2833"/>
      <c r="O116" s="32"/>
      <c r="P116" s="32"/>
    </row>
    <row r="117" spans="1:16" ht="13.5" thickBot="1">
      <c r="A117" s="3480"/>
      <c r="B117" s="3481"/>
      <c r="C117" s="2791" t="s">
        <v>2717</v>
      </c>
      <c r="D117" s="2775" t="str">
        <f ca="1">IF(D116=D112,D113,IF(A116="——","——",O61))</f>
        <v>——</v>
      </c>
      <c r="E117" s="1429"/>
      <c r="F117" s="3551" t="str">
        <f>IF(B32="总价","（以上估价结果中单价为总价除以建筑面积得出）","（以上估价结果中总价为楼面单价乘以建筑面积得出）")</f>
        <v>（以上估价结果中单价为总价除以建筑面积得出）</v>
      </c>
      <c r="G117" s="3551"/>
      <c r="H117" s="3551"/>
      <c r="I117" s="3551"/>
      <c r="J117" s="2834"/>
      <c r="O117" s="32"/>
      <c r="P117" s="32"/>
    </row>
    <row r="118" spans="1:16" ht="15">
      <c r="A118" s="3485" t="s">
        <v>1817</v>
      </c>
      <c r="B118" s="3486"/>
      <c r="C118" s="3486"/>
      <c r="D118" s="3486"/>
      <c r="E118" s="3486"/>
      <c r="F118" s="3486"/>
      <c r="G118" s="3486"/>
      <c r="H118" s="3486"/>
      <c r="I118" s="3486"/>
      <c r="J118" s="2835"/>
    </row>
    <row r="119" spans="1:16" ht="12.75">
      <c r="A119" s="3446" t="s">
        <v>2735</v>
      </c>
      <c r="B119" s="3473" t="s">
        <v>2745</v>
      </c>
      <c r="C119" s="3473" t="s">
        <v>2746</v>
      </c>
      <c r="D119" s="3475" t="s">
        <v>2737</v>
      </c>
      <c r="E119" s="3476"/>
      <c r="F119" s="3447" t="s">
        <v>2747</v>
      </c>
      <c r="G119" s="3447"/>
      <c r="H119" s="3447" t="s">
        <v>2738</v>
      </c>
      <c r="I119" s="3477"/>
      <c r="J119" s="2813"/>
    </row>
    <row r="120" spans="1:16" ht="12.75">
      <c r="A120" s="3446"/>
      <c r="B120" s="3474"/>
      <c r="C120" s="3474"/>
      <c r="D120" s="2060" t="s">
        <v>2739</v>
      </c>
      <c r="E120" s="2060" t="s">
        <v>2744</v>
      </c>
      <c r="F120" s="2060" t="s">
        <v>2739</v>
      </c>
      <c r="G120" s="2060" t="s">
        <v>2740</v>
      </c>
      <c r="H120" s="2060" t="s">
        <v>2739</v>
      </c>
      <c r="I120" s="52" t="s">
        <v>2740</v>
      </c>
      <c r="J120" s="2813"/>
    </row>
    <row r="121" spans="1:16" ht="12.75">
      <c r="A121" s="2050" t="str">
        <f>项目基本情况!I1</f>
        <v>北京市房地产</v>
      </c>
      <c r="B121" s="2060">
        <f>项目基本情况!C12</f>
        <v>58.79</v>
      </c>
      <c r="C121" s="2060">
        <f>项目基本情况!C13</f>
        <v>0</v>
      </c>
      <c r="D121" s="2060">
        <f ca="1">ROUND(IF(B32="总价",C34,IF('数据-取费表'!B3="万元",E121*B121/10000,E121*B121)),0)</f>
        <v>84</v>
      </c>
      <c r="E121" s="2060">
        <f ca="1">ROUND(IF(B32="楼面单价",C34,IF(H19="元",D121/B121,D121*10000/B121)),0)</f>
        <v>14288</v>
      </c>
      <c r="F121" s="2060">
        <f ca="1">ROUND(IF(B32="总价",C35,IF('数据-取费表'!B3="万元",G121*B121/10000,G121*B121)),0)</f>
        <v>36</v>
      </c>
      <c r="G121" s="2060">
        <f ca="1">ROUND(IF(B32="楼面单价",C35,IF(H19="元",F121/B121,F121*10000/B121)),0)</f>
        <v>6123</v>
      </c>
      <c r="H121" s="2060">
        <f ca="1">ROUND(IF(B32="总价",C32,IF('数据-取费表'!B3="万元",I121*B121/10000,I121*B121)),0)</f>
        <v>120</v>
      </c>
      <c r="I121" s="52">
        <f ca="1">ROUND(IF(B32="楼面单价",C32,IF(H19="元",H121/B121,H121*10000/B121)),0)</f>
        <v>20412</v>
      </c>
      <c r="J121" s="2813"/>
    </row>
    <row r="122" spans="1:16" ht="12.75">
      <c r="A122" s="3446" t="s">
        <v>2741</v>
      </c>
      <c r="B122" s="3447"/>
      <c r="C122" s="3447"/>
      <c r="D122" s="3460" t="str">
        <f ca="1">IF(H19="元",NUMBERSTRING(INT(D121),2)&amp;"元整",NUMBERSTRING(INT(D121*10000),2)&amp;"元整")</f>
        <v>捌拾肆万元整</v>
      </c>
      <c r="E122" s="3461"/>
      <c r="F122" s="3460" t="str">
        <f ca="1">IF(H19="元",NUMBERSTRING(INT(F121),2)&amp;"元整",NUMBERSTRING(INT(F121*10000),2)&amp;"元整")</f>
        <v>叁拾陆万元整</v>
      </c>
      <c r="G122" s="3461"/>
      <c r="H122" s="3460" t="str">
        <f ca="1">IF(H19="元",NUMBERSTRING(INT(H121),2)&amp;"元整",NUMBERSTRING(INT(H121*10000),2)&amp;"元整")</f>
        <v>壹佰贰拾万元整</v>
      </c>
      <c r="I122" s="3462"/>
      <c r="J122" s="2836"/>
    </row>
    <row r="123" spans="1:16" ht="12.75">
      <c r="A123" s="3463" t="str">
        <f>IF(项目基本情况!D5="房地产市场价值","——",MID(A108,3,LEN(A108)-2))</f>
        <v>估价师所知悉的法定优先受偿款</v>
      </c>
      <c r="B123" s="3458"/>
      <c r="C123" s="3464"/>
      <c r="D123" s="3450">
        <f>I105</f>
        <v>0</v>
      </c>
      <c r="E123" s="3458"/>
      <c r="F123" s="3458"/>
      <c r="G123" s="3458"/>
      <c r="H123" s="3458"/>
      <c r="I123" s="3459"/>
      <c r="J123" s="2829"/>
    </row>
    <row r="124" spans="1:16" ht="12.75">
      <c r="A124" s="3452" t="s">
        <v>2741</v>
      </c>
      <c r="B124" s="3453"/>
      <c r="C124" s="3454"/>
      <c r="D124" s="3455">
        <f>H109</f>
        <v>0</v>
      </c>
      <c r="E124" s="3456"/>
      <c r="F124" s="3456"/>
      <c r="G124" s="3456"/>
      <c r="H124" s="3456"/>
      <c r="I124" s="3457"/>
      <c r="J124" s="2837"/>
    </row>
    <row r="125" spans="1:16" ht="12.75">
      <c r="A125" s="3441" t="str">
        <f>IF(项目基本情况!D5="房地产市场价值","——",MID(A112,3,LEN(A112)-2))</f>
        <v>房地产抵押价值</v>
      </c>
      <c r="B125" s="3442"/>
      <c r="C125" s="3442"/>
      <c r="D125" s="3450">
        <f ca="1">I110</f>
        <v>120</v>
      </c>
      <c r="E125" s="3458"/>
      <c r="F125" s="3458"/>
      <c r="G125" s="3458"/>
      <c r="H125" s="3458"/>
      <c r="I125" s="3459"/>
      <c r="J125" s="2829"/>
    </row>
    <row r="126" spans="1:16" ht="12.75">
      <c r="A126" s="3446" t="s">
        <v>2741</v>
      </c>
      <c r="B126" s="3447"/>
      <c r="C126" s="3447"/>
      <c r="D126" s="3455">
        <f ca="1">I111</f>
        <v>20412</v>
      </c>
      <c r="E126" s="3456"/>
      <c r="F126" s="3456"/>
      <c r="G126" s="3456"/>
      <c r="H126" s="3456"/>
      <c r="I126" s="3457"/>
      <c r="J126" s="2837"/>
    </row>
    <row r="127" spans="1:16" ht="13.5" thickBot="1">
      <c r="A127" s="3441" t="str">
        <f>IF(项目基本情况!D5="房地产市场价值","——",MID(A114,3,LEN(A114)-2))</f>
        <v/>
      </c>
      <c r="B127" s="3442"/>
      <c r="C127" s="3442"/>
      <c r="D127" s="3443" t="str">
        <f>I112</f>
        <v>——</v>
      </c>
      <c r="E127" s="3444"/>
      <c r="F127" s="3444"/>
      <c r="G127" s="3444"/>
      <c r="H127" s="3444"/>
      <c r="I127" s="3445"/>
      <c r="J127" s="2829"/>
    </row>
    <row r="128" spans="1:16" ht="14.25" thickTop="1" thickBot="1">
      <c r="A128" s="3446" t="s">
        <v>2741</v>
      </c>
      <c r="B128" s="3447"/>
      <c r="C128" s="3448"/>
      <c r="D128" s="3449" t="str">
        <f>I113</f>
        <v>——</v>
      </c>
      <c r="E128" s="3449"/>
      <c r="F128" s="3449"/>
      <c r="G128" s="3449"/>
      <c r="H128" s="3449"/>
      <c r="I128" s="3449"/>
      <c r="J128" s="2837"/>
    </row>
    <row r="129" spans="1:10" ht="14.25" thickTop="1" thickBot="1">
      <c r="A129" s="3441" t="str">
        <f>IF(项目基本情况!D5="房地产市场价值","——",MID(F114,3,LEN(F114)-2))</f>
        <v/>
      </c>
      <c r="B129" s="3442"/>
      <c r="C129" s="3450"/>
      <c r="D129" s="3451" t="str">
        <f>I114</f>
        <v>——</v>
      </c>
      <c r="E129" s="3451"/>
      <c r="F129" s="3451"/>
      <c r="G129" s="3451"/>
      <c r="H129" s="3451"/>
      <c r="I129" s="3451"/>
      <c r="J129" s="2829"/>
    </row>
    <row r="130" spans="1:10" ht="14.25" thickTop="1" thickBot="1">
      <c r="A130" s="3432" t="s">
        <v>2741</v>
      </c>
      <c r="B130" s="3433"/>
      <c r="C130" s="3433"/>
      <c r="D130" s="3434">
        <f>H116</f>
        <v>0</v>
      </c>
      <c r="E130" s="3435"/>
      <c r="F130" s="3435"/>
      <c r="G130" s="3435"/>
      <c r="H130" s="3435"/>
      <c r="I130" s="3436"/>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437" t="str">
        <f>IF(B32="总价","（以上估价结果中楼面单价为总价除以建筑面积得出）","（以上估价结果中总价为楼面单价乘以建筑面积得出）")</f>
        <v>（以上估价结果中楼面单价为总价除以建筑面积得出）</v>
      </c>
      <c r="B132" s="3437"/>
      <c r="C132" s="3437"/>
      <c r="D132" s="3437"/>
      <c r="E132" s="3437"/>
      <c r="F132" s="3437"/>
      <c r="G132" s="3437"/>
      <c r="H132" s="3437"/>
      <c r="I132" s="3437"/>
      <c r="J132" s="2831"/>
    </row>
    <row r="133" spans="1:10" ht="21.75" customHeight="1">
      <c r="A133" s="1459" t="s">
        <v>1818</v>
      </c>
      <c r="B133" s="1460"/>
      <c r="C133" s="1461" t="s">
        <v>1819</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1820</v>
      </c>
      <c r="G139" s="1473"/>
      <c r="H139" s="1473"/>
      <c r="I139" s="1474" t="s">
        <v>1821</v>
      </c>
      <c r="J139" s="2841"/>
    </row>
    <row r="140" spans="1:10" ht="21.75" customHeight="1">
      <c r="A140" s="658"/>
      <c r="B140" s="1475" t="s">
        <v>1822</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1823</v>
      </c>
      <c r="J142" s="2841"/>
    </row>
    <row r="143" spans="1:10" ht="21.75" customHeight="1">
      <c r="A143" s="658"/>
      <c r="B143" s="1475" t="s">
        <v>1824</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1823</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115</v>
      </c>
      <c r="C2" s="79" t="str">
        <f>'数据-取费表'!B3</f>
        <v>万元</v>
      </c>
      <c r="D2" s="1484" t="s">
        <v>1184</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19486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602141</v>
      </c>
      <c r="D5" s="111" t="s">
        <v>1863</v>
      </c>
      <c r="E5" s="1135" t="s">
        <v>1864</v>
      </c>
      <c r="F5" s="1135"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4">
        <f>基准地价修正!E29</f>
        <v>572909</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17474</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3335">
        <f>IF(G8="已包含在土地购买价格中","0",'数据-取费表'!E13)</f>
        <v>11758</v>
      </c>
      <c r="D8" s="1139"/>
      <c r="E8" s="115"/>
      <c r="F8" s="1138"/>
      <c r="G8" s="1486" t="s">
        <v>3002</v>
      </c>
    </row>
    <row r="9" spans="1:123" s="91" customFormat="1" ht="13.5" customHeight="1">
      <c r="A9" s="991" t="s">
        <v>945</v>
      </c>
      <c r="B9" s="97" t="s">
        <v>1872</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1873</v>
      </c>
      <c r="C10" s="1140">
        <f>ROUND(D10*E10,0)</f>
        <v>11758</v>
      </c>
      <c r="D10" s="1141">
        <f>IF('数据-取费表'!B10&lt;&gt;"住宅",IF(B1="仅计算典型户型",'数据-取费表'!E5,'数据-取费表'!B5),0)</f>
        <v>58.79</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7"/>
      <c r="F14" s="1137"/>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7"/>
      <c r="F15" s="1137"/>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3"/>
      <c r="D17" s="1143"/>
      <c r="E17" s="1143"/>
      <c r="F17" s="1143"/>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7"/>
      <c r="F18" s="1138">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4">
        <f>IF(B1="仅计算典型户型",'数据-取费表'!E5,'数据-取费表'!B5)</f>
        <v>58.79</v>
      </c>
      <c r="E19" s="111">
        <f>'数据-取费表'!E15</f>
        <v>200</v>
      </c>
      <c r="F19" s="112"/>
      <c r="G19" s="1486" t="s">
        <v>3003</v>
      </c>
    </row>
    <row r="20" spans="1:123" s="91" customFormat="1" ht="13.5" customHeight="1">
      <c r="A20" s="120" t="s">
        <v>1885</v>
      </c>
      <c r="B20" s="89" t="s">
        <v>1886</v>
      </c>
      <c r="C20" s="99">
        <f>ROUND((C5+C19)*F20,0)</f>
        <v>12043</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54050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4">
        <f ca="1">ROUND(IF('数据-取费表'!B24&lt;=1,C5*F22*'数据-取费表'!B25,C5*(POWER((1+F22),'数据-取费表'!B25)-1)),0)</f>
        <v>53526</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4">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4">
        <f ca="1">ROUND(IF('数据-取费表'!B24&lt;=1,C20*F22*'数据-取费表'!B25/2,C20*(POWER((1+F22),'数据-取费表'!B25/2)-1)),0)</f>
        <v>524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1903</v>
      </c>
      <c r="B27" s="110" t="s">
        <v>1904</v>
      </c>
      <c r="C27" s="111">
        <f>C28</f>
        <v>92128</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92128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823170</v>
      </c>
      <c r="D31" s="1144"/>
      <c r="E31" s="111"/>
      <c r="F31" s="1145"/>
      <c r="G31" s="100" t="s">
        <v>1912</v>
      </c>
    </row>
    <row r="32" spans="1:123" s="88" customFormat="1" ht="15.75">
      <c r="A32" s="117" t="s">
        <v>1913</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257500</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235160</v>
      </c>
      <c r="D34" s="1136"/>
      <c r="E34" s="115"/>
      <c r="F34" s="1147" t="str">
        <f>IF('数据-取费表'!B26=0,"",'数据-取费表'!E20)</f>
        <v/>
      </c>
      <c r="G34" s="95"/>
    </row>
    <row r="35" spans="1:123" ht="13.5" customHeight="1">
      <c r="A35" s="92" t="s">
        <v>1868</v>
      </c>
      <c r="B35" s="93" t="s">
        <v>1917</v>
      </c>
      <c r="C35" s="115">
        <f>ROUND(C34*F35,0)</f>
        <v>7055</v>
      </c>
      <c r="D35" s="115"/>
      <c r="E35" s="115"/>
      <c r="F35" s="1148">
        <f>'数据-取费表'!E21</f>
        <v>0.03</v>
      </c>
      <c r="G35" s="95" t="s">
        <v>1918</v>
      </c>
    </row>
    <row r="36" spans="1:123" ht="24">
      <c r="A36" s="92" t="s">
        <v>1870</v>
      </c>
      <c r="B36" s="93" t="s">
        <v>1919</v>
      </c>
      <c r="C36" s="115">
        <f>ROUND(IF('数据-取费表'!B10="住宅",C34*F36,0),0)</f>
        <v>0</v>
      </c>
      <c r="D36" s="115"/>
      <c r="E36" s="115"/>
      <c r="F36" s="1148">
        <f>'数据-取费表'!E22</f>
        <v>0</v>
      </c>
      <c r="G36" s="123" t="s">
        <v>1920</v>
      </c>
    </row>
    <row r="37" spans="1:123" s="122" customFormat="1" ht="13.5" customHeight="1">
      <c r="A37" s="92" t="s">
        <v>1901</v>
      </c>
      <c r="B37" s="93" t="s">
        <v>1921</v>
      </c>
      <c r="C37" s="115">
        <f>ROUND(E37*D37,0)</f>
        <v>11758</v>
      </c>
      <c r="D37" s="1136">
        <f>IF(B1="仅计算典型户型",'数据-取费表'!E5,'数据-取费表'!B5)</f>
        <v>58.79</v>
      </c>
      <c r="E37" s="115">
        <f>'数据-取费表'!E23</f>
        <v>200</v>
      </c>
      <c r="F37" s="1148"/>
      <c r="G37" s="124" t="s">
        <v>1922</v>
      </c>
    </row>
    <row r="38" spans="1:123" ht="13.5" customHeight="1">
      <c r="A38" s="92" t="s">
        <v>1923</v>
      </c>
      <c r="B38" s="93" t="s">
        <v>1924</v>
      </c>
      <c r="C38" s="115">
        <f>ROUND(C34*F38,0)</f>
        <v>3527</v>
      </c>
      <c r="D38" s="115"/>
      <c r="E38" s="115"/>
      <c r="F38" s="1148">
        <f>'数据-取费表'!E24</f>
        <v>1.4999999999999999E-2</v>
      </c>
      <c r="G38" s="95" t="s">
        <v>1918</v>
      </c>
    </row>
    <row r="39" spans="1:123" s="91" customFormat="1" ht="13.5" customHeight="1">
      <c r="A39" s="120" t="s">
        <v>1883</v>
      </c>
      <c r="B39" s="89" t="s">
        <v>1886</v>
      </c>
      <c r="C39" s="99">
        <f>ROUND(C33*F20,0)</f>
        <v>5150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1">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11425</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11201</v>
      </c>
      <c r="D42" s="104"/>
      <c r="E42" s="104"/>
      <c r="F42" s="105"/>
      <c r="G42" s="3571" t="s">
        <v>1928</v>
      </c>
    </row>
    <row r="43" spans="1:123" ht="13.5" customHeight="1">
      <c r="A43" s="92" t="s">
        <v>1868</v>
      </c>
      <c r="B43" s="93" t="s">
        <v>1897</v>
      </c>
      <c r="C43" s="104">
        <f ca="1">ROUND(IF('数据-取费表'!B24&lt;=1,C39*F22*'数据-取费表'!B23/2,C39*(POWER((1+F22),'数据-取费表'!B23/2)-1)),0)</f>
        <v>224</v>
      </c>
      <c r="D43" s="104"/>
      <c r="E43" s="104"/>
      <c r="F43" s="105"/>
      <c r="G43" s="3572"/>
    </row>
    <row r="44" spans="1:123" ht="13.5" customHeight="1">
      <c r="A44" s="92" t="s">
        <v>1870</v>
      </c>
      <c r="B44" s="93" t="s">
        <v>1899</v>
      </c>
      <c r="C44" s="104">
        <f ca="1">ROUND(IF('数据-取费表'!B24&lt;=1,C40*F22*'数据-取费表'!B23/2,C40*(POWER((1+F22),'数据-取费表'!B23/2)-1)),4)</f>
        <v>8.9999999999999998E-4</v>
      </c>
      <c r="D44" s="104"/>
      <c r="E44" s="104"/>
      <c r="F44" s="105"/>
      <c r="G44" s="3573"/>
    </row>
    <row r="45" spans="1:123" s="91" customFormat="1" ht="13.5" customHeight="1">
      <c r="A45" s="120" t="s">
        <v>1892</v>
      </c>
      <c r="B45" s="110" t="s">
        <v>1904</v>
      </c>
      <c r="C45" s="111">
        <f>C46</f>
        <v>39398</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39398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1903</v>
      </c>
      <c r="B48" s="89" t="s">
        <v>1932</v>
      </c>
      <c r="C48" s="1271">
        <f>ROUND(F30/(1+'数据-取费表'!F30),4)</f>
        <v>5.2400000000000002E-2</v>
      </c>
      <c r="D48" s="102" t="s">
        <v>1926</v>
      </c>
      <c r="E48" s="99"/>
      <c r="F48" s="2855">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1934</v>
      </c>
      <c r="B49" s="89" t="s">
        <v>1935</v>
      </c>
      <c r="C49" s="99">
        <f ca="1">ROUND((C33+C39+C41+C45)/(1-C40-D41-D45-C48),0)</f>
        <v>339367</v>
      </c>
      <c r="D49" s="99"/>
      <c r="E49" s="99"/>
      <c r="F49" s="126"/>
      <c r="G49" s="100" t="s">
        <v>1936</v>
      </c>
    </row>
    <row r="50" spans="1:123" s="122" customFormat="1" ht="24">
      <c r="A50" s="992" t="s">
        <v>1937</v>
      </c>
      <c r="B50" s="89" t="s">
        <v>1938</v>
      </c>
      <c r="C50" s="99"/>
      <c r="D50" s="99"/>
      <c r="E50" s="99"/>
      <c r="F50" s="126">
        <f>IF('数据-取费表'!B26=0,'数据-取费表'!E20,1)</f>
        <v>0.95</v>
      </c>
      <c r="G50" s="113" t="s">
        <v>1939</v>
      </c>
    </row>
    <row r="51" spans="1:123" ht="16.5" customHeight="1">
      <c r="A51" s="992" t="s">
        <v>1940</v>
      </c>
      <c r="B51" s="89" t="s">
        <v>1941</v>
      </c>
      <c r="C51" s="99">
        <f ca="1">ROUND(C49*F50,0)</f>
        <v>322399</v>
      </c>
      <c r="D51" s="99"/>
      <c r="E51" s="99"/>
      <c r="F51" s="126"/>
      <c r="G51" s="100" t="s">
        <v>1942</v>
      </c>
    </row>
    <row r="52" spans="1:123" s="88" customFormat="1" ht="16.5" thickBot="1">
      <c r="A52" s="127" t="s">
        <v>1943</v>
      </c>
      <c r="B52" s="128"/>
      <c r="C52" s="129">
        <f ca="1">C31+C51</f>
        <v>1145569</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0.28100000000000003</v>
      </c>
    </row>
    <row r="57" spans="1:123">
      <c r="B57" s="135" t="s">
        <v>1946</v>
      </c>
      <c r="C57" s="137">
        <f ca="1">1-C56</f>
        <v>0.71899999999999997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0" t="s">
        <v>1230</v>
      </c>
      <c r="D1" s="1093"/>
      <c r="E1" s="922"/>
      <c r="F1" s="922"/>
      <c r="G1" s="922"/>
      <c r="H1" s="922"/>
      <c r="I1" s="922"/>
      <c r="J1" s="922"/>
      <c r="K1" s="922"/>
    </row>
    <row r="2" spans="1:33" s="139" customFormat="1" ht="18" customHeight="1">
      <c r="A2" s="81" t="s">
        <v>1231</v>
      </c>
      <c r="B2" s="84">
        <f ca="1">IF(C2="元",C32,ROUND(C32/10000,0))</f>
        <v>140</v>
      </c>
      <c r="C2" s="1369" t="str">
        <f>'数据-取费表'!B3</f>
        <v>万元</v>
      </c>
      <c r="D2" s="922"/>
      <c r="E2" s="922"/>
      <c r="F2" s="922"/>
      <c r="G2" s="922"/>
      <c r="H2" s="922"/>
      <c r="I2" s="922"/>
      <c r="J2" s="922"/>
      <c r="K2" s="922"/>
    </row>
    <row r="3" spans="1:33" s="139" customFormat="1" ht="18" customHeight="1" thickBot="1">
      <c r="A3" s="83" t="s">
        <v>1232</v>
      </c>
      <c r="B3" s="84">
        <f ca="1">ROUND(C32/IF(C1="仅计算典型户型",'数据-取费表'!E5,'数据-取费表'!B5),0)</f>
        <v>23839</v>
      </c>
      <c r="C3" s="1369" t="s">
        <v>1233</v>
      </c>
      <c r="D3" s="922"/>
      <c r="E3" s="922"/>
      <c r="F3" s="922"/>
      <c r="G3" s="922"/>
      <c r="H3" s="922"/>
      <c r="I3" s="922"/>
      <c r="J3" s="922"/>
      <c r="K3" s="922"/>
    </row>
    <row r="4" spans="1:33" s="143" customFormat="1" ht="16.5" customHeight="1">
      <c r="A4" s="140" t="s">
        <v>1234</v>
      </c>
      <c r="B4" s="141"/>
      <c r="C4" s="1092">
        <f>SUM(C8:K8)</f>
        <v>2057650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1237</v>
      </c>
      <c r="B6" s="147" t="s">
        <v>1238</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1239</v>
      </c>
      <c r="B7" s="147" t="s">
        <v>1240</v>
      </c>
      <c r="C7" s="150">
        <f>IF(C1="仅计算典型户型",'数据-取费表'!E5,'数据-取费表'!B5)</f>
        <v>58.79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1241</v>
      </c>
      <c r="B8" s="147" t="s">
        <v>1242</v>
      </c>
      <c r="C8" s="609">
        <f>C6*C7</f>
        <v>2057650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1248</v>
      </c>
      <c r="C11" s="163">
        <f>IF(C1="仅计算典型户型",'数据-取费表'!F18,'数据-取费表'!E18)</f>
        <v>235160</v>
      </c>
      <c r="D11" s="164"/>
      <c r="E11" s="34"/>
      <c r="F11" s="165">
        <f>1-'数据-取费表'!E20</f>
        <v>5.0000000000000044E-2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1249</v>
      </c>
      <c r="C12" s="13">
        <f>ROUND(C11*F12,0)</f>
        <v>7055</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1253</v>
      </c>
      <c r="C14" s="13">
        <f>ROUND(D14*E14*F11,0)</f>
        <v>588</v>
      </c>
      <c r="D14" s="164">
        <f>IF(C1="仅计算典型户型",'数据-取费表'!E5,'数据-取费表'!B5)</f>
        <v>58.79</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1255</v>
      </c>
      <c r="C15" s="175">
        <f>ROUND(C11*F15,0)</f>
        <v>3527</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1257</v>
      </c>
      <c r="B16" s="162" t="s">
        <v>1258</v>
      </c>
      <c r="C16" s="163">
        <f>SUM(C11:C15)</f>
        <v>246330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1259</v>
      </c>
      <c r="B17" s="162" t="s">
        <v>1260</v>
      </c>
      <c r="C17" s="13">
        <f>ROUND(D17*E17,0)</f>
        <v>0</v>
      </c>
      <c r="D17" s="164">
        <f>IF(C1="仅计算典型户型",'数据-取费表'!E5,'数据-取费表'!B5)</f>
        <v>58.79</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1266</v>
      </c>
      <c r="C20" s="13">
        <f>ROUND(D20*E20,0)</f>
        <v>11758</v>
      </c>
      <c r="D20" s="164">
        <f>IF('数据-取费表'!B10&lt;&gt;"住宅",IF(C1="仅计算典型户型",'数据-取费表'!E5,'数据-取费表'!B5),0)</f>
        <v>58.79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1237</v>
      </c>
      <c r="B21" s="177" t="s">
        <v>1267</v>
      </c>
      <c r="C21" s="178">
        <f>C16+C17+C18</f>
        <v>246330</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1239</v>
      </c>
      <c r="B22" s="177" t="s">
        <v>1269</v>
      </c>
      <c r="C22" s="178">
        <f>ROUND(C21*F22,0)</f>
        <v>4927</v>
      </c>
      <c r="D22" s="180"/>
      <c r="E22" s="180"/>
      <c r="F22" s="181">
        <f>'数据-取费表'!E25</f>
        <v>0.02</v>
      </c>
      <c r="G22" s="156" t="s">
        <v>1270</v>
      </c>
      <c r="H22" s="159"/>
      <c r="I22" s="159"/>
      <c r="J22" s="159"/>
      <c r="K22" s="160"/>
      <c r="L22" s="182"/>
      <c r="M22" s="182"/>
      <c r="N22" s="182"/>
    </row>
    <row r="23" spans="1:33" s="166" customFormat="1" ht="13.5" customHeight="1">
      <c r="A23" s="993" t="s">
        <v>1241</v>
      </c>
      <c r="B23" s="177" t="s">
        <v>1271</v>
      </c>
      <c r="C23" s="178">
        <f>ROUND(C4*F23*F11,0)</f>
        <v>2058</v>
      </c>
      <c r="D23" s="180"/>
      <c r="E23" s="180"/>
      <c r="F23" s="181">
        <f>'数据-取费表'!E26</f>
        <v>0.02</v>
      </c>
      <c r="G23" s="156" t="s">
        <v>1272</v>
      </c>
      <c r="H23" s="159"/>
      <c r="I23" s="159"/>
      <c r="J23" s="159"/>
      <c r="K23" s="160"/>
    </row>
    <row r="24" spans="1:33" s="166" customFormat="1" ht="13.5" customHeight="1">
      <c r="A24" s="993"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3"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4"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3" t="s">
        <v>1283</v>
      </c>
      <c r="B28" s="198" t="s">
        <v>1284</v>
      </c>
      <c r="C28" s="199">
        <f>C30</f>
        <v>37997</v>
      </c>
      <c r="D28" s="183">
        <f>C29</f>
        <v>0.15440000000000001</v>
      </c>
      <c r="E28" s="189" t="s">
        <v>12</v>
      </c>
      <c r="F28" s="200">
        <f>'数据-取费表'!E28</f>
        <v>0.15</v>
      </c>
      <c r="G28" s="185"/>
      <c r="H28" s="186"/>
      <c r="I28" s="186"/>
      <c r="J28" s="186"/>
      <c r="K28" s="187"/>
    </row>
    <row r="29" spans="1:33" s="204" customFormat="1" ht="13.5" customHeight="1">
      <c r="A29" s="994" t="s">
        <v>1285</v>
      </c>
      <c r="B29" s="202" t="s">
        <v>1286</v>
      </c>
      <c r="C29" s="193">
        <f>ROUND((1+C24)*F28,4)</f>
        <v>0.15440000000000001</v>
      </c>
      <c r="D29" s="193"/>
      <c r="E29" s="194"/>
      <c r="F29" s="203"/>
      <c r="G29" s="147" t="s">
        <v>1287</v>
      </c>
      <c r="H29" s="170"/>
      <c r="I29" s="170"/>
      <c r="J29" s="170"/>
      <c r="K29" s="171"/>
    </row>
    <row r="30" spans="1:33" s="204" customFormat="1" ht="13.5" customHeight="1">
      <c r="A30" s="994" t="s">
        <v>1288</v>
      </c>
      <c r="B30" s="202" t="s">
        <v>1289</v>
      </c>
      <c r="C30" s="205">
        <f>ROUND((C21+C22+C23)*F28,0)</f>
        <v>37997</v>
      </c>
      <c r="D30" s="193"/>
      <c r="E30" s="206"/>
      <c r="F30" s="203"/>
      <c r="G30" s="147"/>
      <c r="H30" s="170"/>
      <c r="I30" s="170"/>
      <c r="J30" s="170"/>
      <c r="K30" s="171"/>
    </row>
    <row r="31" spans="1:33" s="182" customFormat="1" ht="13.5" customHeight="1" thickBot="1">
      <c r="A31" s="1371" t="s">
        <v>1290</v>
      </c>
      <c r="B31" s="177" t="s">
        <v>1291</v>
      </c>
      <c r="C31" s="207">
        <f>ROUND(C4*F31/(1+'数据-取费表'!F30),0)</f>
        <v>107782</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1401518</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4"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3" t="s">
        <v>2690</v>
      </c>
      <c r="E1" s="1594" t="s">
        <v>1184</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110</v>
      </c>
      <c r="C2" s="1487" t="str">
        <f>'数据-取费表'!B3</f>
        <v>万元</v>
      </c>
      <c r="D2" s="925"/>
      <c r="E2" s="926"/>
      <c r="F2" s="926"/>
      <c r="G2" s="951"/>
      <c r="H2" s="927"/>
      <c r="I2" s="927"/>
      <c r="J2" s="927"/>
      <c r="K2" s="928"/>
      <c r="L2" s="927"/>
      <c r="M2" s="927"/>
    </row>
    <row r="3" spans="1:37" ht="18" customHeight="1" thickBot="1">
      <c r="A3" s="226" t="s">
        <v>1858</v>
      </c>
      <c r="B3" s="642">
        <f ca="1">ROUND(IF('数据-取费表'!B29="租赁期内按合同租金",(C40+L47+J29)/F43,(C40+L47)/F43),0)</f>
        <v>18636</v>
      </c>
      <c r="C3" s="1487" t="s">
        <v>1948</v>
      </c>
      <c r="D3" s="925"/>
      <c r="E3" s="926"/>
      <c r="F3" s="926"/>
      <c r="G3" s="951"/>
      <c r="H3" s="227" t="s">
        <v>1949</v>
      </c>
      <c r="I3" s="927"/>
      <c r="J3" s="927"/>
      <c r="K3" s="928"/>
      <c r="L3" s="927"/>
      <c r="M3" s="927"/>
    </row>
    <row r="4" spans="1:37" ht="18" customHeight="1">
      <c r="A4" s="228" t="s">
        <v>1950</v>
      </c>
      <c r="B4" s="229" t="s">
        <v>1951</v>
      </c>
      <c r="C4" s="229" t="s">
        <v>1952</v>
      </c>
      <c r="D4" s="229" t="s">
        <v>1953</v>
      </c>
      <c r="E4" s="230" t="s">
        <v>1954</v>
      </c>
      <c r="F4" s="231"/>
      <c r="G4" s="949"/>
      <c r="H4" s="228" t="s">
        <v>1950</v>
      </c>
      <c r="I4" s="229" t="s">
        <v>1951</v>
      </c>
      <c r="J4" s="229" t="s">
        <v>1952</v>
      </c>
      <c r="K4" s="229" t="s">
        <v>1953</v>
      </c>
      <c r="L4" s="230" t="s">
        <v>1954</v>
      </c>
      <c r="M4" s="231"/>
    </row>
    <row r="5" spans="1:37" ht="18" customHeight="1">
      <c r="A5" s="232">
        <v>1</v>
      </c>
      <c r="B5" s="233" t="s">
        <v>1955</v>
      </c>
      <c r="C5" s="234">
        <f ca="1">C6+C10+C12</f>
        <v>67678</v>
      </c>
      <c r="D5" s="1601" t="s">
        <v>2668</v>
      </c>
      <c r="E5" s="925"/>
      <c r="F5" s="1054"/>
      <c r="G5" s="949"/>
      <c r="H5" s="232">
        <v>1</v>
      </c>
      <c r="I5" s="233" t="s">
        <v>1955</v>
      </c>
      <c r="J5" s="234">
        <f ca="1">J6+J10+J12</f>
        <v>0</v>
      </c>
      <c r="K5" s="1488" t="s">
        <v>1956</v>
      </c>
      <c r="L5" s="925"/>
      <c r="M5" s="1054"/>
    </row>
    <row r="6" spans="1:37" ht="18" customHeight="1">
      <c r="A6" s="1055" t="s">
        <v>1957</v>
      </c>
      <c r="B6" s="1410" t="s">
        <v>1958</v>
      </c>
      <c r="C6" s="234">
        <f>ROUND(F6*F8*F7*(1-F9),0)</f>
        <v>67594</v>
      </c>
      <c r="D6" s="36" t="s">
        <v>2643</v>
      </c>
      <c r="E6" s="235" t="s">
        <v>1959</v>
      </c>
      <c r="F6" s="236">
        <f>'数据-取费表'!B30</f>
        <v>3.5</v>
      </c>
      <c r="G6" s="949"/>
      <c r="H6" s="1055" t="s">
        <v>1957</v>
      </c>
      <c r="I6" s="1410" t="s">
        <v>1958</v>
      </c>
      <c r="J6" s="234">
        <f>ROUND(M6*M8*M7*(1-M9),0)</f>
        <v>0</v>
      </c>
      <c r="K6" s="36" t="s">
        <v>2643</v>
      </c>
      <c r="L6" s="235" t="s">
        <v>1959</v>
      </c>
      <c r="M6" s="236">
        <f>'数据-取费表'!B37</f>
        <v>0</v>
      </c>
    </row>
    <row r="7" spans="1:37" ht="18" customHeight="1">
      <c r="A7" s="1088"/>
      <c r="B7" s="238"/>
      <c r="C7" s="239"/>
      <c r="D7" s="240"/>
      <c r="E7" s="235" t="s">
        <v>1960</v>
      </c>
      <c r="F7" s="236">
        <f>IF('数据-取费表'!B42="",IF(D1="仅计算典型户型",'数据-取费表'!E5,'数据-取费表'!B5),'数据-取费表'!B42)</f>
        <v>58.79</v>
      </c>
      <c r="G7" s="949"/>
      <c r="H7" s="237"/>
      <c r="I7" s="238"/>
      <c r="J7" s="239"/>
      <c r="K7" s="240"/>
      <c r="L7" s="235" t="s">
        <v>1960</v>
      </c>
      <c r="M7" s="236">
        <f>IF('数据-取费表'!B42="",IF(D1="仅计算典型户型",'数据-取费表'!E5,'数据-取费表'!B5),'数据-取费表'!B42)</f>
        <v>58.79</v>
      </c>
    </row>
    <row r="8" spans="1:37" ht="18" customHeight="1">
      <c r="A8" s="1088"/>
      <c r="B8" s="238"/>
      <c r="C8" s="239"/>
      <c r="D8" s="240"/>
      <c r="E8" s="235" t="s">
        <v>1961</v>
      </c>
      <c r="F8" s="236">
        <f>'数据-取费表'!B43</f>
        <v>365</v>
      </c>
      <c r="G8" s="949"/>
      <c r="H8" s="237"/>
      <c r="I8" s="238"/>
      <c r="J8" s="239"/>
      <c r="K8" s="240"/>
      <c r="L8" s="235" t="s">
        <v>1962</v>
      </c>
      <c r="M8" s="236">
        <f>'数据-取费表'!B43</f>
        <v>365</v>
      </c>
    </row>
    <row r="9" spans="1:37" ht="18" customHeight="1">
      <c r="A9" s="1088"/>
      <c r="B9" s="238"/>
      <c r="C9" s="239"/>
      <c r="D9" s="244"/>
      <c r="E9" s="235" t="s">
        <v>1963</v>
      </c>
      <c r="F9" s="245">
        <f>'数据-取费表'!B33</f>
        <v>0.1</v>
      </c>
      <c r="G9" s="949"/>
      <c r="H9" s="237"/>
      <c r="I9" s="238"/>
      <c r="J9" s="1057"/>
      <c r="K9" s="43"/>
      <c r="L9" s="246" t="s">
        <v>1963</v>
      </c>
      <c r="M9" s="245">
        <f>'数据-取费表'!B39</f>
        <v>0</v>
      </c>
    </row>
    <row r="10" spans="1:37" ht="18" customHeight="1">
      <c r="A10" s="1055" t="s">
        <v>1964</v>
      </c>
      <c r="B10" s="1489" t="s">
        <v>1965</v>
      </c>
      <c r="C10" s="1056">
        <f ca="1">ROUND(IF(F10="押一",C6/12*F11,IF(F10="押二",C6/12*2*F11,IF(F10="押三",C6/12*3*F11,C11*F11))),0)</f>
        <v>84</v>
      </c>
      <c r="D10" s="1490" t="s">
        <v>2649</v>
      </c>
      <c r="E10" s="246" t="s">
        <v>1966</v>
      </c>
      <c r="F10" s="1491" t="s">
        <v>1967</v>
      </c>
      <c r="G10" s="949"/>
      <c r="H10" s="1055" t="s">
        <v>1964</v>
      </c>
      <c r="I10" s="1489" t="s">
        <v>1965</v>
      </c>
      <c r="J10" s="1056">
        <f ca="1">ROUND(IF(M10="押一",J6/12*M11,IF(M10="押二",J6/12*2*M11,IF(M10="押三",J6/12*3*M11,J11*M11))),0)</f>
        <v>0</v>
      </c>
      <c r="K10" s="36" t="s">
        <v>2649</v>
      </c>
      <c r="L10" s="246" t="s">
        <v>1966</v>
      </c>
      <c r="M10" s="1491"/>
    </row>
    <row r="11" spans="1:37" s="257" customFormat="1" ht="18" customHeight="1">
      <c r="A11" s="263"/>
      <c r="B11" s="1492" t="s">
        <v>1968</v>
      </c>
      <c r="C11" s="1060"/>
      <c r="D11" s="240"/>
      <c r="E11" s="246" t="s">
        <v>1969</v>
      </c>
      <c r="F11" s="247">
        <f ca="1">'数据-取费表'!B31</f>
        <v>1.4999999999999999E-2</v>
      </c>
      <c r="G11" s="950"/>
      <c r="H11" s="241"/>
      <c r="I11" s="1492" t="s">
        <v>1970</v>
      </c>
      <c r="J11" s="1060"/>
      <c r="K11" s="240"/>
      <c r="L11" s="246" t="s">
        <v>1969</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1971</v>
      </c>
      <c r="B12" s="1493" t="s">
        <v>1972</v>
      </c>
      <c r="C12" s="1066"/>
      <c r="D12" s="1494"/>
      <c r="E12" s="1072"/>
      <c r="F12" s="1067"/>
      <c r="G12" s="949"/>
      <c r="H12" s="1065" t="s">
        <v>1971</v>
      </c>
      <c r="I12" s="1493" t="s">
        <v>1972</v>
      </c>
      <c r="J12" s="1066"/>
      <c r="K12" s="1082"/>
      <c r="L12" s="1072"/>
      <c r="M12" s="1083"/>
    </row>
    <row r="13" spans="1:37" s="257" customFormat="1" ht="18" customHeight="1" thickTop="1">
      <c r="A13" s="1061">
        <v>2</v>
      </c>
      <c r="B13" s="1062" t="s">
        <v>1973</v>
      </c>
      <c r="C13" s="243">
        <f ca="1">ROUND(C29*F13,0)</f>
        <v>322399</v>
      </c>
      <c r="D13" s="1063" t="s">
        <v>1974</v>
      </c>
      <c r="E13" s="1063" t="s">
        <v>1975</v>
      </c>
      <c r="F13" s="1064">
        <f>'数据-取费表'!E20</f>
        <v>0.95</v>
      </c>
      <c r="G13" s="950"/>
      <c r="H13" s="1061">
        <v>2</v>
      </c>
      <c r="I13" s="1062" t="s">
        <v>1973</v>
      </c>
      <c r="J13" s="1057">
        <f ca="1">ROUND(J14*J15,0)</f>
        <v>0</v>
      </c>
      <c r="K13" s="1068" t="s">
        <v>1974</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235160</v>
      </c>
      <c r="D14" s="1296" t="s">
        <v>1978</v>
      </c>
      <c r="E14" s="1297"/>
      <c r="F14" s="798"/>
      <c r="G14" s="950"/>
      <c r="H14" s="253" t="s">
        <v>1957</v>
      </c>
      <c r="I14" s="235" t="s">
        <v>1979</v>
      </c>
      <c r="J14" s="13">
        <f ca="1">C29</f>
        <v>339367</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7055</v>
      </c>
      <c r="D15" s="255" t="s">
        <v>1982</v>
      </c>
      <c r="E15" s="255" t="s">
        <v>1983</v>
      </c>
      <c r="F15" s="256">
        <f>'数据-取费表'!E21</f>
        <v>0.03</v>
      </c>
      <c r="G15" s="949"/>
      <c r="H15" s="1071" t="s">
        <v>1984</v>
      </c>
      <c r="I15" s="1072" t="s">
        <v>1985</v>
      </c>
      <c r="J15" s="1084">
        <f>'数据-取费表'!B40</f>
        <v>0</v>
      </c>
      <c r="K15" s="1085"/>
      <c r="L15" s="1086"/>
      <c r="M15" s="1087"/>
    </row>
    <row r="16" spans="1:37" s="257" customFormat="1" ht="18" customHeight="1" thickTop="1">
      <c r="A16" s="253" t="s">
        <v>1986</v>
      </c>
      <c r="B16" s="235" t="s">
        <v>1987</v>
      </c>
      <c r="C16" s="13">
        <f>ROUND(C14*F16,0)</f>
        <v>0</v>
      </c>
      <c r="D16" s="235" t="s">
        <v>1982</v>
      </c>
      <c r="E16" s="235" t="s">
        <v>1983</v>
      </c>
      <c r="F16" s="258">
        <f>IF('数据-取费表'!B10="住宅",'数据-取费表'!E22,0)</f>
        <v>0</v>
      </c>
      <c r="G16" s="950"/>
      <c r="H16" s="1061" t="s">
        <v>14</v>
      </c>
      <c r="I16" s="1062" t="s">
        <v>1988</v>
      </c>
      <c r="J16" s="243">
        <f ca="1">ROUND(J17+J22+J23+J24,0)</f>
        <v>7942</v>
      </c>
      <c r="K16" s="1068" t="s">
        <v>1989</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11758</v>
      </c>
      <c r="D17" s="235" t="s">
        <v>1992</v>
      </c>
      <c r="E17" s="235" t="s">
        <v>1993</v>
      </c>
      <c r="F17" s="15">
        <f>'数据-取费表'!E23</f>
        <v>200</v>
      </c>
      <c r="G17" s="950"/>
      <c r="H17" s="253" t="s">
        <v>1994</v>
      </c>
      <c r="I17" s="235" t="s">
        <v>1995</v>
      </c>
      <c r="J17" s="2794">
        <f ca="1">ROUND(IF(AND(项目基本情况!B7="自然人",项目基本情况!B6="北京市"),J6*M17/(1+'数据-取费表'!F30),J18+J19+J20),0)</f>
        <v>2851</v>
      </c>
      <c r="K17" s="1296" t="s">
        <v>1996</v>
      </c>
      <c r="L17" s="1299" t="s">
        <v>1997</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3527</v>
      </c>
      <c r="D18" s="235" t="s">
        <v>1982</v>
      </c>
      <c r="E18" s="235" t="s">
        <v>1983</v>
      </c>
      <c r="F18" s="258">
        <f>'数据-取费表'!E24</f>
        <v>1.4999999999999999E-2</v>
      </c>
      <c r="G18" s="949"/>
      <c r="H18" s="253" t="s">
        <v>2000</v>
      </c>
      <c r="I18" s="235" t="s">
        <v>2001</v>
      </c>
      <c r="J18" s="13">
        <f>IF(项目基本情况!B7="自然人","——",ROUND(J6*M18/(1+'数据-取费表'!F30),0))</f>
        <v>0</v>
      </c>
      <c r="K18" s="1299" t="s">
        <v>2670</v>
      </c>
      <c r="L18" s="235" t="s">
        <v>1983</v>
      </c>
      <c r="M18" s="258">
        <f>'数据-取费表'!E29</f>
        <v>5.5000000000000007E-2</v>
      </c>
    </row>
    <row r="19" spans="1:37" s="257" customFormat="1" ht="18" customHeight="1">
      <c r="A19" s="253" t="s">
        <v>1994</v>
      </c>
      <c r="B19" s="235" t="s">
        <v>2002</v>
      </c>
      <c r="C19" s="13">
        <f>SUM(C14:C18)</f>
        <v>257500</v>
      </c>
      <c r="D19" s="33" t="s">
        <v>2003</v>
      </c>
      <c r="E19" s="1301"/>
      <c r="F19" s="15"/>
      <c r="G19" s="950"/>
      <c r="H19" s="253" t="s">
        <v>1980</v>
      </c>
      <c r="I19" s="235" t="s">
        <v>2004</v>
      </c>
      <c r="J19" s="13">
        <f ca="1">IF(项目基本情况!B7="自然人","——",IF(K19="按租金收入计税",ROUND(J6*M19/(1+'数据-取费表'!F30),0),ROUND(C29*M19*0.7,0)))</f>
        <v>2851</v>
      </c>
      <c r="K19" s="1404"/>
      <c r="L19" s="235" t="s">
        <v>1983</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5150</v>
      </c>
      <c r="D20" s="259" t="s">
        <v>2007</v>
      </c>
      <c r="E20" s="235" t="s">
        <v>2008</v>
      </c>
      <c r="F20" s="258">
        <f>'数据-取费表'!E25</f>
        <v>0.02</v>
      </c>
      <c r="G20" s="950"/>
      <c r="H20" s="253" t="s">
        <v>1986</v>
      </c>
      <c r="I20" s="36" t="s">
        <v>2009</v>
      </c>
      <c r="J20" s="14">
        <f>IF(项目基本情况!B7="自然人","——",ROUND(M20*M21,0))</f>
        <v>0</v>
      </c>
      <c r="K20" s="261" t="s">
        <v>2010</v>
      </c>
      <c r="L20" s="235" t="s">
        <v>2011</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49"/>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1"/>
      <c r="F22" s="15"/>
      <c r="G22" s="949"/>
      <c r="H22" s="253" t="s">
        <v>1984</v>
      </c>
      <c r="I22" s="235" t="s">
        <v>2019</v>
      </c>
      <c r="J22" s="13">
        <f ca="1">ROUND(J14*M22,0)</f>
        <v>5091</v>
      </c>
      <c r="K22" s="1299"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11425</v>
      </c>
      <c r="D23" s="1400" t="str">
        <f>IF(F23&lt;=1,"(建造成本+管理费用)×利率×(建设周期÷2)","(建造成本+管理费用)×((1+利率)^(建设周期÷2)-1)")</f>
        <v>(建造成本+管理费用)×((1+利率)^(建设周期÷2)-1)</v>
      </c>
      <c r="E23" s="235" t="s">
        <v>2022</v>
      </c>
      <c r="F23" s="262">
        <f>'数据-取费表'!B22</f>
        <v>2</v>
      </c>
      <c r="G23" s="949"/>
      <c r="H23" s="253" t="s">
        <v>2012</v>
      </c>
      <c r="I23" s="235" t="s">
        <v>2023</v>
      </c>
      <c r="J23" s="13">
        <f ca="1">ROUND(J13*M23,0)</f>
        <v>0</v>
      </c>
      <c r="K23" s="1299"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0" t="str">
        <f>IF(F23&lt;=1,"销售费用×利率×(建设周期÷2)","销售费用×((1+利率)^(建设周期÷2)-1)")</f>
        <v>销售费用×((1+利率)^(建设周期÷2)-1)</v>
      </c>
      <c r="E24" s="235" t="s">
        <v>2028</v>
      </c>
      <c r="F24" s="267">
        <f ca="1">'数据-取费表'!E27</f>
        <v>4.3499999999999997E-2</v>
      </c>
      <c r="G24" s="950"/>
      <c r="H24" s="1071" t="s">
        <v>2017</v>
      </c>
      <c r="I24" s="1072" t="s">
        <v>2006</v>
      </c>
      <c r="J24" s="1073">
        <f ca="1">ROUND(J5*M24,0)</f>
        <v>0</v>
      </c>
      <c r="K24" s="1074" t="s">
        <v>2029</v>
      </c>
      <c r="L24" s="1072" t="s">
        <v>2025</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1"/>
      <c r="F25" s="15"/>
      <c r="G25" s="950"/>
      <c r="H25" s="1061" t="s">
        <v>22</v>
      </c>
      <c r="I25" s="1076" t="s">
        <v>2033</v>
      </c>
      <c r="J25" s="243">
        <f ca="1">J5-J16</f>
        <v>-7942</v>
      </c>
      <c r="K25" s="1077" t="s">
        <v>2034</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39398</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1" t="s">
        <v>2050</v>
      </c>
      <c r="B29" s="1072" t="s">
        <v>2051</v>
      </c>
      <c r="C29" s="1073">
        <f ca="1">ROUND((C19+C20+C23+C26)/(1-F21-C24-C27-C28),0)</f>
        <v>339367</v>
      </c>
      <c r="D29" s="1074"/>
      <c r="E29" s="1072"/>
      <c r="F29" s="1075"/>
      <c r="G29" s="651"/>
      <c r="H29" s="271" t="s">
        <v>24</v>
      </c>
      <c r="I29" s="272" t="s">
        <v>2052</v>
      </c>
      <c r="J29" s="273">
        <f ca="1">ROUND(J26/(1+F40)^F41,0)</f>
        <v>0</v>
      </c>
      <c r="K29" s="274" t="s">
        <v>2053</v>
      </c>
      <c r="L29" s="275"/>
      <c r="M29" s="276">
        <f>IF(D1="仅计算典型户型",'数据-取费表'!E5,'数据-取费表'!B5)</f>
        <v>58.79</v>
      </c>
    </row>
    <row r="30" spans="1:37" ht="18" customHeight="1" thickTop="1">
      <c r="A30" s="1061" t="s">
        <v>14</v>
      </c>
      <c r="B30" s="1062" t="s">
        <v>2054</v>
      </c>
      <c r="C30" s="243">
        <f ca="1">ROUND(C31+C36+C37+C38,0)</f>
        <v>17518</v>
      </c>
      <c r="D30" s="1068" t="s">
        <v>2055</v>
      </c>
      <c r="E30" s="1069"/>
      <c r="F30" s="1070"/>
      <c r="G30" s="651"/>
      <c r="H30" s="929"/>
      <c r="I30" s="930"/>
      <c r="J30" s="931"/>
      <c r="K30" s="932"/>
      <c r="L30" s="933"/>
      <c r="M30" s="934"/>
    </row>
    <row r="31" spans="1:37" ht="18" customHeight="1">
      <c r="A31" s="253" t="s">
        <v>1957</v>
      </c>
      <c r="B31" s="235" t="s">
        <v>1995</v>
      </c>
      <c r="C31" s="2794">
        <f>ROUND(IF(AND(项目基本情况!B7="自然人",项目基本情况!B6="北京市"),C6*F31/(1+'数据-取费表'!F30),C32+C33+C34),0)</f>
        <v>11266</v>
      </c>
      <c r="D31" s="1296" t="s">
        <v>2056</v>
      </c>
      <c r="E31" s="1299" t="s">
        <v>2057</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1976</v>
      </c>
      <c r="B32" s="235" t="s">
        <v>2058</v>
      </c>
      <c r="C32" s="13">
        <f>IF(项目基本情况!B7="自然人","——",ROUND(C6*F32/(1+'数据-取费表'!F30),0))</f>
        <v>3541</v>
      </c>
      <c r="D32" s="1299" t="s">
        <v>2669</v>
      </c>
      <c r="E32" s="235" t="s">
        <v>2008</v>
      </c>
      <c r="F32" s="267">
        <f>'数据-取费表'!E29</f>
        <v>5.5000000000000007E-2</v>
      </c>
      <c r="G32" s="651"/>
      <c r="H32" s="935"/>
      <c r="I32" s="936"/>
      <c r="J32" s="937"/>
      <c r="K32" s="938"/>
      <c r="L32" s="939"/>
      <c r="M32" s="940"/>
    </row>
    <row r="33" spans="1:18" ht="18" customHeight="1">
      <c r="A33" s="253" t="s">
        <v>1980</v>
      </c>
      <c r="B33" s="235" t="s">
        <v>2004</v>
      </c>
      <c r="C33" s="13">
        <f>IF(项目基本情况!B7="自然人","——",IF(D33="按租金收入计税",ROUND(C6*F33/(1+'数据-取费表'!F30),0),IF(D33="按房产原值计税",ROUND(C29*F33*0.7,0),'数据-取费表'!B44)))</f>
        <v>7725</v>
      </c>
      <c r="D33" s="1404" t="s">
        <v>2830</v>
      </c>
      <c r="E33" s="235" t="s">
        <v>1983</v>
      </c>
      <c r="F33" s="258">
        <f>IF(D33="按票据","——",IF(D33="按租金收入计税",'数据-取费表'!E39,'数据-取费表'!E38))</f>
        <v>0.12</v>
      </c>
      <c r="G33" s="651"/>
      <c r="H33" s="941"/>
      <c r="I33" s="278" t="s">
        <v>2060</v>
      </c>
      <c r="J33" s="279"/>
      <c r="K33" s="942"/>
      <c r="L33" s="941"/>
      <c r="M33" s="941"/>
    </row>
    <row r="34" spans="1:18" ht="18" customHeight="1">
      <c r="A34" s="1055" t="s">
        <v>1986</v>
      </c>
      <c r="B34" s="36" t="s">
        <v>2009</v>
      </c>
      <c r="C34" s="14">
        <f>IF(项目基本情况!B7="自然人","——",ROUND(F34*F35,0))</f>
        <v>0</v>
      </c>
      <c r="D34" s="261" t="s">
        <v>2010</v>
      </c>
      <c r="E34" s="235" t="s">
        <v>2011</v>
      </c>
      <c r="F34" s="262">
        <f>'数据-取费表'!E40</f>
        <v>0</v>
      </c>
      <c r="G34" s="651"/>
      <c r="H34" s="929"/>
      <c r="I34" s="280" t="s">
        <v>2061</v>
      </c>
      <c r="J34" s="281">
        <f ca="1">ROUND(C13*J35,0)</f>
        <v>0</v>
      </c>
      <c r="K34" s="943"/>
      <c r="L34" s="944"/>
      <c r="M34" s="944"/>
    </row>
    <row r="35" spans="1:18" ht="24.6" customHeight="1">
      <c r="A35" s="1059"/>
      <c r="B35" s="244"/>
      <c r="C35" s="17"/>
      <c r="D35" s="264"/>
      <c r="E35" s="235" t="s">
        <v>2016</v>
      </c>
      <c r="F35" s="236">
        <f>IF(D1="仅计算典型户型",'数据-取费表'!E6,'数据-取费表'!B6)</f>
        <v>0</v>
      </c>
      <c r="G35" s="651" t="s">
        <v>2758</v>
      </c>
      <c r="H35" s="929"/>
      <c r="I35" s="282" t="s">
        <v>2062</v>
      </c>
      <c r="J35" s="283">
        <f>'数据-取费表'!B18</f>
        <v>0</v>
      </c>
      <c r="K35" s="942"/>
      <c r="L35" s="941"/>
      <c r="M35" s="941"/>
    </row>
    <row r="36" spans="1:18" ht="18" customHeight="1">
      <c r="A36" s="1058" t="s">
        <v>1964</v>
      </c>
      <c r="B36" s="235" t="s">
        <v>2063</v>
      </c>
      <c r="C36" s="13">
        <f ca="1">ROUND(C29*F36,0)</f>
        <v>5091</v>
      </c>
      <c r="D36" s="1299" t="s">
        <v>2064</v>
      </c>
      <c r="E36" s="235" t="s">
        <v>2008</v>
      </c>
      <c r="F36" s="265">
        <f>'数据-取费表'!B45</f>
        <v>1.4999999999999999E-2</v>
      </c>
      <c r="G36" s="651"/>
      <c r="H36" s="941"/>
      <c r="I36" s="284" t="s">
        <v>2065</v>
      </c>
      <c r="J36" s="285"/>
      <c r="K36" s="945"/>
      <c r="L36" s="941"/>
      <c r="M36" s="941"/>
    </row>
    <row r="37" spans="1:18" ht="18" customHeight="1">
      <c r="A37" s="253" t="s">
        <v>2012</v>
      </c>
      <c r="B37" s="235" t="s">
        <v>2023</v>
      </c>
      <c r="C37" s="13">
        <f ca="1">ROUND(C13*F37,0)</f>
        <v>484</v>
      </c>
      <c r="D37" s="1299" t="s">
        <v>2024</v>
      </c>
      <c r="E37" s="235" t="s">
        <v>2025</v>
      </c>
      <c r="F37" s="266">
        <f>'数据-取费表'!B46</f>
        <v>1.5E-3</v>
      </c>
      <c r="G37" s="651"/>
      <c r="H37" s="941"/>
      <c r="I37" s="132" t="s">
        <v>2066</v>
      </c>
      <c r="J37" s="286"/>
      <c r="K37" s="945"/>
      <c r="L37" s="941"/>
      <c r="M37" s="941"/>
    </row>
    <row r="38" spans="1:18" ht="18" customHeight="1" thickBot="1">
      <c r="A38" s="1071" t="s">
        <v>2017</v>
      </c>
      <c r="B38" s="1072" t="s">
        <v>2006</v>
      </c>
      <c r="C38" s="1073">
        <f ca="1">ROUND(C5*F38,0)</f>
        <v>677</v>
      </c>
      <c r="D38" s="1074" t="s">
        <v>2029</v>
      </c>
      <c r="E38" s="1072" t="s">
        <v>2025</v>
      </c>
      <c r="F38" s="1067">
        <f>'数据-取费表'!B47</f>
        <v>0.01</v>
      </c>
      <c r="G38" s="651"/>
      <c r="H38" s="941"/>
      <c r="I38" s="280" t="s">
        <v>2067</v>
      </c>
      <c r="J38" s="136">
        <f ca="1">ROUND(J34/C39,3)</f>
        <v>0</v>
      </c>
      <c r="K38" s="946"/>
      <c r="L38" s="941"/>
      <c r="M38" s="941"/>
    </row>
    <row r="39" spans="1:18" ht="18" customHeight="1" thickTop="1">
      <c r="A39" s="1061" t="s">
        <v>22</v>
      </c>
      <c r="B39" s="1076" t="s">
        <v>2068</v>
      </c>
      <c r="C39" s="243">
        <f ca="1">C5-C30</f>
        <v>50160</v>
      </c>
      <c r="D39" s="1077" t="s">
        <v>2069</v>
      </c>
      <c r="E39" s="1078"/>
      <c r="F39" s="1079"/>
      <c r="G39" s="651"/>
      <c r="H39" s="941"/>
      <c r="I39" s="280" t="s">
        <v>2070</v>
      </c>
      <c r="J39" s="136">
        <f ca="1">1-J38</f>
        <v>1</v>
      </c>
      <c r="K39" s="946"/>
      <c r="L39" s="941"/>
      <c r="M39" s="941"/>
    </row>
    <row r="40" spans="1:18" s="651" customFormat="1" ht="18" customHeight="1">
      <c r="A40" s="232" t="s">
        <v>23</v>
      </c>
      <c r="B40" s="233" t="s">
        <v>2071</v>
      </c>
      <c r="C40" s="234">
        <f ca="1">ROUND(C39*(1-((1+F42)/(1+F40))^F41)/(F40-F42),0)</f>
        <v>1084126</v>
      </c>
      <c r="D40" s="261" t="s">
        <v>2039</v>
      </c>
      <c r="E40" s="235" t="s">
        <v>2040</v>
      </c>
      <c r="F40" s="245">
        <f>'数据-取费表'!B16</f>
        <v>5.5E-2</v>
      </c>
      <c r="H40" s="947"/>
      <c r="I40" s="132" t="s">
        <v>2072</v>
      </c>
      <c r="J40" s="133"/>
      <c r="K40" s="946"/>
      <c r="L40" s="947"/>
      <c r="M40" s="947"/>
      <c r="Q40" s="655"/>
    </row>
    <row r="41" spans="1:18" s="651" customFormat="1" ht="18" customHeight="1">
      <c r="A41" s="237"/>
      <c r="B41" s="238"/>
      <c r="C41" s="239"/>
      <c r="D41" s="269" t="s">
        <v>2073</v>
      </c>
      <c r="E41" s="1272" t="s">
        <v>2652</v>
      </c>
      <c r="F41" s="270">
        <f>IF('数据-取费表'!B29="租赁期内按合同租金",'数据-取费表'!B35,IF(E41="收益年期(n)",'数据-取费表'!B34,'数据-取费表'!B13))</f>
        <v>32.409999999999997</v>
      </c>
      <c r="H41" s="948"/>
      <c r="I41" s="135" t="s">
        <v>1945</v>
      </c>
      <c r="J41" s="136">
        <f ca="1">ROUND(C13/C40,3)</f>
        <v>0.29699999999999999</v>
      </c>
      <c r="K41" s="945"/>
      <c r="L41" s="948"/>
      <c r="M41" s="948"/>
      <c r="Q41" s="655"/>
    </row>
    <row r="42" spans="1:18" s="651" customFormat="1" ht="18" customHeight="1">
      <c r="A42" s="241"/>
      <c r="B42" s="242"/>
      <c r="C42" s="243"/>
      <c r="D42" s="264"/>
      <c r="E42" s="235" t="s">
        <v>2049</v>
      </c>
      <c r="F42" s="245">
        <f>'数据-取费表'!B32</f>
        <v>0.03</v>
      </c>
      <c r="H42" s="948"/>
      <c r="I42" s="135" t="s">
        <v>1946</v>
      </c>
      <c r="J42" s="137">
        <f ca="1">1-J41</f>
        <v>0.70300000000000007</v>
      </c>
      <c r="K42" s="945"/>
      <c r="L42" s="948"/>
      <c r="M42" s="948"/>
      <c r="Q42" s="655"/>
    </row>
    <row r="43" spans="1:18" s="651" customFormat="1" ht="18" customHeight="1" thickBot="1">
      <c r="A43" s="271" t="s">
        <v>24</v>
      </c>
      <c r="B43" s="272" t="s">
        <v>2074</v>
      </c>
      <c r="C43" s="273">
        <f ca="1">ROUND(C40/F43,0)</f>
        <v>18441</v>
      </c>
      <c r="D43" s="274" t="s">
        <v>2075</v>
      </c>
      <c r="E43" s="275" t="s">
        <v>2076</v>
      </c>
      <c r="F43" s="276">
        <f>IF(D1="仅计算典型户型",'数据-取费表'!E5,'数据-取费表'!B5)</f>
        <v>58.79</v>
      </c>
      <c r="G43" s="653"/>
      <c r="H43" s="948"/>
      <c r="I43" s="948"/>
      <c r="J43" s="948"/>
      <c r="K43" s="945"/>
      <c r="L43" s="948"/>
      <c r="M43" s="948"/>
      <c r="O43" s="1039" t="s">
        <v>2077</v>
      </c>
      <c r="P43" s="1040"/>
      <c r="Q43" s="1036"/>
      <c r="R43" s="1040"/>
    </row>
    <row r="44" spans="1:18" s="651" customFormat="1" ht="18" customHeight="1" thickBot="1">
      <c r="A44" s="648"/>
      <c r="B44" s="648"/>
      <c r="C44" s="650"/>
      <c r="D44" s="648"/>
      <c r="E44" s="648"/>
      <c r="F44" s="648"/>
      <c r="G44" s="653"/>
      <c r="K44" s="652"/>
      <c r="O44" s="1041" t="s">
        <v>2078</v>
      </c>
      <c r="P44" s="1042" t="s">
        <v>2079</v>
      </c>
      <c r="Q44" s="1043" t="s">
        <v>2080</v>
      </c>
      <c r="R44" s="1044" t="s">
        <v>2081</v>
      </c>
    </row>
    <row r="45" spans="1:18" s="651" customFormat="1" ht="18" customHeight="1" thickBot="1">
      <c r="A45" s="648"/>
      <c r="B45" s="648"/>
      <c r="C45" s="650"/>
      <c r="D45" s="648"/>
      <c r="E45" s="648"/>
      <c r="F45" s="648"/>
      <c r="G45" s="654"/>
      <c r="K45" s="652"/>
      <c r="O45" s="1045" t="s">
        <v>949</v>
      </c>
      <c r="P45" s="1046" t="s">
        <v>2082</v>
      </c>
      <c r="Q45" s="1047">
        <f ca="1">C40+J29</f>
        <v>1084126</v>
      </c>
      <c r="R45" s="1048" t="s">
        <v>2083</v>
      </c>
    </row>
    <row r="46" spans="1:18" s="651" customFormat="1" ht="18" customHeight="1" thickBot="1">
      <c r="A46" s="648"/>
      <c r="D46" s="648"/>
      <c r="E46" s="648"/>
      <c r="F46" s="648"/>
      <c r="K46" s="652"/>
      <c r="O46" s="1045" t="s">
        <v>950</v>
      </c>
      <c r="P46" s="1046" t="s">
        <v>2084</v>
      </c>
      <c r="Q46" s="1047">
        <f ca="1">J61</f>
        <v>11487</v>
      </c>
      <c r="R46" s="1048" t="s">
        <v>2085</v>
      </c>
    </row>
    <row r="47" spans="1:18" s="651" customFormat="1" ht="21.75" thickBot="1">
      <c r="A47" s="1495" t="s">
        <v>2086</v>
      </c>
      <c r="C47" s="990">
        <f ca="1">IF(C2="元",C69-C40,ROUND((C69-C40)/10000,0))</f>
        <v>-159</v>
      </c>
      <c r="D47" s="1496" t="str">
        <f>C2</f>
        <v>万元</v>
      </c>
      <c r="E47" s="648"/>
      <c r="F47" s="648"/>
      <c r="I47" s="1497" t="s">
        <v>2087</v>
      </c>
      <c r="J47" s="1021"/>
      <c r="K47" s="1022"/>
      <c r="L47" s="1035">
        <f ca="1">IF(M48="住宅",0,IF(L49&gt;J52,L61,J61))</f>
        <v>11487</v>
      </c>
      <c r="O47" s="1049" t="s">
        <v>951</v>
      </c>
      <c r="P47" s="1046" t="s">
        <v>2088</v>
      </c>
      <c r="Q47" s="1047">
        <f ca="1">C29</f>
        <v>339367</v>
      </c>
      <c r="R47" s="1048" t="s">
        <v>2083</v>
      </c>
    </row>
    <row r="48" spans="1:18" s="651" customFormat="1" ht="15.75" thickBot="1">
      <c r="A48" s="228" t="s">
        <v>2089</v>
      </c>
      <c r="B48" s="229" t="s">
        <v>2090</v>
      </c>
      <c r="C48" s="229" t="s">
        <v>2091</v>
      </c>
      <c r="D48" s="229" t="s">
        <v>2092</v>
      </c>
      <c r="E48" s="984" t="s">
        <v>2093</v>
      </c>
      <c r="F48" s="985"/>
      <c r="I48" s="1498" t="s">
        <v>2094</v>
      </c>
      <c r="J48" s="1499" t="s">
        <v>2992</v>
      </c>
      <c r="K48" s="1500" t="s">
        <v>2095</v>
      </c>
      <c r="L48" s="1023">
        <f>'数据-取费表'!B11</f>
        <v>50</v>
      </c>
      <c r="M48" s="1036" t="str">
        <f>IF('数据-取费表'!B10="住宅","住宅","非住宅")</f>
        <v>非住宅</v>
      </c>
      <c r="O48" s="1049" t="s">
        <v>952</v>
      </c>
      <c r="P48" s="1046" t="s">
        <v>2096</v>
      </c>
      <c r="Q48" s="1050">
        <f>J59</f>
        <v>0.41</v>
      </c>
      <c r="R48" s="1048"/>
    </row>
    <row r="49" spans="1:18" s="651" customFormat="1" ht="15.75" thickBot="1">
      <c r="A49" s="1096" t="s">
        <v>963</v>
      </c>
      <c r="B49" s="233" t="s">
        <v>2097</v>
      </c>
      <c r="C49" s="1097">
        <f ca="1">C50+C54+C56</f>
        <v>0</v>
      </c>
      <c r="D49" s="1098"/>
      <c r="E49" s="44"/>
      <c r="F49" s="15"/>
      <c r="I49" s="1501" t="s">
        <v>2098</v>
      </c>
      <c r="J49" s="1502" t="s">
        <v>2993</v>
      </c>
      <c r="K49" s="1503" t="s">
        <v>2099</v>
      </c>
      <c r="L49" s="862">
        <f>'数据-取费表'!B13</f>
        <v>32.409999999999997</v>
      </c>
      <c r="O49" s="1049" t="s">
        <v>953</v>
      </c>
      <c r="P49" s="1046" t="s">
        <v>2100</v>
      </c>
      <c r="Q49" s="1050">
        <f>J53</f>
        <v>0.08</v>
      </c>
      <c r="R49" s="1048"/>
    </row>
    <row r="50" spans="1:18" s="651" customFormat="1" ht="15.75" thickBot="1">
      <c r="A50" s="260" t="s">
        <v>1957</v>
      </c>
      <c r="B50" s="1410" t="s">
        <v>2101</v>
      </c>
      <c r="C50" s="234">
        <f>ROUND(F50*F52*F51*(1-F53),0)</f>
        <v>0</v>
      </c>
      <c r="D50" s="42" t="s">
        <v>2644</v>
      </c>
      <c r="E50" s="1504" t="s">
        <v>2102</v>
      </c>
      <c r="F50" s="986"/>
      <c r="I50" s="1501" t="s">
        <v>2103</v>
      </c>
      <c r="J50" s="862">
        <f>'数据-取费表'!B27</f>
        <v>2018</v>
      </c>
      <c r="K50" s="1505" t="s">
        <v>2104</v>
      </c>
      <c r="L50" s="1024"/>
      <c r="O50" s="1049" t="s">
        <v>954</v>
      </c>
      <c r="P50" s="1046" t="s">
        <v>2105</v>
      </c>
      <c r="Q50" s="1047">
        <f>J54</f>
        <v>32.409999999999997</v>
      </c>
      <c r="R50" s="1048" t="s">
        <v>2106</v>
      </c>
    </row>
    <row r="51" spans="1:18" s="651" customFormat="1" ht="15.75" thickBot="1">
      <c r="A51" s="237"/>
      <c r="B51" s="238"/>
      <c r="C51" s="239"/>
      <c r="D51" s="240"/>
      <c r="E51" s="255" t="s">
        <v>1960</v>
      </c>
      <c r="F51" s="983">
        <f>F7</f>
        <v>58.79</v>
      </c>
      <c r="I51" s="1501" t="s">
        <v>2107</v>
      </c>
      <c r="J51" s="1025">
        <f>SUMPRODUCT((I64:I66=J48)*(J63:L63=J49)*(J64:L66))</f>
        <v>60</v>
      </c>
      <c r="K51" s="1505" t="s">
        <v>2108</v>
      </c>
      <c r="L51" s="1024"/>
      <c r="O51" s="1045" t="s">
        <v>955</v>
      </c>
      <c r="P51" s="1046" t="str">
        <f>IF(C2="元","收益价值(元)","收益价值(万元)")</f>
        <v>收益价值(万元)</v>
      </c>
      <c r="Q51" s="1047">
        <f ca="1">ROUND(IF(C2="元",Q45+Q46,(Q45+Q46)/10000),0)</f>
        <v>110</v>
      </c>
      <c r="R51" s="1048" t="s">
        <v>956</v>
      </c>
    </row>
    <row r="52" spans="1:18" s="651" customFormat="1" ht="16.5" thickBot="1">
      <c r="A52" s="237"/>
      <c r="B52" s="238"/>
      <c r="C52" s="239"/>
      <c r="D52" s="240"/>
      <c r="E52" s="235" t="s">
        <v>1962</v>
      </c>
      <c r="F52" s="236">
        <f>F8</f>
        <v>365</v>
      </c>
      <c r="I52" s="1506" t="s">
        <v>2109</v>
      </c>
      <c r="J52" s="1026">
        <f>IF(J50="",J51,J50+J51-YEAR('数据-取费表'!B2))</f>
        <v>57</v>
      </c>
      <c r="K52" s="1507" t="s">
        <v>2110</v>
      </c>
      <c r="L52" s="1027">
        <f ca="1">ROUND(-PV('数据-取费表'!B15,J52,(C40-C13*J35)),0)</f>
        <v>20338766</v>
      </c>
      <c r="O52" s="1039" t="s">
        <v>2111</v>
      </c>
      <c r="P52" s="1040"/>
      <c r="Q52" s="1036"/>
      <c r="R52" s="1040"/>
    </row>
    <row r="53" spans="1:18" s="651" customFormat="1" ht="15.75" thickBot="1">
      <c r="A53" s="241"/>
      <c r="B53" s="242"/>
      <c r="C53" s="243"/>
      <c r="D53" s="244"/>
      <c r="E53" s="235" t="s">
        <v>1963</v>
      </c>
      <c r="F53" s="1034"/>
      <c r="I53" s="1508" t="s">
        <v>2112</v>
      </c>
      <c r="J53" s="1028">
        <v>0.08</v>
      </c>
      <c r="K53" s="1508" t="s">
        <v>2113</v>
      </c>
      <c r="L53" s="1028"/>
      <c r="O53" s="1041" t="s">
        <v>2078</v>
      </c>
      <c r="P53" s="1042" t="s">
        <v>2079</v>
      </c>
      <c r="Q53" s="1043" t="s">
        <v>2080</v>
      </c>
      <c r="R53" s="1044" t="s">
        <v>2081</v>
      </c>
    </row>
    <row r="54" spans="1:18" s="651" customFormat="1" ht="29.25" customHeight="1" thickBot="1">
      <c r="A54" s="1055" t="s">
        <v>1964</v>
      </c>
      <c r="B54" s="1489" t="s">
        <v>1965</v>
      </c>
      <c r="C54" s="1056">
        <f ca="1">ROUND(IF(F54="押一",C50/12*F11,IF(F54="押二",C50/12*2*F11,IF(F54="押三",C50/12*3*F11,C55*F11))),0)</f>
        <v>0</v>
      </c>
      <c r="D54" s="1490" t="s">
        <v>2650</v>
      </c>
      <c r="E54" s="246" t="s">
        <v>1966</v>
      </c>
      <c r="F54" s="1491"/>
      <c r="I54" s="1597" t="s">
        <v>2653</v>
      </c>
      <c r="J54" s="1029">
        <f>IF(M48="住宅",IF(E1="——",MAX(J52,L49),MAX(J52,L49-'数据-取费表'!B26)),IF(E1="——",MIN(J52,L49),MIN(J52,L49-'数据-取费表'!B26)))</f>
        <v>32.409999999999997</v>
      </c>
      <c r="K54" s="3574" t="s">
        <v>2642</v>
      </c>
      <c r="L54" s="3575"/>
      <c r="O54" s="1045" t="s">
        <v>949</v>
      </c>
      <c r="P54" s="1046" t="s">
        <v>2082</v>
      </c>
      <c r="Q54" s="1047">
        <f ca="1">C40+J29</f>
        <v>1084126</v>
      </c>
      <c r="R54" s="1048" t="s">
        <v>2083</v>
      </c>
    </row>
    <row r="55" spans="1:18" s="651" customFormat="1" ht="20.25" thickBot="1">
      <c r="A55" s="1055"/>
      <c r="B55" s="1509" t="s">
        <v>1970</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2114</v>
      </c>
      <c r="Q55" s="1047">
        <f>L61</f>
        <v>0</v>
      </c>
      <c r="R55" s="1048" t="s">
        <v>2115</v>
      </c>
    </row>
    <row r="56" spans="1:18" s="651" customFormat="1" ht="20.25" thickBot="1">
      <c r="A56" s="1065" t="s">
        <v>1971</v>
      </c>
      <c r="B56" s="1493" t="s">
        <v>1972</v>
      </c>
      <c r="C56" s="1066"/>
      <c r="D56" s="1082"/>
      <c r="E56" s="1512"/>
      <c r="F56" s="1121"/>
      <c r="I56" s="1513" t="s">
        <v>2116</v>
      </c>
      <c r="J56" s="1288">
        <f>ROUND(IF(J48="钢混",J58/J51,1-(1-2%)*(J51-J58)/J51),3)</f>
        <v>0.41</v>
      </c>
      <c r="K56" s="1514" t="s">
        <v>2117</v>
      </c>
      <c r="L56" s="1030"/>
      <c r="O56" s="1049" t="s">
        <v>951</v>
      </c>
      <c r="P56" s="1046" t="s">
        <v>2118</v>
      </c>
      <c r="Q56" s="1047">
        <f>IF(L56="比较法",L50,IF(L56="基准地价",L51,0))</f>
        <v>0</v>
      </c>
      <c r="R56" s="1048" t="s">
        <v>2083</v>
      </c>
    </row>
    <row r="57" spans="1:18" s="651" customFormat="1" ht="44.25" thickTop="1" thickBot="1">
      <c r="A57" s="1061">
        <v>2</v>
      </c>
      <c r="B57" s="1062" t="s">
        <v>1973</v>
      </c>
      <c r="C57" s="1120">
        <f ca="1">C13</f>
        <v>322399</v>
      </c>
      <c r="D57" s="981"/>
      <c r="E57" s="982"/>
      <c r="F57" s="989"/>
      <c r="I57" s="1515" t="s">
        <v>2119</v>
      </c>
      <c r="J57" s="1033" t="s">
        <v>2984</v>
      </c>
      <c r="K57" s="1501" t="s">
        <v>2120</v>
      </c>
      <c r="L57" s="862" t="str">
        <f>IF(L49&lt;J52,"——",L49-J52)</f>
        <v>——</v>
      </c>
      <c r="O57" s="1049" t="s">
        <v>952</v>
      </c>
      <c r="P57" s="1046" t="s">
        <v>2121</v>
      </c>
      <c r="Q57" s="1050">
        <f>L53</f>
        <v>0</v>
      </c>
      <c r="R57" s="1048"/>
    </row>
    <row r="58" spans="1:18" s="651" customFormat="1" ht="29.25" thickBot="1">
      <c r="A58" s="988"/>
      <c r="B58" s="235" t="s">
        <v>2051</v>
      </c>
      <c r="C58" s="104">
        <f ca="1">C29</f>
        <v>339367</v>
      </c>
      <c r="D58" s="981"/>
      <c r="E58" s="982"/>
      <c r="F58" s="989"/>
      <c r="I58" s="1516" t="s">
        <v>2122</v>
      </c>
      <c r="J58" s="1032">
        <f>IF(OR(M48="住宅",J52&lt;L49,J57="是"),"——",J52-L49)</f>
        <v>24.590000000000003</v>
      </c>
      <c r="K58" s="1501" t="s">
        <v>2123</v>
      </c>
      <c r="L58" s="862" t="str">
        <f>IF(L49&lt;J52,"——",IF(L56="比较法",L50,IF(L56="基准地价",L51,L52)))</f>
        <v>——</v>
      </c>
      <c r="O58" s="1049" t="s">
        <v>953</v>
      </c>
      <c r="P58" s="1046" t="s">
        <v>2124</v>
      </c>
      <c r="Q58" s="1047" t="e">
        <f>L59</f>
        <v>#DIV/0!</v>
      </c>
      <c r="R58" s="1048" t="s">
        <v>2125</v>
      </c>
    </row>
    <row r="59" spans="1:18" s="651" customFormat="1" ht="29.25" thickBot="1">
      <c r="A59" s="248" t="s">
        <v>14</v>
      </c>
      <c r="B59" s="249" t="s">
        <v>2054</v>
      </c>
      <c r="C59" s="250">
        <f ca="1">ROUND(C60+C65+C66+C67,0)</f>
        <v>34082</v>
      </c>
      <c r="D59" s="12" t="s">
        <v>2055</v>
      </c>
      <c r="E59" s="1301"/>
      <c r="F59" s="15"/>
      <c r="I59" s="1516" t="s">
        <v>2126</v>
      </c>
      <c r="J59" s="1287">
        <f>IF(J56&lt;0.4,0.4,J56)</f>
        <v>0.41</v>
      </c>
      <c r="K59" s="1507" t="s">
        <v>2127</v>
      </c>
      <c r="L59" s="862" t="e">
        <f>ROUND(POWER(1+L53,L48-L49)*(POWER(1+L53,L49)-1)/(POWER(1+L53,L48)-1),4)</f>
        <v>#DIV/0!</v>
      </c>
      <c r="O59" s="1049" t="s">
        <v>954</v>
      </c>
      <c r="P59" s="1046" t="str">
        <f>K60</f>
        <v>建筑物剩余耐用年限下的土地年期修正系数Kn</v>
      </c>
      <c r="Q59" s="1047" t="e">
        <f>L60</f>
        <v>#DIV/0!</v>
      </c>
      <c r="R59" s="1048" t="s">
        <v>2128</v>
      </c>
    </row>
    <row r="60" spans="1:18" s="651" customFormat="1" ht="29.25" thickBot="1">
      <c r="A60" s="253" t="s">
        <v>15</v>
      </c>
      <c r="B60" s="235" t="s">
        <v>1995</v>
      </c>
      <c r="C60" s="2794">
        <f ca="1">ROUND(IF(AND(项目基本情况!B7="自然人",项目基本情况!B6="北京市"),C50*F60/(1+'数据-取费表'!F30),C61+C62+C63),0)</f>
        <v>28507</v>
      </c>
      <c r="D60" s="1296" t="s">
        <v>2056</v>
      </c>
      <c r="E60" s="1299" t="s">
        <v>2057</v>
      </c>
      <c r="F60" s="2793" t="str">
        <f>IF(项目基本情况!B7="企业","——",IF('数据-取费表'!B10="住宅",IF(F50*F51*F52/12/(1+'数据-取费表'!F30)&gt;100000,4%,2.5%),IF(F50*F51*F52/12/(1+'数据-取费表'!F30)&gt;100000,12%,7%)))</f>
        <v>——</v>
      </c>
      <c r="I60" s="1516" t="s">
        <v>2129</v>
      </c>
      <c r="J60" s="1032">
        <f ca="1">IF(OR(M48="住宅",J52&lt;L49,J57="是"),"——",ROUND(C29*J59,0))</f>
        <v>139140</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108</v>
      </c>
      <c r="R60" s="1048" t="s">
        <v>956</v>
      </c>
    </row>
    <row r="61" spans="1:18" s="651" customFormat="1" ht="16.5" thickBot="1">
      <c r="A61" s="253" t="s">
        <v>16</v>
      </c>
      <c r="B61" s="235" t="s">
        <v>2058</v>
      </c>
      <c r="C61" s="13">
        <f ca="1">IF(项目基本情况!B7="自然人","——",ROUND(C49*F61/(1+'数据-取费表'!F30),0))</f>
        <v>0</v>
      </c>
      <c r="D61" s="1299" t="s">
        <v>2059</v>
      </c>
      <c r="E61" s="235" t="s">
        <v>2008</v>
      </c>
      <c r="F61" s="267">
        <f t="shared" ref="F61:F67" si="0">F32</f>
        <v>5.5000000000000007E-2</v>
      </c>
      <c r="I61" s="1517" t="s">
        <v>2130</v>
      </c>
      <c r="J61" s="1031">
        <f ca="1">IF(OR(M48="住宅",J52&lt;L49,J57="是"),"0",ROUND(J60/(1+J53)^J54,0))</f>
        <v>11487</v>
      </c>
      <c r="K61" s="1518" t="s">
        <v>2131</v>
      </c>
      <c r="L61" s="1031">
        <f>IF(OR(M48="住宅",L49&lt;J52),0,ROUND(L58*(L59/L60-1),0))</f>
        <v>0</v>
      </c>
      <c r="O61" s="1039" t="s">
        <v>2132</v>
      </c>
      <c r="P61" s="1040"/>
      <c r="Q61" s="1036"/>
      <c r="R61" s="1040"/>
    </row>
    <row r="62" spans="1:18" s="651" customFormat="1" ht="15.75" thickBot="1">
      <c r="A62" s="253" t="s">
        <v>17</v>
      </c>
      <c r="B62" s="235" t="s">
        <v>2133</v>
      </c>
      <c r="C62" s="13">
        <f ca="1">IF(项目基本情况!B7="自然人","——",IF(D62="按租金收入计税",ROUND(C50*F62/(1+'数据-取费表'!F30),0),IF(D62="按房产原值计税",ROUND(C58*F62*0.7,0),'数据-取费表'!B44)))</f>
        <v>28507</v>
      </c>
      <c r="D62" s="1404" t="s">
        <v>2005</v>
      </c>
      <c r="E62" s="235" t="s">
        <v>2008</v>
      </c>
      <c r="F62" s="258">
        <f t="shared" si="0"/>
        <v>0.12</v>
      </c>
      <c r="O62" s="1041" t="s">
        <v>2078</v>
      </c>
      <c r="P62" s="1042" t="s">
        <v>2079</v>
      </c>
      <c r="Q62" s="1043" t="s">
        <v>2080</v>
      </c>
      <c r="R62" s="1044" t="s">
        <v>2081</v>
      </c>
    </row>
    <row r="63" spans="1:18" s="651" customFormat="1" ht="15.75" thickBot="1">
      <c r="A63" s="260" t="s">
        <v>18</v>
      </c>
      <c r="B63" s="36" t="s">
        <v>2134</v>
      </c>
      <c r="C63" s="14">
        <f>IF(项目基本情况!B7="自然人","——",ROUND(F63*F64,0))</f>
        <v>0</v>
      </c>
      <c r="D63" s="261" t="s">
        <v>2135</v>
      </c>
      <c r="E63" s="235" t="s">
        <v>2136</v>
      </c>
      <c r="F63" s="262">
        <f t="shared" si="0"/>
        <v>0</v>
      </c>
      <c r="I63" s="1519" t="s">
        <v>2137</v>
      </c>
      <c r="J63" s="1291" t="s">
        <v>2138</v>
      </c>
      <c r="K63" s="1291" t="s">
        <v>2139</v>
      </c>
      <c r="L63" s="1291" t="s">
        <v>2140</v>
      </c>
      <c r="M63" s="1290" t="s">
        <v>2141</v>
      </c>
      <c r="O63" s="1045" t="s">
        <v>949</v>
      </c>
      <c r="P63" s="1046" t="s">
        <v>2082</v>
      </c>
      <c r="Q63" s="1047">
        <f ca="1">C40+J29</f>
        <v>1084126</v>
      </c>
      <c r="R63" s="1048" t="s">
        <v>2083</v>
      </c>
    </row>
    <row r="64" spans="1:18" s="651" customFormat="1" ht="20.25" thickBot="1">
      <c r="A64" s="263"/>
      <c r="B64" s="244"/>
      <c r="C64" s="17"/>
      <c r="D64" s="264"/>
      <c r="E64" s="235" t="s">
        <v>2142</v>
      </c>
      <c r="F64" s="236">
        <f t="shared" si="0"/>
        <v>0</v>
      </c>
      <c r="I64" s="1519" t="s">
        <v>2143</v>
      </c>
      <c r="J64" s="1291">
        <v>70</v>
      </c>
      <c r="K64" s="1291">
        <v>50</v>
      </c>
      <c r="L64" s="1291">
        <v>80</v>
      </c>
      <c r="M64" s="1289">
        <v>0.02</v>
      </c>
      <c r="O64" s="1045" t="s">
        <v>950</v>
      </c>
      <c r="P64" s="1046" t="s">
        <v>2114</v>
      </c>
      <c r="Q64" s="1047">
        <f>L61</f>
        <v>0</v>
      </c>
      <c r="R64" s="1048" t="s">
        <v>2115</v>
      </c>
    </row>
    <row r="65" spans="1:18" s="651" customFormat="1" ht="23.25" thickBot="1">
      <c r="A65" s="253" t="s">
        <v>19</v>
      </c>
      <c r="B65" s="235" t="s">
        <v>2063</v>
      </c>
      <c r="C65" s="13">
        <f ca="1">ROUND(C58*F65,0)</f>
        <v>5091</v>
      </c>
      <c r="D65" s="1299" t="s">
        <v>2064</v>
      </c>
      <c r="E65" s="235" t="s">
        <v>2008</v>
      </c>
      <c r="F65" s="265">
        <f t="shared" si="0"/>
        <v>1.4999999999999999E-2</v>
      </c>
      <c r="I65" s="1519" t="s">
        <v>2144</v>
      </c>
      <c r="J65" s="1291">
        <v>50</v>
      </c>
      <c r="K65" s="1291">
        <v>35</v>
      </c>
      <c r="L65" s="1291">
        <v>60</v>
      </c>
      <c r="M65" s="1290">
        <v>0</v>
      </c>
      <c r="O65" s="1049" t="s">
        <v>951</v>
      </c>
      <c r="P65" s="1046" t="s">
        <v>2118</v>
      </c>
      <c r="Q65" s="1051">
        <f ca="1">L52</f>
        <v>20338766</v>
      </c>
      <c r="R65" s="1052" t="s">
        <v>2145</v>
      </c>
    </row>
    <row r="66" spans="1:18" s="651" customFormat="1" ht="20.25" thickBot="1">
      <c r="A66" s="253" t="s">
        <v>20</v>
      </c>
      <c r="B66" s="235" t="s">
        <v>2023</v>
      </c>
      <c r="C66" s="13">
        <f ca="1">ROUND(C57*F66,0)</f>
        <v>484</v>
      </c>
      <c r="D66" s="1299" t="s">
        <v>2024</v>
      </c>
      <c r="E66" s="235" t="s">
        <v>2025</v>
      </c>
      <c r="F66" s="266">
        <f t="shared" si="0"/>
        <v>1.5E-3</v>
      </c>
      <c r="I66" s="1519" t="s">
        <v>2146</v>
      </c>
      <c r="J66" s="1291">
        <v>40</v>
      </c>
      <c r="K66" s="1291">
        <v>30</v>
      </c>
      <c r="L66" s="1291">
        <v>50</v>
      </c>
      <c r="M66" s="1289">
        <v>0.02</v>
      </c>
      <c r="O66" s="1049" t="s">
        <v>952</v>
      </c>
      <c r="P66" s="1053" t="s">
        <v>2147</v>
      </c>
      <c r="Q66" s="1047">
        <f ca="1">ROUND(Q67-Q68*Q69,0)</f>
        <v>50160</v>
      </c>
      <c r="R66" s="1048"/>
    </row>
    <row r="67" spans="1:18" s="651" customFormat="1" ht="15.75" thickBot="1">
      <c r="A67" s="253" t="s">
        <v>21</v>
      </c>
      <c r="B67" s="235" t="s">
        <v>2006</v>
      </c>
      <c r="C67" s="13">
        <f ca="1">ROUND(C49*F67,0)</f>
        <v>0</v>
      </c>
      <c r="D67" s="1299" t="s">
        <v>2029</v>
      </c>
      <c r="E67" s="235" t="s">
        <v>2025</v>
      </c>
      <c r="F67" s="245">
        <f t="shared" si="0"/>
        <v>0.01</v>
      </c>
      <c r="O67" s="1049" t="s">
        <v>957</v>
      </c>
      <c r="P67" s="1053" t="s">
        <v>2148</v>
      </c>
      <c r="Q67" s="1047">
        <f ca="1">C39</f>
        <v>50160</v>
      </c>
      <c r="R67" s="1048" t="s">
        <v>2083</v>
      </c>
    </row>
    <row r="68" spans="1:18" ht="15.75" thickBot="1">
      <c r="A68" s="248" t="s">
        <v>22</v>
      </c>
      <c r="B68" s="41" t="s">
        <v>2033</v>
      </c>
      <c r="C68" s="250">
        <f ca="1">C49-C59</f>
        <v>-34082</v>
      </c>
      <c r="D68" s="1296" t="s">
        <v>2034</v>
      </c>
      <c r="E68" s="1298"/>
      <c r="F68" s="268"/>
      <c r="H68" s="651"/>
      <c r="I68" s="651"/>
      <c r="J68" s="651"/>
      <c r="K68" s="651"/>
      <c r="L68" s="651"/>
      <c r="M68" s="651"/>
      <c r="O68" s="1049" t="s">
        <v>958</v>
      </c>
      <c r="P68" s="1053" t="s">
        <v>2149</v>
      </c>
      <c r="Q68" s="1047">
        <f ca="1">C13</f>
        <v>322399</v>
      </c>
      <c r="R68" s="1048" t="s">
        <v>2083</v>
      </c>
    </row>
    <row r="69" spans="1:18" ht="15.75" thickBot="1">
      <c r="A69" s="232" t="s">
        <v>23</v>
      </c>
      <c r="B69" s="233" t="s">
        <v>2071</v>
      </c>
      <c r="C69" s="234">
        <f ca="1">ROUND(C68*(1-((1+F71)/(1+F69))^F70)/(F69-F71),0)</f>
        <v>-510390</v>
      </c>
      <c r="D69" s="261" t="s">
        <v>2039</v>
      </c>
      <c r="E69" s="235" t="s">
        <v>2040</v>
      </c>
      <c r="F69" s="245">
        <f>F40</f>
        <v>5.5E-2</v>
      </c>
      <c r="H69" s="651"/>
      <c r="I69" s="651"/>
      <c r="J69" s="651"/>
      <c r="K69" s="651"/>
      <c r="L69" s="651"/>
      <c r="M69" s="651"/>
      <c r="O69" s="1049" t="s">
        <v>959</v>
      </c>
      <c r="P69" s="1053" t="s">
        <v>2150</v>
      </c>
      <c r="Q69" s="1050">
        <f>J35</f>
        <v>0</v>
      </c>
      <c r="R69" s="1048"/>
    </row>
    <row r="70" spans="1:18" ht="15.75" thickBot="1">
      <c r="A70" s="237"/>
      <c r="B70" s="238"/>
      <c r="C70" s="239"/>
      <c r="D70" s="269" t="s">
        <v>2073</v>
      </c>
      <c r="E70" s="235" t="s">
        <v>2045</v>
      </c>
      <c r="F70" s="270">
        <f>F41</f>
        <v>32.409999999999997</v>
      </c>
      <c r="H70" s="651"/>
      <c r="I70" s="651"/>
      <c r="J70" s="651"/>
      <c r="K70" s="651"/>
      <c r="L70" s="651"/>
      <c r="M70" s="651"/>
      <c r="O70" s="1049" t="s">
        <v>953</v>
      </c>
      <c r="P70" s="1046" t="s">
        <v>2121</v>
      </c>
      <c r="Q70" s="1050">
        <f>L53</f>
        <v>0</v>
      </c>
      <c r="R70" s="1048"/>
    </row>
    <row r="71" spans="1:18" ht="20.25" thickBot="1">
      <c r="A71" s="241"/>
      <c r="B71" s="242"/>
      <c r="C71" s="243"/>
      <c r="D71" s="264"/>
      <c r="E71" s="235" t="s">
        <v>2049</v>
      </c>
      <c r="F71" s="1034"/>
      <c r="H71" s="651"/>
      <c r="M71" s="651"/>
      <c r="O71" s="1049" t="s">
        <v>954</v>
      </c>
      <c r="P71" s="1046" t="s">
        <v>2124</v>
      </c>
      <c r="Q71" s="1047" t="e">
        <f>L59</f>
        <v>#DIV/0!</v>
      </c>
      <c r="R71" s="1048" t="s">
        <v>2125</v>
      </c>
    </row>
    <row r="72" spans="1:18" ht="15.75" thickBot="1">
      <c r="A72" s="271" t="s">
        <v>24</v>
      </c>
      <c r="B72" s="272" t="s">
        <v>2074</v>
      </c>
      <c r="C72" s="273">
        <f ca="1">ROUND(C69/F72,0)</f>
        <v>-8682</v>
      </c>
      <c r="D72" s="274" t="s">
        <v>2075</v>
      </c>
      <c r="E72" s="275" t="s">
        <v>2076</v>
      </c>
      <c r="F72" s="276">
        <f>F43</f>
        <v>58.79</v>
      </c>
      <c r="O72" s="1049" t="s">
        <v>960</v>
      </c>
      <c r="P72" s="1046" t="str">
        <f>K60</f>
        <v>建筑物剩余耐用年限下的土地年期修正系数Kn</v>
      </c>
      <c r="Q72" s="1047" t="e">
        <f>L60</f>
        <v>#DIV/0!</v>
      </c>
      <c r="R72" s="1048" t="s">
        <v>2128</v>
      </c>
    </row>
    <row r="73" spans="1:18" ht="15.75" thickBot="1">
      <c r="A73" s="651"/>
      <c r="B73" s="655"/>
      <c r="C73" s="655"/>
      <c r="D73" s="651"/>
      <c r="E73" s="651"/>
      <c r="F73" s="651"/>
      <c r="O73" s="1045" t="s">
        <v>955</v>
      </c>
      <c r="P73" s="1046" t="str">
        <f>IF(C2="元","收益价值(元)","收益价值(万元)")</f>
        <v>收益价值(万元)</v>
      </c>
      <c r="Q73" s="1047">
        <f ca="1">ROUND(IF(C2="元",Q63+Q64,(Q63+Q64)/10000),0)</f>
        <v>108</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15" customHeight="1">
      <c r="A2" s="3136" t="s">
        <v>2836</v>
      </c>
      <c r="B2" s="3137" t="e">
        <f>C40</f>
        <v>#DIV/0!</v>
      </c>
      <c r="C2" s="3138" t="s">
        <v>2837</v>
      </c>
      <c r="D2" s="3138"/>
      <c r="E2" s="3139"/>
      <c r="F2" s="3140"/>
      <c r="G2" s="3234"/>
      <c r="H2" s="3235"/>
      <c r="I2" s="3236"/>
      <c r="J2" s="3576" t="s">
        <v>2838</v>
      </c>
      <c r="K2" s="3577"/>
      <c r="L2" s="3237" t="s">
        <v>2839</v>
      </c>
      <c r="M2" s="3237" t="s">
        <v>2840</v>
      </c>
      <c r="N2" s="3237" t="s">
        <v>2841</v>
      </c>
      <c r="O2" s="3237" t="s">
        <v>2842</v>
      </c>
      <c r="P2" s="3237" t="s">
        <v>2843</v>
      </c>
      <c r="Q2" s="3238" t="s">
        <v>2844</v>
      </c>
      <c r="R2" s="3239" t="s">
        <v>2845</v>
      </c>
      <c r="S2" s="3233"/>
      <c r="T2" s="3233"/>
      <c r="U2" s="3233"/>
      <c r="V2" s="3236"/>
      <c r="W2" s="3235"/>
    </row>
    <row r="3" spans="1:23" s="3141" customFormat="1" ht="13.15" customHeight="1">
      <c r="A3" s="3143" t="s">
        <v>2846</v>
      </c>
      <c r="B3" s="3144" t="e">
        <f>ROUND(B2*10000/B4,0)</f>
        <v>#DIV/0!</v>
      </c>
      <c r="C3" s="3138" t="s">
        <v>2847</v>
      </c>
      <c r="D3" s="3138"/>
      <c r="E3" s="3139"/>
      <c r="F3" s="3140"/>
      <c r="G3" s="3234"/>
      <c r="H3" s="3235"/>
      <c r="I3" s="3236"/>
      <c r="J3" s="3578" t="s">
        <v>2848</v>
      </c>
      <c r="K3" s="3579"/>
      <c r="L3" s="3240"/>
      <c r="M3" s="3240"/>
      <c r="N3" s="3240"/>
      <c r="O3" s="3240"/>
      <c r="P3" s="3240"/>
      <c r="Q3" s="3241"/>
      <c r="R3" s="3242">
        <f>SUM(L3:Q3)</f>
        <v>0</v>
      </c>
      <c r="S3" s="3233"/>
      <c r="T3" s="3233"/>
      <c r="U3" s="3233"/>
      <c r="V3" s="3236"/>
      <c r="W3" s="3235"/>
    </row>
    <row r="4" spans="1:23" s="3141" customFormat="1" ht="13.15" customHeight="1">
      <c r="A4" s="3145" t="s">
        <v>2849</v>
      </c>
      <c r="B4" s="3202"/>
      <c r="C4" s="3138"/>
      <c r="D4" s="3138"/>
      <c r="E4" s="3139"/>
      <c r="F4" s="3140"/>
      <c r="G4" s="3234"/>
      <c r="H4" s="3235"/>
      <c r="I4" s="3236"/>
      <c r="J4" s="3578" t="s">
        <v>2850</v>
      </c>
      <c r="K4" s="3579"/>
      <c r="L4" s="3243"/>
      <c r="M4" s="3243"/>
      <c r="N4" s="3243"/>
      <c r="O4" s="3243"/>
      <c r="P4" s="3243"/>
      <c r="Q4" s="3244"/>
      <c r="R4" s="3245">
        <f>SUM(L4:Q4)</f>
        <v>0</v>
      </c>
      <c r="S4" s="3233"/>
      <c r="T4" s="3233"/>
      <c r="U4" s="3233"/>
      <c r="V4" s="3236"/>
      <c r="W4" s="3235"/>
    </row>
    <row r="5" spans="1:23" s="3141" customFormat="1" ht="13.15"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15" customHeight="1" thickBot="1">
      <c r="A6" s="3580" t="s">
        <v>2854</v>
      </c>
      <c r="B6" s="3581"/>
      <c r="C6" s="3582"/>
      <c r="D6" s="3204"/>
      <c r="E6" s="3148"/>
      <c r="F6" s="3149"/>
      <c r="G6" s="3249"/>
      <c r="H6" s="3235"/>
      <c r="I6" s="3236"/>
      <c r="J6" s="3583">
        <v>1</v>
      </c>
      <c r="K6" s="3584"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15" customHeight="1">
      <c r="A7" s="3151" t="s">
        <v>2864</v>
      </c>
      <c r="B7" s="3152"/>
      <c r="C7" s="3153"/>
      <c r="D7" s="3154">
        <f>SUM(D9,D10,D11,D17,0)</f>
        <v>0</v>
      </c>
      <c r="E7" s="3155" t="e">
        <f>E9+E10+E11+E17</f>
        <v>#DIV/0!</v>
      </c>
      <c r="F7" s="3156"/>
      <c r="G7" s="3252"/>
      <c r="H7" s="3235"/>
      <c r="I7" s="3236"/>
      <c r="J7" s="3583"/>
      <c r="K7" s="3585"/>
      <c r="L7" s="3253" t="s">
        <v>2964</v>
      </c>
      <c r="M7" s="3254"/>
      <c r="N7" s="3254"/>
      <c r="O7" s="3255"/>
      <c r="P7" s="3255"/>
      <c r="Q7" s="3256">
        <v>365</v>
      </c>
      <c r="R7" s="3257">
        <f>ROUND(M7*N7*O7*P7*Q7/10000,0)</f>
        <v>0</v>
      </c>
      <c r="S7" s="3233"/>
      <c r="T7" s="3233" t="s">
        <v>2865</v>
      </c>
      <c r="U7" s="3233"/>
      <c r="V7" s="3236"/>
      <c r="W7" s="3235"/>
    </row>
    <row r="8" spans="1:23" s="3141" customFormat="1" ht="13.15" customHeight="1">
      <c r="A8" s="3157" t="s">
        <v>2866</v>
      </c>
      <c r="B8" s="3587" t="s">
        <v>2867</v>
      </c>
      <c r="C8" s="3588"/>
      <c r="D8" s="3158" t="s">
        <v>2868</v>
      </c>
      <c r="E8" s="3159" t="s">
        <v>2869</v>
      </c>
      <c r="F8" s="3142" t="s">
        <v>2870</v>
      </c>
      <c r="G8" s="3312" t="s">
        <v>2978</v>
      </c>
      <c r="H8" s="3235"/>
      <c r="I8" s="3236"/>
      <c r="J8" s="3583"/>
      <c r="K8" s="3585"/>
      <c r="L8" s="3253" t="s">
        <v>2965</v>
      </c>
      <c r="M8" s="3254"/>
      <c r="N8" s="3254"/>
      <c r="O8" s="3255"/>
      <c r="P8" s="3255"/>
      <c r="Q8" s="3256">
        <v>365</v>
      </c>
      <c r="R8" s="3257">
        <f t="shared" ref="R8:R13" si="0">ROUND(M8*N8*O8*P8*Q8/10000,0)</f>
        <v>0</v>
      </c>
      <c r="S8" s="3233"/>
      <c r="T8" s="3233" t="s">
        <v>2871</v>
      </c>
      <c r="U8" s="3233"/>
      <c r="V8" s="3236"/>
      <c r="W8" s="3235"/>
    </row>
    <row r="9" spans="1:23" s="3141" customFormat="1" ht="13.15" customHeight="1">
      <c r="A9" s="3157">
        <v>1</v>
      </c>
      <c r="B9" s="3587" t="s">
        <v>2872</v>
      </c>
      <c r="C9" s="3588"/>
      <c r="D9" s="3158">
        <f>ROUND(D6*E9,0)</f>
        <v>0</v>
      </c>
      <c r="E9" s="3205"/>
      <c r="F9" s="3160" t="s">
        <v>2873</v>
      </c>
      <c r="G9" s="3258" t="s">
        <v>2976</v>
      </c>
      <c r="H9" s="3235"/>
      <c r="I9" s="3236"/>
      <c r="J9" s="3583"/>
      <c r="K9" s="3585"/>
      <c r="L9" s="3253" t="s">
        <v>2966</v>
      </c>
      <c r="M9" s="3254"/>
      <c r="N9" s="3254"/>
      <c r="O9" s="3255"/>
      <c r="P9" s="3255"/>
      <c r="Q9" s="3256">
        <v>365</v>
      </c>
      <c r="R9" s="3257">
        <f t="shared" si="0"/>
        <v>0</v>
      </c>
      <c r="S9" s="3233"/>
      <c r="T9" s="3233"/>
      <c r="U9" s="3233"/>
      <c r="V9" s="3236"/>
      <c r="W9" s="3235"/>
    </row>
    <row r="10" spans="1:23" s="3141" customFormat="1" ht="13.15" customHeight="1">
      <c r="A10" s="3157">
        <v>2</v>
      </c>
      <c r="B10" s="3587" t="s">
        <v>2874</v>
      </c>
      <c r="C10" s="3588"/>
      <c r="D10" s="3158">
        <f>ROUND(D6*E10,0)</f>
        <v>0</v>
      </c>
      <c r="E10" s="3205"/>
      <c r="F10" s="3160" t="s">
        <v>2875</v>
      </c>
      <c r="G10" s="3258" t="s">
        <v>2977</v>
      </c>
      <c r="H10" s="3235"/>
      <c r="I10" s="3236"/>
      <c r="J10" s="3583"/>
      <c r="K10" s="3585"/>
      <c r="L10" s="3253" t="s">
        <v>2967</v>
      </c>
      <c r="M10" s="3254"/>
      <c r="N10" s="3254"/>
      <c r="O10" s="3255"/>
      <c r="P10" s="3255"/>
      <c r="Q10" s="3256">
        <v>365</v>
      </c>
      <c r="R10" s="3257">
        <f t="shared" si="0"/>
        <v>0</v>
      </c>
      <c r="S10" s="3233"/>
      <c r="T10" s="3233"/>
      <c r="U10" s="3233"/>
      <c r="V10" s="3236"/>
      <c r="W10" s="3235"/>
    </row>
    <row r="11" spans="1:23" s="3141" customFormat="1" ht="13.15" customHeight="1">
      <c r="A11" s="3157">
        <v>3</v>
      </c>
      <c r="B11" s="3587" t="s">
        <v>2876</v>
      </c>
      <c r="C11" s="3588"/>
      <c r="D11" s="3158">
        <f>D12+D14+D15+D16</f>
        <v>0</v>
      </c>
      <c r="E11" s="3161" t="e">
        <f>D11/D6</f>
        <v>#DIV/0!</v>
      </c>
      <c r="F11" s="3142"/>
      <c r="G11" s="3258"/>
      <c r="H11" s="3235"/>
      <c r="I11" s="3236"/>
      <c r="J11" s="3583"/>
      <c r="K11" s="3585"/>
      <c r="L11" s="3253" t="s">
        <v>2968</v>
      </c>
      <c r="M11" s="3254"/>
      <c r="N11" s="3254"/>
      <c r="O11" s="3255"/>
      <c r="P11" s="3255"/>
      <c r="Q11" s="3256">
        <v>365</v>
      </c>
      <c r="R11" s="3257">
        <f t="shared" si="0"/>
        <v>0</v>
      </c>
      <c r="S11" s="3233"/>
      <c r="T11" s="3233"/>
      <c r="U11" s="3233"/>
      <c r="V11" s="3236"/>
      <c r="W11" s="3235"/>
    </row>
    <row r="12" spans="1:23" s="3141" customFormat="1" ht="13.15" customHeight="1">
      <c r="A12" s="3162" t="s">
        <v>2877</v>
      </c>
      <c r="B12" s="3589" t="s">
        <v>2878</v>
      </c>
      <c r="C12" s="3590"/>
      <c r="D12" s="3163">
        <f>ROUND(D13*1.2%*(1-30%),0)</f>
        <v>0</v>
      </c>
      <c r="E12" s="3164">
        <v>1.2E-2</v>
      </c>
      <c r="F12" s="3142" t="s">
        <v>2879</v>
      </c>
      <c r="G12" s="3258"/>
      <c r="H12" s="3235"/>
      <c r="I12" s="3236"/>
      <c r="J12" s="3583"/>
      <c r="K12" s="3585"/>
      <c r="L12" s="3253" t="s">
        <v>2969</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2880</v>
      </c>
      <c r="D13" s="3206"/>
      <c r="E13" s="3167"/>
      <c r="F13" s="3142"/>
      <c r="G13" s="3258"/>
      <c r="H13" s="3235"/>
      <c r="I13" s="3236"/>
      <c r="J13" s="3583"/>
      <c r="K13" s="3585"/>
      <c r="L13" s="3253" t="s">
        <v>2970</v>
      </c>
      <c r="M13" s="3254"/>
      <c r="N13" s="3254"/>
      <c r="O13" s="3255"/>
      <c r="P13" s="3255"/>
      <c r="Q13" s="3256">
        <v>365</v>
      </c>
      <c r="R13" s="3257">
        <f t="shared" si="0"/>
        <v>0</v>
      </c>
      <c r="S13" s="3233"/>
      <c r="T13" s="3233"/>
      <c r="U13" s="3233"/>
      <c r="V13" s="3236"/>
      <c r="W13" s="3235"/>
    </row>
    <row r="14" spans="1:23" s="3141" customFormat="1" ht="13.15" customHeight="1">
      <c r="A14" s="3162" t="s">
        <v>2881</v>
      </c>
      <c r="B14" s="3589" t="s">
        <v>2882</v>
      </c>
      <c r="C14" s="3590"/>
      <c r="D14" s="3163">
        <f>ROUND(E14*B5/10000,0)</f>
        <v>0</v>
      </c>
      <c r="E14" s="3207"/>
      <c r="F14" s="3142" t="s">
        <v>2883</v>
      </c>
      <c r="G14" s="3258"/>
      <c r="H14" s="3235"/>
      <c r="I14" s="3236"/>
      <c r="J14" s="3583"/>
      <c r="K14" s="3586"/>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2885</v>
      </c>
      <c r="B15" s="3589" t="s">
        <v>2886</v>
      </c>
      <c r="C15" s="3590"/>
      <c r="D15" s="3163">
        <f>ROUND(D6*E15,0)</f>
        <v>0</v>
      </c>
      <c r="E15" s="3164">
        <v>5.5E-2</v>
      </c>
      <c r="F15" s="3142" t="s">
        <v>2887</v>
      </c>
      <c r="G15" s="3258"/>
      <c r="H15" s="3235"/>
      <c r="I15" s="3236"/>
      <c r="J15" s="3583">
        <v>2</v>
      </c>
      <c r="K15" s="3584"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15" customHeight="1">
      <c r="A16" s="3162" t="s">
        <v>2896</v>
      </c>
      <c r="B16" s="3589" t="s">
        <v>2897</v>
      </c>
      <c r="C16" s="3590"/>
      <c r="D16" s="3208">
        <f>D6*E16</f>
        <v>0</v>
      </c>
      <c r="E16" s="3209"/>
      <c r="F16" s="3160" t="s">
        <v>2898</v>
      </c>
      <c r="G16" s="3258"/>
      <c r="H16" s="3235"/>
      <c r="I16" s="3236"/>
      <c r="J16" s="3583"/>
      <c r="K16" s="3585"/>
      <c r="L16" s="3253" t="s">
        <v>2971</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1" t="s">
        <v>2899</v>
      </c>
      <c r="C17" s="3592"/>
      <c r="D17" s="3169">
        <f>ROUND(D6*E17,0)</f>
        <v>0</v>
      </c>
      <c r="E17" s="3210"/>
      <c r="F17" s="3170" t="s">
        <v>2900</v>
      </c>
      <c r="G17" s="3311">
        <v>0.1</v>
      </c>
      <c r="H17" s="3235"/>
      <c r="I17" s="3236"/>
      <c r="J17" s="3583"/>
      <c r="K17" s="3585"/>
      <c r="L17" s="3253" t="s">
        <v>2972</v>
      </c>
      <c r="M17" s="3254"/>
      <c r="N17" s="3254"/>
      <c r="O17" s="3255"/>
      <c r="P17" s="3256">
        <v>365</v>
      </c>
      <c r="Q17" s="3254"/>
      <c r="R17" s="3267">
        <f>ROUND(M17*N17*O17*P17/10000,0)</f>
        <v>0</v>
      </c>
      <c r="S17" s="3233"/>
      <c r="T17" s="3233"/>
      <c r="U17" s="3233"/>
      <c r="V17" s="3236"/>
      <c r="W17" s="3235"/>
    </row>
    <row r="18" spans="1:23" s="3141" customFormat="1" ht="13.15" customHeight="1" thickBot="1">
      <c r="A18" s="3151" t="s">
        <v>2901</v>
      </c>
      <c r="B18" s="3152"/>
      <c r="C18" s="3152"/>
      <c r="D18" s="3171">
        <f>ROUND(D6*E18,0)</f>
        <v>0</v>
      </c>
      <c r="E18" s="3211"/>
      <c r="F18" s="3172" t="s">
        <v>2902</v>
      </c>
      <c r="G18" s="3311">
        <v>0.05</v>
      </c>
      <c r="H18" s="3235"/>
      <c r="I18" s="3236"/>
      <c r="J18" s="3583"/>
      <c r="K18" s="3585"/>
      <c r="L18" s="3253" t="s">
        <v>2973</v>
      </c>
      <c r="M18" s="3254"/>
      <c r="N18" s="3254"/>
      <c r="O18" s="3255"/>
      <c r="P18" s="3256">
        <v>365</v>
      </c>
      <c r="Q18" s="3254"/>
      <c r="R18" s="3267">
        <f>ROUND(M18*N18*O18*P18/10000,0)</f>
        <v>0</v>
      </c>
      <c r="S18" s="3233"/>
      <c r="T18" s="3233"/>
      <c r="U18" s="3233"/>
      <c r="V18" s="3236"/>
      <c r="W18" s="3235"/>
    </row>
    <row r="19" spans="1:23" s="3141" customFormat="1" ht="13.15" customHeight="1" thickBot="1">
      <c r="A19" s="3173" t="s">
        <v>2903</v>
      </c>
      <c r="B19" s="3148"/>
      <c r="C19" s="3148"/>
      <c r="D19" s="3148"/>
      <c r="E19" s="3148"/>
      <c r="F19" s="3149"/>
      <c r="G19" s="3258"/>
      <c r="H19" s="3235"/>
      <c r="I19" s="3236"/>
      <c r="J19" s="3583"/>
      <c r="K19" s="3586"/>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3">
        <v>3</v>
      </c>
      <c r="K20" s="3584"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15" customHeight="1">
      <c r="A21" s="3151"/>
      <c r="B21" s="3152"/>
      <c r="C21" s="3175" t="s">
        <v>2909</v>
      </c>
      <c r="D21" s="3176" t="s">
        <v>2910</v>
      </c>
      <c r="E21" s="3177" t="s">
        <v>2911</v>
      </c>
      <c r="F21" s="3174"/>
      <c r="G21" s="3258"/>
      <c r="H21" s="3235"/>
      <c r="I21" s="3236"/>
      <c r="J21" s="3583"/>
      <c r="K21" s="3585"/>
      <c r="L21" s="3263" t="s">
        <v>2912</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2913</v>
      </c>
      <c r="D22" s="3213" t="s">
        <v>2914</v>
      </c>
      <c r="E22" s="3214" t="s">
        <v>2915</v>
      </c>
      <c r="F22" s="3174"/>
      <c r="G22" s="3273"/>
      <c r="H22" s="3235"/>
      <c r="I22" s="3236"/>
      <c r="J22" s="3583"/>
      <c r="K22" s="3585"/>
      <c r="L22" s="3263" t="s">
        <v>2916</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2917</v>
      </c>
      <c r="C23" s="3179">
        <f>D6</f>
        <v>0</v>
      </c>
      <c r="D23" s="3180">
        <f>C23*(1+D24)</f>
        <v>0</v>
      </c>
      <c r="E23" s="3181">
        <f>D23*(1+E24)</f>
        <v>0</v>
      </c>
      <c r="F23" s="3182"/>
      <c r="G23" s="3274"/>
      <c r="H23" s="3235"/>
      <c r="I23" s="3236"/>
      <c r="J23" s="3583"/>
      <c r="K23" s="3585"/>
      <c r="L23" s="3263" t="s">
        <v>2918</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2919</v>
      </c>
      <c r="C24" s="3185"/>
      <c r="D24" s="3215"/>
      <c r="E24" s="3216"/>
      <c r="F24" s="3186"/>
      <c r="G24" s="3274"/>
      <c r="H24" s="3235"/>
      <c r="I24" s="3236"/>
      <c r="J24" s="3583"/>
      <c r="K24" s="3586"/>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2921</v>
      </c>
      <c r="C26" s="3179">
        <f>D7</f>
        <v>0</v>
      </c>
      <c r="D26" s="3180">
        <f>D23*D27</f>
        <v>0</v>
      </c>
      <c r="E26" s="3181">
        <f>E23*E27</f>
        <v>0</v>
      </c>
      <c r="F26" s="3182"/>
      <c r="G26" s="3274"/>
      <c r="H26" s="3235"/>
      <c r="I26" s="3236"/>
      <c r="J26" s="3593">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15" customHeight="1">
      <c r="A27" s="3183"/>
      <c r="B27" s="3184" t="s">
        <v>2927</v>
      </c>
      <c r="C27" s="3188" t="e">
        <f>E7</f>
        <v>#DIV/0!</v>
      </c>
      <c r="D27" s="3215"/>
      <c r="E27" s="3216"/>
      <c r="F27" s="3186"/>
      <c r="G27" s="3274"/>
      <c r="H27" s="3281"/>
      <c r="I27" s="3280"/>
      <c r="J27" s="3594"/>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15"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15" customHeight="1">
      <c r="A32" s="3178">
        <v>4</v>
      </c>
      <c r="B32" s="3150" t="s">
        <v>2935</v>
      </c>
      <c r="C32" s="3179">
        <f>C23-C26-C29</f>
        <v>0</v>
      </c>
      <c r="D32" s="3180">
        <f>D23-D26-D29</f>
        <v>0</v>
      </c>
      <c r="E32" s="3181">
        <f>E23-E26-E29</f>
        <v>0</v>
      </c>
      <c r="F32" s="3182"/>
      <c r="G32" s="3273"/>
      <c r="H32" s="3235"/>
      <c r="I32" s="3236"/>
      <c r="J32" s="3576" t="s">
        <v>2936</v>
      </c>
      <c r="K32" s="3577"/>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15" customHeight="1">
      <c r="A33" s="3178"/>
      <c r="B33" s="3150"/>
      <c r="C33" s="3179"/>
      <c r="D33" s="3190"/>
      <c r="E33" s="3191"/>
      <c r="F33" s="3182"/>
      <c r="G33" s="3273"/>
      <c r="H33" s="3281"/>
      <c r="I33" s="3280"/>
      <c r="J33" s="3578" t="s">
        <v>2940</v>
      </c>
      <c r="K33" s="3579"/>
      <c r="L33" s="3240"/>
      <c r="M33" s="3240"/>
      <c r="N33" s="3240"/>
      <c r="O33" s="3240"/>
      <c r="P33" s="3240"/>
      <c r="Q33" s="3241"/>
      <c r="R33" s="3301">
        <f>SUM(L33:Q33)</f>
        <v>0</v>
      </c>
      <c r="S33" s="3271"/>
      <c r="T33" s="3233"/>
      <c r="U33" s="3233"/>
      <c r="V33" s="3236"/>
      <c r="W33" s="3235"/>
    </row>
    <row r="34" spans="1:23" s="3141" customFormat="1" ht="13.15" customHeight="1">
      <c r="A34" s="3178">
        <v>5</v>
      </c>
      <c r="B34" s="3150" t="s">
        <v>2941</v>
      </c>
      <c r="C34" s="3218"/>
      <c r="D34" s="3219"/>
      <c r="E34" s="3220"/>
      <c r="F34" s="3182"/>
      <c r="G34" s="3273"/>
      <c r="H34" s="3281"/>
      <c r="I34" s="3280"/>
      <c r="J34" s="3578" t="s">
        <v>2942</v>
      </c>
      <c r="K34" s="3579"/>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15" customHeight="1" thickBot="1">
      <c r="A36" s="3178">
        <v>7</v>
      </c>
      <c r="B36" s="3192" t="s">
        <v>2946</v>
      </c>
      <c r="C36" s="3224"/>
      <c r="D36" s="3225"/>
      <c r="E36" s="3226"/>
      <c r="F36" s="3193">
        <f>C36+D36+E36</f>
        <v>0</v>
      </c>
      <c r="G36" s="3273"/>
      <c r="H36" s="3235"/>
      <c r="I36" s="3236"/>
      <c r="J36" s="3583">
        <v>1</v>
      </c>
      <c r="K36" s="3584" t="s">
        <v>2947</v>
      </c>
      <c r="L36" s="3250"/>
      <c r="M36" s="3251"/>
      <c r="N36" s="3251"/>
      <c r="O36" s="3251"/>
      <c r="P36" s="3251"/>
      <c r="Q36" s="3251"/>
      <c r="R36" s="3242" t="s">
        <v>2895</v>
      </c>
      <c r="S36" s="3271"/>
      <c r="T36" s="3233" t="s">
        <v>2948</v>
      </c>
      <c r="U36" s="3233"/>
      <c r="V36" s="3236"/>
      <c r="W36" s="3235"/>
    </row>
    <row r="37" spans="1:23" s="3141" customFormat="1" ht="13.15" customHeight="1">
      <c r="A37" s="3178"/>
      <c r="B37" s="3150"/>
      <c r="C37" s="3150"/>
      <c r="D37" s="3150"/>
      <c r="E37" s="3150"/>
      <c r="F37" s="3182"/>
      <c r="G37" s="3273"/>
      <c r="H37" s="3235"/>
      <c r="I37" s="3236"/>
      <c r="J37" s="3583"/>
      <c r="K37" s="3585"/>
      <c r="L37" s="3263"/>
      <c r="M37" s="3264"/>
      <c r="N37" s="3202"/>
      <c r="O37" s="3265"/>
      <c r="P37" s="3265"/>
      <c r="Q37" s="3207"/>
      <c r="R37" s="3305"/>
      <c r="S37" s="3271"/>
      <c r="T37" s="3233" t="s">
        <v>2949</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3"/>
      <c r="K38" s="3585"/>
      <c r="L38" s="3263"/>
      <c r="M38" s="3264"/>
      <c r="N38" s="3202"/>
      <c r="O38" s="3265"/>
      <c r="P38" s="3265"/>
      <c r="Q38" s="3207"/>
      <c r="R38" s="3305"/>
      <c r="S38" s="3271"/>
      <c r="T38" s="3233" t="s">
        <v>2871</v>
      </c>
      <c r="U38" s="3233"/>
      <c r="V38" s="3236"/>
      <c r="W38" s="3235"/>
    </row>
    <row r="39" spans="1:23" s="3141" customFormat="1" ht="13.15" customHeight="1">
      <c r="A39" s="3178">
        <v>9</v>
      </c>
      <c r="B39" s="3150" t="s">
        <v>2950</v>
      </c>
      <c r="C39" s="3163" t="e">
        <f>C38</f>
        <v>#DIV/0!</v>
      </c>
      <c r="D39" s="3150">
        <f>D38/(1+D34)^C36</f>
        <v>0</v>
      </c>
      <c r="E39" s="3150">
        <f>E38/(1+E34)^(C36+D36)</f>
        <v>0</v>
      </c>
      <c r="F39" s="3182"/>
      <c r="G39" s="3306"/>
      <c r="H39" s="3235"/>
      <c r="I39" s="3236"/>
      <c r="J39" s="3583"/>
      <c r="K39" s="3585"/>
      <c r="L39" s="3263"/>
      <c r="M39" s="3264"/>
      <c r="N39" s="3202"/>
      <c r="O39" s="3265"/>
      <c r="P39" s="3265"/>
      <c r="Q39" s="3207"/>
      <c r="R39" s="3305"/>
      <c r="S39" s="3271"/>
      <c r="T39" s="3233"/>
      <c r="U39" s="3233"/>
      <c r="V39" s="3236"/>
      <c r="W39" s="3235"/>
    </row>
    <row r="40" spans="1:23" s="3141" customFormat="1" ht="13.15" customHeight="1">
      <c r="A40" s="3194">
        <v>10</v>
      </c>
      <c r="B40" s="3150" t="s">
        <v>2951</v>
      </c>
      <c r="C40" s="3195" t="e">
        <f>C39+D39+E39</f>
        <v>#DIV/0!</v>
      </c>
      <c r="D40" s="3196"/>
      <c r="E40" s="3196"/>
      <c r="F40" s="3197"/>
      <c r="G40" s="3273"/>
      <c r="H40" s="3235"/>
      <c r="I40" s="3236"/>
      <c r="J40" s="3583"/>
      <c r="K40" s="3586"/>
      <c r="L40" s="3259" t="s">
        <v>2952</v>
      </c>
      <c r="M40" s="3260"/>
      <c r="N40" s="3260"/>
      <c r="O40" s="3261"/>
      <c r="P40" s="3261"/>
      <c r="Q40" s="3262"/>
      <c r="R40" s="3239">
        <f>SUM(R37:R39)</f>
        <v>0</v>
      </c>
      <c r="S40" s="3271"/>
      <c r="T40" s="3233"/>
      <c r="U40" s="3233"/>
      <c r="V40" s="3236"/>
      <c r="W40" s="3235"/>
    </row>
    <row r="41" spans="1:23" s="3141" customFormat="1" ht="13.15"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93">
        <v>3</v>
      </c>
      <c r="K42" s="3282" t="s">
        <v>2955</v>
      </c>
      <c r="L42" s="3283"/>
      <c r="M42" s="3284"/>
      <c r="N42" s="3285" t="s">
        <v>2956</v>
      </c>
      <c r="O42" s="3285" t="s">
        <v>2957</v>
      </c>
      <c r="P42" s="3286" t="s">
        <v>2958</v>
      </c>
      <c r="Q42" s="3286" t="s">
        <v>2959</v>
      </c>
      <c r="R42" s="3242" t="s">
        <v>2862</v>
      </c>
      <c r="S42" s="3287"/>
      <c r="T42" s="3287"/>
      <c r="U42" s="3233"/>
      <c r="V42" s="3236"/>
      <c r="W42" s="3235"/>
    </row>
    <row r="43" spans="1:23" ht="13.15" customHeight="1">
      <c r="A43" s="3141"/>
      <c r="B43" s="3141"/>
      <c r="C43" s="3141"/>
      <c r="D43" s="3141"/>
      <c r="E43" s="3141"/>
      <c r="F43" s="3141"/>
      <c r="I43" s="3228"/>
      <c r="J43" s="3594"/>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1" zoomScale="85" zoomScaleNormal="90" zoomScaleSheetLayoutView="85" workbookViewId="0">
      <selection activeCell="C65" sqref="C65"/>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2438</v>
      </c>
      <c r="B1" s="2066"/>
      <c r="C1" s="2067" t="s">
        <v>2439</v>
      </c>
      <c r="D1" s="2068">
        <f>SUM(D29:D30,D33:D39)</f>
        <v>58.79</v>
      </c>
      <c r="E1" s="2068"/>
      <c r="F1" s="2068"/>
      <c r="G1" s="2068"/>
      <c r="H1" s="2068"/>
      <c r="I1" s="2068"/>
      <c r="J1" s="2068"/>
      <c r="K1" s="3017"/>
      <c r="L1" s="2069" t="s">
        <v>2440</v>
      </c>
      <c r="M1" s="2070">
        <f>SUMPRODUCT((区片价!B5:B9=I2)*(区片价!C3:F3=E2)*(区片价!C5:F9))</f>
        <v>0</v>
      </c>
      <c r="N1" s="2071">
        <f>SUMPRODUCT((因素修正幅度!B5:B9=I2)*(因素修正幅度!C3:F3=E2)*(因素修正幅度!C5:F9))</f>
        <v>0</v>
      </c>
      <c r="O1" s="3017"/>
      <c r="P1" s="3017"/>
      <c r="Q1" s="3017"/>
      <c r="R1" s="2072" t="s">
        <v>2441</v>
      </c>
      <c r="S1" s="2072" t="s">
        <v>2442</v>
      </c>
      <c r="T1" s="2072" t="s">
        <v>2443</v>
      </c>
      <c r="U1" s="2072" t="s">
        <v>2444</v>
      </c>
      <c r="V1" s="2072" t="s">
        <v>2445</v>
      </c>
      <c r="W1" s="2073"/>
      <c r="X1" s="2073"/>
      <c r="Y1" s="2073"/>
      <c r="Z1" s="2073"/>
      <c r="AA1" s="2073"/>
      <c r="AB1" s="2073"/>
      <c r="AC1" s="2073"/>
      <c r="AD1" s="2074"/>
      <c r="AE1" s="2074"/>
      <c r="AF1" s="2074"/>
      <c r="AG1" s="2074"/>
      <c r="AH1" s="2074"/>
      <c r="AI1" s="2074"/>
      <c r="AJ1" s="2075"/>
    </row>
    <row r="2" spans="1:36" ht="24.75">
      <c r="A2" s="1929" t="s">
        <v>2446</v>
      </c>
      <c r="B2" s="1627">
        <f>C26</f>
        <v>572909</v>
      </c>
      <c r="C2" s="2076" t="s">
        <v>2447</v>
      </c>
      <c r="D2" s="1570" t="s">
        <v>2448</v>
      </c>
      <c r="E2" s="2077" t="s">
        <v>2989</v>
      </c>
      <c r="F2" s="1570" t="s">
        <v>2449</v>
      </c>
      <c r="G2" s="2078" t="str">
        <f>项目基本情况!F9</f>
        <v>七级</v>
      </c>
      <c r="H2" s="1571" t="s">
        <v>2450</v>
      </c>
      <c r="I2" s="2078" t="str">
        <f>项目基本情况!F10</f>
        <v>Ⅶ-昌1</v>
      </c>
      <c r="J2" s="2079"/>
      <c r="K2" s="3017"/>
      <c r="L2" s="2080" t="s">
        <v>2451</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1.8629</v>
      </c>
      <c r="T2" s="2072">
        <f>ROUND($C$5*$C$18*$C$19*$C$20*S2*$C$24,0)</f>
        <v>18153</v>
      </c>
      <c r="U2" s="2083"/>
      <c r="V2" s="2072">
        <f>ROUND(T2*U2/10000,0)</f>
        <v>0</v>
      </c>
      <c r="W2" s="2073"/>
      <c r="X2" s="2073"/>
      <c r="Y2" s="2073"/>
      <c r="Z2" s="2073"/>
      <c r="AA2" s="2073"/>
      <c r="AB2" s="2073"/>
      <c r="AC2" s="2073"/>
      <c r="AD2" s="2074"/>
      <c r="AE2" s="2074"/>
      <c r="AF2" s="2074"/>
      <c r="AG2" s="2074"/>
      <c r="AH2" s="2074"/>
      <c r="AI2" s="2074"/>
      <c r="AJ2" s="2075"/>
    </row>
    <row r="3" spans="1:36" ht="25.5">
      <c r="A3" s="1627" t="s">
        <v>2452</v>
      </c>
      <c r="B3" s="1627">
        <f>ROUND(B2/D1,0)</f>
        <v>9745</v>
      </c>
      <c r="C3" s="2076" t="s">
        <v>2453</v>
      </c>
      <c r="D3" s="1570" t="s">
        <v>2454</v>
      </c>
      <c r="E3" s="2077" t="s">
        <v>2994</v>
      </c>
      <c r="F3" s="1572" t="s">
        <v>2455</v>
      </c>
      <c r="G3" s="2084">
        <f>项目基本情况!C15</f>
        <v>2.5</v>
      </c>
      <c r="H3" s="50" t="s">
        <v>2456</v>
      </c>
      <c r="I3" s="2085"/>
      <c r="J3" s="2079" t="s">
        <v>2457</v>
      </c>
      <c r="K3" s="3017"/>
      <c r="L3" s="2080" t="s">
        <v>2458</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1.3371999999999999</v>
      </c>
      <c r="T3" s="2072">
        <f t="shared" ref="T3:T16" si="0">ROUND($C$5*$C$18*$C$19*$C$20*S3*$C$24,0)</f>
        <v>13031</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597"/>
      <c r="B4" s="3598"/>
      <c r="C4" s="3598"/>
      <c r="D4" s="3599"/>
      <c r="E4" s="3599"/>
      <c r="F4" s="3599"/>
      <c r="G4" s="3599"/>
      <c r="H4" s="3599"/>
      <c r="I4" s="3599"/>
      <c r="J4" s="3600"/>
      <c r="K4" s="3017"/>
      <c r="L4" s="2080" t="s">
        <v>2459</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1.0788</v>
      </c>
      <c r="T4" s="2072">
        <f t="shared" si="0"/>
        <v>10513</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2460</v>
      </c>
      <c r="B5" s="1573" t="s">
        <v>2461</v>
      </c>
      <c r="C5" s="2086">
        <f>ROUND(IF(E2="商业",C6*C7+C16,(IF(E2="住宅",C6*C12+C16,C6+C16))),0)</f>
        <v>7764</v>
      </c>
      <c r="D5" s="2087">
        <f>ROUND(C6+C16,0)</f>
        <v>7764</v>
      </c>
      <c r="E5" s="2087"/>
      <c r="F5" s="2088"/>
      <c r="G5" s="2089"/>
      <c r="H5" s="2089"/>
      <c r="I5" s="2089"/>
      <c r="J5" s="2046"/>
      <c r="K5" s="1635"/>
      <c r="L5" s="2080" t="s">
        <v>2462</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0.86560000000000004</v>
      </c>
      <c r="T5" s="2072">
        <f t="shared" si="0"/>
        <v>8435</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2463</v>
      </c>
      <c r="C6" s="2095">
        <f>SUMIF(L1:L12,G2,M1:M12)</f>
        <v>7800</v>
      </c>
      <c r="D6" s="2096" t="s">
        <v>2464</v>
      </c>
      <c r="E6" s="1574"/>
      <c r="F6" s="1574"/>
      <c r="G6" s="2097"/>
      <c r="H6" s="2097"/>
      <c r="I6" s="2097"/>
      <c r="J6" s="2098"/>
      <c r="K6" s="3018"/>
      <c r="L6" s="2080" t="s">
        <v>2465</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0.73709999999999998</v>
      </c>
      <c r="T6" s="2072">
        <f t="shared" si="0"/>
        <v>7183</v>
      </c>
      <c r="U6" s="2083"/>
      <c r="V6" s="2072">
        <f t="shared" si="1"/>
        <v>0</v>
      </c>
      <c r="W6" s="2073"/>
      <c r="X6" s="2073"/>
      <c r="Y6" s="2073"/>
      <c r="Z6" s="2073"/>
      <c r="AA6" s="2073"/>
      <c r="AB6" s="2073"/>
      <c r="AC6" s="2090"/>
      <c r="AD6" s="2091"/>
      <c r="AE6" s="2091"/>
      <c r="AF6" s="2091"/>
      <c r="AG6" s="2091"/>
      <c r="AH6" s="2091"/>
      <c r="AI6" s="2091"/>
      <c r="AJ6" s="2092"/>
    </row>
    <row r="7" spans="1:36" ht="24" hidden="1">
      <c r="A7" s="3601" t="str">
        <f>IF(E2="商业",IF(C8="不临58条商业街","",2),"")</f>
        <v/>
      </c>
      <c r="B7" s="1575" t="s">
        <v>2466</v>
      </c>
      <c r="C7" s="2099" t="e">
        <f>IF(C8="不临58条商业街",1,ROUND(1+(1.6*E8+1.2*E9+0.8*E10+0.4*E11)*C9,4))</f>
        <v>#DIV/0!</v>
      </c>
      <c r="D7" s="2100" t="s">
        <v>2467</v>
      </c>
      <c r="E7" s="2101"/>
      <c r="F7" s="2102"/>
      <c r="G7" s="2102"/>
      <c r="H7" s="2102"/>
      <c r="I7" s="2102"/>
      <c r="J7" s="2103"/>
      <c r="K7" s="3018"/>
      <c r="L7" s="2080" t="s">
        <v>2468</v>
      </c>
      <c r="M7" s="2081">
        <f>SUMPRODUCT((区片价!B158:B205=I2)*(区片价!C3:F3=E2)*(区片价!C158:F205))</f>
        <v>7800</v>
      </c>
      <c r="N7" s="2082">
        <f>SUMPRODUCT((因素修正幅度!B158:B205=I2)*(因素修正幅度!C3:F3=E2)*(因素修正幅度!C158:F205))</f>
        <v>0.13</v>
      </c>
      <c r="O7" s="3017"/>
      <c r="P7" s="3017"/>
      <c r="Q7" s="3017"/>
      <c r="R7" s="2072">
        <v>6</v>
      </c>
      <c r="S7" s="2072">
        <f>ROUND(IF(G3&gt;1,IF(R7&lt;7,SUMPRODUCT((B93:B98=R7)*(C92:N92=G2)*(C93:N98)),SUMIF(C92:N92,G2,C100:N100)),IF(R7&lt;7,SUMPRODUCT((B102:B107=R7)*(C92:N92=G2)*(C102:N107)),SUMIF(C92:N92,G2,C109:N109))),4)</f>
        <v>0.6482</v>
      </c>
      <c r="T7" s="2072">
        <f t="shared" si="0"/>
        <v>6317</v>
      </c>
      <c r="U7" s="2083"/>
      <c r="V7" s="2072">
        <f t="shared" si="1"/>
        <v>0</v>
      </c>
      <c r="W7" s="2104" t="s">
        <v>2469</v>
      </c>
      <c r="X7" s="2105" t="str">
        <f>G2</f>
        <v>七级</v>
      </c>
      <c r="Y7" s="2105" t="s">
        <v>2470</v>
      </c>
      <c r="Z7" s="2106">
        <f>G3</f>
        <v>2.5</v>
      </c>
      <c r="AA7" s="2073"/>
      <c r="AB7" s="2073"/>
      <c r="AC7" s="2073"/>
      <c r="AD7" s="2074"/>
      <c r="AE7" s="2074"/>
      <c r="AF7" s="2074"/>
      <c r="AG7" s="2074"/>
      <c r="AH7" s="2074"/>
      <c r="AI7" s="2074"/>
      <c r="AJ7" s="2075"/>
    </row>
    <row r="8" spans="1:36" ht="15" hidden="1">
      <c r="A8" s="3602"/>
      <c r="B8" s="50" t="s">
        <v>2471</v>
      </c>
      <c r="C8" s="2107"/>
      <c r="D8" s="65" t="s">
        <v>89</v>
      </c>
      <c r="E8" s="2108" t="e">
        <f>ROUND(C11/E7,4)</f>
        <v>#DIV/0!</v>
      </c>
      <c r="F8" s="2109" t="s">
        <v>2472</v>
      </c>
      <c r="G8" s="2110"/>
      <c r="H8" s="2110"/>
      <c r="I8" s="2110"/>
      <c r="J8" s="2111"/>
      <c r="K8" s="3017"/>
      <c r="L8" s="2080" t="s">
        <v>2473</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595" t="s">
        <v>2474</v>
      </c>
      <c r="X8" s="3596"/>
      <c r="Y8" s="2112" t="s">
        <v>2475</v>
      </c>
      <c r="Z8" s="2112" t="s">
        <v>2476</v>
      </c>
      <c r="AA8" s="2112" t="s">
        <v>2477</v>
      </c>
      <c r="AB8" s="2112" t="s">
        <v>2478</v>
      </c>
      <c r="AC8" s="2112" t="s">
        <v>2479</v>
      </c>
      <c r="AD8" s="2112" t="s">
        <v>2480</v>
      </c>
      <c r="AE8" s="2112" t="s">
        <v>2481</v>
      </c>
      <c r="AF8" s="2112" t="s">
        <v>2482</v>
      </c>
      <c r="AG8" s="2112" t="s">
        <v>2483</v>
      </c>
      <c r="AH8" s="2112" t="s">
        <v>2484</v>
      </c>
      <c r="AI8" s="2112" t="s">
        <v>2485</v>
      </c>
      <c r="AJ8" s="2112" t="s">
        <v>2486</v>
      </c>
    </row>
    <row r="9" spans="1:36" ht="15" hidden="1">
      <c r="A9" s="3602"/>
      <c r="B9" s="50" t="s">
        <v>2487</v>
      </c>
      <c r="C9" s="2113">
        <f>SUMIF(修正!C59:C119,C8,修正!E59:E119)</f>
        <v>0</v>
      </c>
      <c r="D9" s="50" t="s">
        <v>90</v>
      </c>
      <c r="E9" s="50" t="e">
        <f>ROUND(C11/E7,4)</f>
        <v>#DIV/0!</v>
      </c>
      <c r="F9" s="2109" t="s">
        <v>2488</v>
      </c>
      <c r="G9" s="2110"/>
      <c r="H9" s="2110"/>
      <c r="I9" s="2110"/>
      <c r="J9" s="2111"/>
      <c r="K9" s="3017"/>
      <c r="L9" s="2080" t="s">
        <v>2489</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596" t="s">
        <v>2490</v>
      </c>
      <c r="X9" s="2114" t="s">
        <v>2491</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hidden="1">
      <c r="A10" s="3602"/>
      <c r="B10" s="50" t="s">
        <v>2492</v>
      </c>
      <c r="C10" s="50">
        <f>SUMIF(修正!C59:C119,C8,修正!F59:F119)</f>
        <v>0</v>
      </c>
      <c r="D10" s="50" t="s">
        <v>91</v>
      </c>
      <c r="E10" s="50" t="e">
        <f>ROUND(C11/E7,4)</f>
        <v>#DIV/0!</v>
      </c>
      <c r="F10" s="2109" t="s">
        <v>2493</v>
      </c>
      <c r="G10" s="2110"/>
      <c r="H10" s="2110"/>
      <c r="I10" s="2110"/>
      <c r="J10" s="2111"/>
      <c r="K10" s="3017"/>
      <c r="L10" s="2080" t="s">
        <v>2494</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59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hidden="1" thickBot="1">
      <c r="A11" s="3602"/>
      <c r="B11" s="1576" t="s">
        <v>2495</v>
      </c>
      <c r="C11" s="1576">
        <f>C10/4</f>
        <v>0</v>
      </c>
      <c r="D11" s="1576" t="s">
        <v>92</v>
      </c>
      <c r="E11" s="1576" t="e">
        <f>ROUND(C11/E7,4)</f>
        <v>#DIV/0!</v>
      </c>
      <c r="F11" s="2118" t="s">
        <v>2496</v>
      </c>
      <c r="G11" s="2119"/>
      <c r="H11" s="2119"/>
      <c r="I11" s="2119"/>
      <c r="J11" s="2120"/>
      <c r="K11" s="3017"/>
      <c r="L11" s="2080" t="s">
        <v>2497</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596" t="s">
        <v>2498</v>
      </c>
      <c r="X11" s="2121" t="s">
        <v>2499</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01" t="str">
        <f>IF(E2="住宅",2,"")</f>
        <v/>
      </c>
      <c r="B12" s="1577" t="s">
        <v>2500</v>
      </c>
      <c r="C12" s="2099">
        <f>ROUND(C15*D15*E15*F15*G15*H15*I15*J15,4)</f>
        <v>1.32</v>
      </c>
      <c r="D12" s="2123" t="s">
        <v>2501</v>
      </c>
      <c r="E12" s="2124"/>
      <c r="F12" s="2124"/>
      <c r="G12" s="2124"/>
      <c r="H12" s="2124"/>
      <c r="I12" s="2124"/>
      <c r="J12" s="2125"/>
      <c r="K12" s="3017"/>
      <c r="L12" s="2126" t="s">
        <v>2502</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596"/>
      <c r="X12" s="2129" t="s">
        <v>2503</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03"/>
      <c r="B13" s="1578" t="s">
        <v>2504</v>
      </c>
      <c r="C13" s="2130" t="s">
        <v>2505</v>
      </c>
      <c r="D13" s="1579" t="s">
        <v>2506</v>
      </c>
      <c r="E13" s="1579" t="s">
        <v>2507</v>
      </c>
      <c r="F13" s="264" t="s">
        <v>2508</v>
      </c>
      <c r="G13" s="2131" t="s">
        <v>2509</v>
      </c>
      <c r="H13" s="2131" t="s">
        <v>2509</v>
      </c>
      <c r="I13" s="2131" t="s">
        <v>2509</v>
      </c>
      <c r="J13" s="2132" t="s">
        <v>2509</v>
      </c>
      <c r="K13" s="3017"/>
      <c r="L13" s="3017"/>
      <c r="M13" s="3017"/>
      <c r="N13" s="3017"/>
      <c r="O13" s="3017"/>
      <c r="P13" s="3017"/>
      <c r="Q13" s="3017"/>
      <c r="R13" s="2072">
        <v>12</v>
      </c>
      <c r="S13" s="2083"/>
      <c r="T13" s="2072">
        <f t="shared" si="0"/>
        <v>0</v>
      </c>
      <c r="U13" s="2083"/>
      <c r="V13" s="2072">
        <f t="shared" si="1"/>
        <v>0</v>
      </c>
      <c r="W13" s="3596"/>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03"/>
      <c r="B14" s="1579"/>
      <c r="C14" s="2133" t="s">
        <v>2510</v>
      </c>
      <c r="D14" s="2134" t="s">
        <v>2511</v>
      </c>
      <c r="E14" s="2134" t="s">
        <v>2511</v>
      </c>
      <c r="F14" s="2135" t="s">
        <v>2512</v>
      </c>
      <c r="G14" s="2136" t="s">
        <v>2513</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04"/>
      <c r="B15" s="1580" t="s">
        <v>2514</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05">
        <f>IF(E2="办公",2,IF(E2="工业",2,IF(E2="住宅",3,IF(E2="商业",IF(C8="不临58条商业街",2,3)))))</f>
        <v>2</v>
      </c>
      <c r="B16" s="1599" t="s">
        <v>2520</v>
      </c>
      <c r="C16" s="1575">
        <f>ROUND(IF(F17="与级别开发程度一致",0,(G17-E17)/C17),0)</f>
        <v>-36</v>
      </c>
      <c r="D16" s="3618" t="s">
        <v>2524</v>
      </c>
      <c r="E16" s="3619"/>
      <c r="F16" s="3618" t="s">
        <v>2521</v>
      </c>
      <c r="G16" s="3619"/>
      <c r="H16" s="2143" t="s">
        <v>2995</v>
      </c>
      <c r="I16" s="2143" t="s">
        <v>2996</v>
      </c>
      <c r="J16" s="2144" t="s">
        <v>2998</v>
      </c>
      <c r="K16" s="2143" t="s">
        <v>2997</v>
      </c>
      <c r="L16" s="2143" t="s">
        <v>2999</v>
      </c>
      <c r="M16" s="2143" t="s">
        <v>3000</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06"/>
      <c r="B17" s="1600" t="s">
        <v>2523</v>
      </c>
      <c r="C17" s="2146">
        <f>SUMPRODUCT((修正!A2:A5=E2)*(修正!B1:M1=G2)*(修正!B2:M5))</f>
        <v>2.5</v>
      </c>
      <c r="D17" s="2140" t="str">
        <f>IF(OR(G2="八级",G2="九级",G2="十级",G2="十一级",G2="十二级"),"五通一平","七通一平")</f>
        <v>七通一平</v>
      </c>
      <c r="E17" s="2147">
        <f>SUMPRODUCT((修正!B1:M1=G2)*(修正!B15:M15))</f>
        <v>300</v>
      </c>
      <c r="F17" s="2148" t="s">
        <v>3001</v>
      </c>
      <c r="G17" s="1589">
        <f>SUM(H17:O17)</f>
        <v>210</v>
      </c>
      <c r="H17" s="2146">
        <f>SUMPRODUCT((七通一平=H16)*(修正!B1:M1=G2)*(修正!B6:M14))</f>
        <v>65</v>
      </c>
      <c r="I17" s="2146">
        <f>SUMPRODUCT((七通一平=I16)*(修正!B1:M1=G2)*(修正!B6:M14))</f>
        <v>55</v>
      </c>
      <c r="J17" s="2149">
        <f>SUMPRODUCT((七通一平=J16)*(修正!B1:M1=G2)*(修正!B6:M14))</f>
        <v>15</v>
      </c>
      <c r="K17" s="2146">
        <f>SUMPRODUCT((七通一平=K16)*(修正!B1:M1=G2)*(修正!B6:M14))</f>
        <v>25</v>
      </c>
      <c r="L17" s="2146">
        <f>SUMPRODUCT((七通一平=L16)*(修正!B1:M1=G2)*(修正!B6:M14))</f>
        <v>35</v>
      </c>
      <c r="M17" s="2146">
        <f>SUMPRODUCT((七通一平=M16)*(修正!B1:M1=G2)*(修正!B6:M14))</f>
        <v>15</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2526</v>
      </c>
      <c r="B18" s="1598" t="s">
        <v>2527</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2528</v>
      </c>
      <c r="B19" s="1581" t="s">
        <v>2529</v>
      </c>
      <c r="C19" s="2157">
        <f>ROUND(IF(H19="按公示增长率计算",SUMPRODUCT((地价!A3:A36=YEAR(G19)&amp;"-"&amp;ROUNDUP(MONTH(G19)/3,0))*(地价!X2:AB2=E2)*(地价!X3:AB36)),IF(H19="地价指数",M20/M19,(1+I19)^O19)),4)</f>
        <v>1.3644000000000001</v>
      </c>
      <c r="D19" s="2158" t="s">
        <v>2530</v>
      </c>
      <c r="E19" s="2159">
        <v>41640</v>
      </c>
      <c r="F19" s="2158" t="s">
        <v>2531</v>
      </c>
      <c r="G19" s="2160">
        <f>'数据-取费表'!B2</f>
        <v>44545</v>
      </c>
      <c r="H19" s="2161" t="s">
        <v>2667</v>
      </c>
      <c r="I19" s="2162" t="str">
        <f>IF(H19="季度增幅（自定义）",SUMIF(N21:N24,E2,O21:O24),"")</f>
        <v/>
      </c>
      <c r="J19" s="2163"/>
      <c r="K19" s="3019"/>
      <c r="L19" s="2044" t="s">
        <v>2532</v>
      </c>
      <c r="M19" s="2164">
        <f>ROUND(SUMIF(地价!B2:F2,E2,地价!B36:F36),0)</f>
        <v>258</v>
      </c>
      <c r="N19" s="2165" t="s">
        <v>2533</v>
      </c>
      <c r="O19" s="2166">
        <f>ROUNDDOWN(DATEDIF(E19,G19,"M")/3,0)</f>
        <v>31</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2534</v>
      </c>
      <c r="B20" s="1582" t="s">
        <v>2535</v>
      </c>
      <c r="C20" s="2169">
        <f>ROUND(POWER(1+G20,J20-I20)*(POWER(1+G20,I20)-1)/(POWER(1+G20,J20)-1),4)</f>
        <v>0.87609999999999999</v>
      </c>
      <c r="D20" s="2170" t="s">
        <v>2536</v>
      </c>
      <c r="E20" s="3122">
        <f>存贷款利率!E18/100</f>
        <v>4.3499999999999997E-2</v>
      </c>
      <c r="F20" s="2170" t="s">
        <v>2525</v>
      </c>
      <c r="G20" s="3123">
        <f>SUMIF(M26:P26,E2,M28:P28)</f>
        <v>5.1999999999999998E-2</v>
      </c>
      <c r="H20" s="2170" t="s">
        <v>2537</v>
      </c>
      <c r="I20" s="2171">
        <f>'数据-取费表'!B13</f>
        <v>32.409999999999997</v>
      </c>
      <c r="J20" s="2172">
        <f>IF(E2="住宅",70,IF(E2="商业",40,50))</f>
        <v>50</v>
      </c>
      <c r="K20" s="3019"/>
      <c r="L20" s="2173" t="s">
        <v>2538</v>
      </c>
      <c r="M20" s="2174">
        <f>ROUND(SUMPRODUCT((地价!A4:A36=YEAR(G19)&amp;"-"&amp;ROUNDUP(MONTH(G19)/3,0))*(地价!B2:F2=E2)*(地价!B4:F36)),0)</f>
        <v>352</v>
      </c>
      <c r="N20" s="2175" t="s">
        <v>2539</v>
      </c>
      <c r="O20" s="2176" t="s">
        <v>2540</v>
      </c>
      <c r="P20" s="2177" t="s">
        <v>2541</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2542</v>
      </c>
      <c r="B21" s="1583" t="s">
        <v>2543</v>
      </c>
      <c r="C21" s="2179">
        <f>IF(B21="容积率修正",IF(G3&lt;=10,D22,J22),C23)</f>
        <v>1</v>
      </c>
      <c r="D21" s="2180"/>
      <c r="E21" s="2180"/>
      <c r="F21" s="2180"/>
      <c r="G21" s="2180"/>
      <c r="H21" s="2180"/>
      <c r="I21" s="2180"/>
      <c r="J21" s="2045"/>
      <c r="K21" s="3019"/>
      <c r="L21" s="3019"/>
      <c r="M21" s="3019"/>
      <c r="N21" s="2181" t="s">
        <v>2544</v>
      </c>
      <c r="O21" s="2182"/>
      <c r="P21" s="2183">
        <f>SUMPRODUCT((地价!A3:A36=YEAR(G19)&amp;"-"&amp;ROUNDUP(MONTH(G19)/3,0))*(地价!AD2:AH2=N21)*(地价!AD3:AH36))</f>
        <v>1.0500000000000001E-2</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2545</v>
      </c>
      <c r="C22" s="2040" t="s">
        <v>2546</v>
      </c>
      <c r="D22" s="2040">
        <f>IF(E22=G22,F22,IF(G3&lt;=10,ROUND(F22+(H22-F22)*(G3-E22)/(G22-E22),4),"——"))</f>
        <v>1</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0" t="s">
        <v>104</v>
      </c>
      <c r="J22" s="2184" t="str">
        <f>IF(G3&gt;10,D113,"——")</f>
        <v>——</v>
      </c>
      <c r="K22" s="3019"/>
      <c r="L22" s="3019"/>
      <c r="M22" s="3019"/>
      <c r="N22" s="2181" t="s">
        <v>2547</v>
      </c>
      <c r="O22" s="2182"/>
      <c r="P22" s="2183">
        <f>SUMPRODUCT((地价!A3:A36=YEAR(G19)&amp;"-"&amp;ROUNDUP(MONTH(G19)/3,0))*(地价!AD2:AH2=N22)*(地价!AD3:AH36))</f>
        <v>1.0500000000000001E-2</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2548</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2549</v>
      </c>
      <c r="O23" s="2182"/>
      <c r="P23" s="2183">
        <f>SUMPRODUCT((地价!A3:A36=YEAR(G19)&amp;"-"&amp;ROUNDUP(MONTH(G19)/3,0))*(地价!AD2:AH2=N23)*(地价!AD3:AH36))</f>
        <v>1.83E-2</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2550</v>
      </c>
      <c r="B24" s="1585" t="s">
        <v>2551</v>
      </c>
      <c r="C24" s="2189">
        <f>SUMIF(A46:A88,E2,B46:B88)</f>
        <v>1.05</v>
      </c>
      <c r="D24" s="2190"/>
      <c r="E24" s="2191"/>
      <c r="F24" s="2191"/>
      <c r="G24" s="2191"/>
      <c r="H24" s="2191"/>
      <c r="I24" s="2191"/>
      <c r="J24" s="2192"/>
      <c r="K24" s="3019"/>
      <c r="L24" s="3019"/>
      <c r="M24" s="3019"/>
      <c r="N24" s="2193" t="s">
        <v>2552</v>
      </c>
      <c r="O24" s="2194"/>
      <c r="P24" s="2195">
        <f>SUMPRODUCT((地价!A3:A36=YEAR(G19)&amp;"-"&amp;ROUNDUP(MONTH(G19)/3,0))*(地价!AD2:AH2=N24)*(地价!AD3:AH36))</f>
        <v>1.2200000000000001E-2</v>
      </c>
      <c r="Q24" s="3019"/>
      <c r="R24" s="3017"/>
      <c r="S24" s="3017"/>
      <c r="T24" s="3017"/>
      <c r="U24" s="3017"/>
      <c r="V24" s="3017"/>
      <c r="W24" s="3017"/>
      <c r="X24" s="1591"/>
      <c r="Y24" s="1591"/>
      <c r="Z24" s="1591"/>
      <c r="AA24" s="1591"/>
      <c r="AB24" s="1591"/>
      <c r="AC24" s="1591"/>
      <c r="AD24" s="1591"/>
      <c r="AE24" s="2156"/>
      <c r="AF24" s="2156"/>
    </row>
    <row r="25" spans="1:35" ht="15" thickBot="1">
      <c r="A25" s="1686" t="s">
        <v>2553</v>
      </c>
      <c r="B25" s="1586" t="s">
        <v>2554</v>
      </c>
      <c r="C25" s="2196"/>
      <c r="D25" s="2102"/>
      <c r="E25" s="2102"/>
      <c r="F25" s="2197"/>
      <c r="G25" s="2102"/>
      <c r="H25" s="2102"/>
      <c r="I25" s="2102"/>
      <c r="J25" s="2103"/>
      <c r="K25" s="3017"/>
      <c r="L25" s="3017"/>
      <c r="M25" s="3017"/>
      <c r="N25" s="3020" t="s">
        <v>2555</v>
      </c>
      <c r="O25" s="3021"/>
      <c r="P25" s="3022">
        <f>SUMPRODUCT((地价!A3:A36=YEAR(G19)&amp;"-"&amp;ROUNDUP(MONTH(G19)/3,0))*(地价!AD2:AH2=N25)*(地价!AD3:AH36))</f>
        <v>1.66E-2</v>
      </c>
      <c r="Q25" s="3017"/>
      <c r="R25" s="3017"/>
      <c r="S25" s="3017"/>
      <c r="T25" s="3017"/>
      <c r="U25" s="3017"/>
      <c r="V25" s="3017"/>
      <c r="W25" s="3017"/>
      <c r="X25" s="1591"/>
      <c r="Y25" s="1591"/>
      <c r="Z25" s="1591"/>
      <c r="AA25" s="1591"/>
      <c r="AB25" s="1591"/>
      <c r="AC25" s="1591"/>
      <c r="AD25" s="1591"/>
      <c r="AE25" s="1591"/>
      <c r="AF25" s="1591"/>
    </row>
    <row r="26" spans="1:35" ht="15">
      <c r="A26" s="1671"/>
      <c r="B26" s="2040" t="s">
        <v>2556</v>
      </c>
      <c r="C26" s="2857">
        <f>IF(B21="容积率修正",E29+SUM(E33:E39),SUM(V2:V16)+SUM(E33:E39))</f>
        <v>572909</v>
      </c>
      <c r="D26" s="2198"/>
      <c r="E26" s="2137"/>
      <c r="F26" s="1446"/>
      <c r="G26" s="2137"/>
      <c r="H26" s="2137"/>
      <c r="I26" s="2137"/>
      <c r="J26" s="2199"/>
      <c r="K26" s="3017"/>
      <c r="L26" s="3023" t="s">
        <v>2515</v>
      </c>
      <c r="M26" s="2100" t="s">
        <v>2516</v>
      </c>
      <c r="N26" s="2100" t="s">
        <v>2517</v>
      </c>
      <c r="O26" s="2100" t="s">
        <v>2518</v>
      </c>
      <c r="P26" s="3024" t="s">
        <v>2519</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2557</v>
      </c>
      <c r="C27" s="2200">
        <f>E30+SUM(I33:I39)</f>
        <v>0</v>
      </c>
      <c r="D27" s="2149"/>
      <c r="E27" s="2201"/>
      <c r="F27" s="2202"/>
      <c r="G27" s="2201"/>
      <c r="H27" s="2201"/>
      <c r="I27" s="2201"/>
      <c r="J27" s="2203"/>
      <c r="K27" s="3017"/>
      <c r="L27" s="2204" t="s">
        <v>2522</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2558</v>
      </c>
      <c r="C28" s="2207" t="s">
        <v>2559</v>
      </c>
      <c r="D28" s="2207" t="s">
        <v>2560</v>
      </c>
      <c r="E28" s="1586" t="s">
        <v>2561</v>
      </c>
      <c r="F28" s="2208"/>
      <c r="G28" s="2124"/>
      <c r="H28" s="2124"/>
      <c r="I28" s="2124"/>
      <c r="J28" s="2125"/>
      <c r="K28" s="3017"/>
      <c r="L28" s="2209" t="s">
        <v>2525</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2562</v>
      </c>
      <c r="C29" s="54">
        <f>ROUND(C5*C18*C19*C20*C21*C24,0)</f>
        <v>9745</v>
      </c>
      <c r="D29" s="2212">
        <f>项目基本情况!C12</f>
        <v>58.79</v>
      </c>
      <c r="E29" s="1999">
        <f>ROUND(C29*D29,0)</f>
        <v>572909</v>
      </c>
      <c r="F29" s="2213" t="s">
        <v>2563</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2564</v>
      </c>
      <c r="C30" s="2140">
        <f>ROUND(IF(E2="工业",C29*M39,C29*M38),0)</f>
        <v>2436</v>
      </c>
      <c r="D30" s="2217"/>
      <c r="E30" s="1999">
        <f>ROUND(C30*D30,0)</f>
        <v>0</v>
      </c>
      <c r="F30" s="2218" t="s">
        <v>2565</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2566</v>
      </c>
      <c r="C31" s="2222" t="s">
        <v>2567</v>
      </c>
      <c r="D31" s="2124"/>
      <c r="E31" s="2222"/>
      <c r="F31" s="2222"/>
      <c r="G31" s="2123" t="s">
        <v>2568</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2559</v>
      </c>
      <c r="D32" s="1776" t="s">
        <v>2560</v>
      </c>
      <c r="E32" s="1776" t="s">
        <v>2561</v>
      </c>
      <c r="F32" s="50" t="s">
        <v>2569</v>
      </c>
      <c r="G32" s="2185" t="s">
        <v>2559</v>
      </c>
      <c r="H32" s="2185" t="s">
        <v>2560</v>
      </c>
      <c r="I32" s="2185" t="s">
        <v>2561</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15" t="s">
        <v>2570</v>
      </c>
      <c r="B33" s="2225" t="s">
        <v>2571</v>
      </c>
      <c r="C33" s="54">
        <f>ROUND(D5*C19*C20*C24*F33,0)</f>
        <v>6821</v>
      </c>
      <c r="D33" s="2212"/>
      <c r="E33" s="50">
        <f t="shared" ref="E33:E39" si="6">ROUND(C33*D33,0)</f>
        <v>0</v>
      </c>
      <c r="F33" s="50">
        <f>SUMIF(修正!A45:A56,G2,修正!B45:B56)</f>
        <v>0.7</v>
      </c>
      <c r="G33" s="50">
        <f t="shared" ref="G33" si="7">ROUND(IF(E2="工业",C33*$M$39,C33*$M$38),0)</f>
        <v>1705</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16"/>
      <c r="B34" s="2130" t="s">
        <v>2572</v>
      </c>
      <c r="C34" s="54">
        <f>ROUND(D5*C19*C20*C24*F34,0)</f>
        <v>3898</v>
      </c>
      <c r="D34" s="2212"/>
      <c r="E34" s="50">
        <f t="shared" si="6"/>
        <v>0</v>
      </c>
      <c r="F34" s="50">
        <f>SUMIF(修正!A45:A56,G2,修正!C45:C56)</f>
        <v>0.4</v>
      </c>
      <c r="G34" s="50">
        <f>ROUND(IF(E2="工业",C34*$M$39,C34*$M$38),0)</f>
        <v>975</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16"/>
      <c r="B35" s="2130" t="s">
        <v>2573</v>
      </c>
      <c r="C35" s="54">
        <f>ROUND(D5*C19*C20*C24*F35,0)</f>
        <v>2729</v>
      </c>
      <c r="D35" s="2212"/>
      <c r="E35" s="50">
        <f t="shared" si="6"/>
        <v>0</v>
      </c>
      <c r="F35" s="50">
        <f>SUMIF(修正!A45:A56,G2,修正!D45:D56)</f>
        <v>0.28000000000000003</v>
      </c>
      <c r="G35" s="50">
        <f>ROUND(IF(E2="工业",C35*$M$39,C35*$M$38),0)</f>
        <v>682</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17"/>
      <c r="B36" s="2130" t="s">
        <v>2574</v>
      </c>
      <c r="C36" s="54">
        <f>ROUND(D5*C19*C20*C24*F36,0)</f>
        <v>2436</v>
      </c>
      <c r="D36" s="2212"/>
      <c r="E36" s="50">
        <f t="shared" si="6"/>
        <v>0</v>
      </c>
      <c r="F36" s="50">
        <f>SUMIF(修正!A45:A56,G2,修正!E45:E56)</f>
        <v>0.25</v>
      </c>
      <c r="G36" s="50">
        <f>ROUND(IF(E2="工业",C36*$M$39,C36*$M$38),0)</f>
        <v>609</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2575</v>
      </c>
      <c r="C37" s="50">
        <f>ROUND(D5*C19*C20*C24*F37,0)</f>
        <v>2436</v>
      </c>
      <c r="D37" s="2212"/>
      <c r="E37" s="50">
        <f t="shared" si="6"/>
        <v>0</v>
      </c>
      <c r="F37" s="54">
        <f>SUMIF(修正!A45:A56,G2,修正!F45:F56)</f>
        <v>0.25</v>
      </c>
      <c r="G37" s="50">
        <f>ROUND(IF(E2="工业",C37*$M$39,C37*$M$38),0)</f>
        <v>609</v>
      </c>
      <c r="H37" s="50">
        <f t="shared" si="9"/>
        <v>0</v>
      </c>
      <c r="I37" s="50">
        <f t="shared" si="8"/>
        <v>0</v>
      </c>
      <c r="J37" s="2199"/>
      <c r="K37" s="3017"/>
      <c r="L37" s="2227" t="s">
        <v>2576</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2577</v>
      </c>
      <c r="C38" s="50">
        <f>ROUND(D5*C19*C41*C24*F38,0)</f>
        <v>0</v>
      </c>
      <c r="D38" s="2212"/>
      <c r="E38" s="50">
        <f t="shared" si="6"/>
        <v>0</v>
      </c>
      <c r="F38" s="54">
        <f>SUMIF(修正!A45:A56,G2,修正!G45:G56)</f>
        <v>0.25</v>
      </c>
      <c r="G38" s="50">
        <f>ROUND(IF(E2="工业",C38*$M$39,C38*$M$38),0)</f>
        <v>0</v>
      </c>
      <c r="H38" s="50">
        <f t="shared" si="9"/>
        <v>0</v>
      </c>
      <c r="I38" s="50">
        <f t="shared" si="8"/>
        <v>0</v>
      </c>
      <c r="J38" s="2199"/>
      <c r="K38" s="3017"/>
      <c r="L38" s="2228" t="s">
        <v>2578</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2579</v>
      </c>
      <c r="C39" s="2140">
        <f>ROUND(D5*C19*C41*C24*F39,0)</f>
        <v>0</v>
      </c>
      <c r="D39" s="2217"/>
      <c r="E39" s="2140">
        <f t="shared" si="6"/>
        <v>0</v>
      </c>
      <c r="F39" s="56">
        <f>SUMIF(修正!A45:A56,G2,修正!H45:H56)</f>
        <v>0.2</v>
      </c>
      <c r="G39" s="2140">
        <f>ROUND(IF(E2="工业",C39*$M$39,C39*$M$38),0)</f>
        <v>0</v>
      </c>
      <c r="H39" s="2140">
        <f t="shared" si="9"/>
        <v>0</v>
      </c>
      <c r="I39" s="2140">
        <f t="shared" si="8"/>
        <v>0</v>
      </c>
      <c r="J39" s="2203"/>
      <c r="K39" s="3017"/>
      <c r="L39" s="2231" t="s">
        <v>2519</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2659</v>
      </c>
      <c r="C41" s="50">
        <f>ROUND(POWER(1+E41,H41-G41)*(POWER(1+E41,G41)-1)/(POWER(1+E41,H41)-1),4)</f>
        <v>0</v>
      </c>
      <c r="D41" s="50" t="s">
        <v>2657</v>
      </c>
      <c r="E41" s="2235">
        <f>G20</f>
        <v>5.1999999999999998E-2</v>
      </c>
      <c r="F41" s="50" t="s">
        <v>2658</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2580</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2581</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2582</v>
      </c>
      <c r="B47" s="2247" t="s">
        <v>2583</v>
      </c>
      <c r="C47" s="2247" t="s">
        <v>2584</v>
      </c>
      <c r="D47" s="2247" t="s">
        <v>2585</v>
      </c>
      <c r="E47" s="2248" t="s">
        <v>2586</v>
      </c>
      <c r="F47" s="2198" t="s">
        <v>2587</v>
      </c>
      <c r="G47" s="2247" t="s">
        <v>2588</v>
      </c>
      <c r="H47" s="2249" t="s">
        <v>2589</v>
      </c>
      <c r="I47" s="2247" t="s">
        <v>2590</v>
      </c>
      <c r="J47" s="1874" t="s">
        <v>2591</v>
      </c>
      <c r="K47" s="1874" t="s">
        <v>2592</v>
      </c>
      <c r="L47" s="1874" t="s">
        <v>2593</v>
      </c>
      <c r="M47" s="1874" t="s">
        <v>2594</v>
      </c>
      <c r="N47" s="1874" t="s">
        <v>2595</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2596</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2597</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2598</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2599</v>
      </c>
      <c r="B51" s="2260" t="s">
        <v>2600</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2601</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2602</v>
      </c>
      <c r="B53" s="2261" t="s">
        <v>2603</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2604</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2605</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2606</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2607</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2582</v>
      </c>
      <c r="B58" s="2258"/>
      <c r="C58" s="2247" t="s">
        <v>2584</v>
      </c>
      <c r="D58" s="2247" t="s">
        <v>2585</v>
      </c>
      <c r="E58" s="2248" t="s">
        <v>2586</v>
      </c>
      <c r="F58" s="2198" t="s">
        <v>2587</v>
      </c>
      <c r="G58" s="2247" t="s">
        <v>2608</v>
      </c>
      <c r="H58" s="2249" t="s">
        <v>2609</v>
      </c>
      <c r="I58" s="2247" t="s">
        <v>2610</v>
      </c>
      <c r="J58" s="1874" t="s">
        <v>2250</v>
      </c>
      <c r="K58" s="1874" t="s">
        <v>2251</v>
      </c>
      <c r="L58" s="1874" t="s">
        <v>2252</v>
      </c>
      <c r="M58" s="1874" t="s">
        <v>2253</v>
      </c>
      <c r="N58" s="1874" t="s">
        <v>2254</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2611</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0.13</v>
      </c>
      <c r="G59" s="2254">
        <v>1.5599999999999999E-2</v>
      </c>
      <c r="H59" s="2255">
        <f t="shared" ref="H59:H67" si="16">IFERROR(ROUNDDOWN($F$59*I59/2,4),"——")</f>
        <v>1.5599999999999999E-2</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2597</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1.95E-2</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2598</v>
      </c>
      <c r="B61" s="2258">
        <f>估价对象房地状况!C19</f>
        <v>0</v>
      </c>
      <c r="C61" s="2134" t="s">
        <v>30</v>
      </c>
      <c r="D61" s="2251">
        <f t="shared" si="15"/>
        <v>5.1999999999999998E-3</v>
      </c>
      <c r="E61" s="2259"/>
      <c r="F61" s="2253"/>
      <c r="G61" s="2254">
        <v>5.1999999999999998E-3</v>
      </c>
      <c r="H61" s="2255">
        <f t="shared" si="16"/>
        <v>5.1999999999999998E-3</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2599</v>
      </c>
      <c r="B62" s="2260" t="s">
        <v>2600</v>
      </c>
      <c r="C62" s="2134" t="s">
        <v>30</v>
      </c>
      <c r="D62" s="2251">
        <f t="shared" si="15"/>
        <v>2.5999999999999999E-3</v>
      </c>
      <c r="E62" s="2259"/>
      <c r="F62" s="2253"/>
      <c r="G62" s="2254">
        <v>2.5999999999999999E-3</v>
      </c>
      <c r="H62" s="2255">
        <f t="shared" si="16"/>
        <v>2.5999999999999999E-3</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2601</v>
      </c>
      <c r="B63" s="2258">
        <f>估价对象房地状况!C24</f>
        <v>0</v>
      </c>
      <c r="C63" s="2134" t="s">
        <v>31</v>
      </c>
      <c r="D63" s="2251">
        <f t="shared" si="15"/>
        <v>0</v>
      </c>
      <c r="E63" s="2259"/>
      <c r="F63" s="2253"/>
      <c r="G63" s="2254">
        <v>3.2000000000000002E-3</v>
      </c>
      <c r="H63" s="2255">
        <f t="shared" si="16"/>
        <v>3.2000000000000002E-3</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2602</v>
      </c>
      <c r="B64" s="2261" t="s">
        <v>2603</v>
      </c>
      <c r="C64" s="2134" t="s">
        <v>30</v>
      </c>
      <c r="D64" s="2251">
        <f t="shared" si="15"/>
        <v>3.2000000000000002E-3</v>
      </c>
      <c r="E64" s="2259"/>
      <c r="F64" s="2253"/>
      <c r="G64" s="2254">
        <v>3.2000000000000002E-3</v>
      </c>
      <c r="H64" s="2255">
        <f t="shared" si="16"/>
        <v>3.2000000000000002E-3</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2604</v>
      </c>
      <c r="B65" s="2263" t="str">
        <f>估价对象房地状况!C21</f>
        <v>估价对象所在区域公共配套设施齐备情况</v>
      </c>
      <c r="C65" s="2134" t="s">
        <v>31</v>
      </c>
      <c r="D65" s="2251">
        <f t="shared" si="15"/>
        <v>0</v>
      </c>
      <c r="E65" s="2259"/>
      <c r="F65" s="2253"/>
      <c r="G65" s="2254">
        <v>3.8999999999999998E-3</v>
      </c>
      <c r="H65" s="2255">
        <f t="shared" si="16"/>
        <v>3.8999999999999998E-3</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2605</v>
      </c>
      <c r="B66" s="2263" t="str">
        <f>估价对象房地状况!C22</f>
        <v>估价对象所在区域基础设施水平</v>
      </c>
      <c r="C66" s="2134" t="s">
        <v>29</v>
      </c>
      <c r="D66" s="2251">
        <f t="shared" si="15"/>
        <v>1.5599999999999999E-2</v>
      </c>
      <c r="E66" s="2259"/>
      <c r="F66" s="2253"/>
      <c r="G66" s="2254">
        <v>7.7999999999999996E-3</v>
      </c>
      <c r="H66" s="2255">
        <f t="shared" si="16"/>
        <v>7.7999999999999996E-3</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2606</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3.8999999999999998E-3</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2612</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2582</v>
      </c>
      <c r="B69" s="2258"/>
      <c r="C69" s="2247" t="s">
        <v>2584</v>
      </c>
      <c r="D69" s="2247" t="s">
        <v>2585</v>
      </c>
      <c r="E69" s="2248" t="s">
        <v>2586</v>
      </c>
      <c r="F69" s="2198" t="s">
        <v>2587</v>
      </c>
      <c r="G69" s="2247" t="s">
        <v>2608</v>
      </c>
      <c r="H69" s="2249" t="s">
        <v>2609</v>
      </c>
      <c r="I69" s="2247" t="s">
        <v>2610</v>
      </c>
      <c r="J69" s="1874" t="s">
        <v>2250</v>
      </c>
      <c r="K69" s="1874" t="s">
        <v>2251</v>
      </c>
      <c r="L69" s="1874" t="s">
        <v>2252</v>
      </c>
      <c r="M69" s="1874" t="s">
        <v>2253</v>
      </c>
      <c r="N69" s="1874" t="s">
        <v>2254</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2613</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2597</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2598</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2614</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2604</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2605</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2602</v>
      </c>
      <c r="B76" s="2261" t="s">
        <v>2603</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2606</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2615</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2616</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2582</v>
      </c>
      <c r="B80" s="2258"/>
      <c r="C80" s="2247" t="s">
        <v>2584</v>
      </c>
      <c r="D80" s="2247" t="s">
        <v>2585</v>
      </c>
      <c r="E80" s="2248" t="s">
        <v>2586</v>
      </c>
      <c r="F80" s="2198" t="s">
        <v>2587</v>
      </c>
      <c r="G80" s="2247" t="s">
        <v>2608</v>
      </c>
      <c r="H80" s="2249" t="s">
        <v>2609</v>
      </c>
      <c r="I80" s="2247" t="s">
        <v>2610</v>
      </c>
      <c r="J80" s="1874" t="s">
        <v>2250</v>
      </c>
      <c r="K80" s="1874" t="s">
        <v>2251</v>
      </c>
      <c r="L80" s="1874" t="s">
        <v>2252</v>
      </c>
      <c r="M80" s="1874" t="s">
        <v>2253</v>
      </c>
      <c r="N80" s="1874" t="s">
        <v>2254</v>
      </c>
      <c r="Q80" s="3025"/>
      <c r="R80" s="3025"/>
      <c r="S80" s="3025"/>
      <c r="T80" s="3025"/>
      <c r="U80" s="3025"/>
      <c r="V80" s="3025"/>
      <c r="W80" s="3025"/>
      <c r="AA80" s="1592"/>
      <c r="AG80" s="2233"/>
    </row>
    <row r="81" spans="1:33" ht="38.25">
      <c r="A81" s="2246" t="s">
        <v>2617</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2597</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2598</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2614</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2604</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2605</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2602</v>
      </c>
      <c r="B87" s="2261" t="s">
        <v>2603</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2618</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607" t="s">
        <v>2619</v>
      </c>
      <c r="B90" s="3607"/>
      <c r="C90" s="3607"/>
      <c r="D90" s="3607"/>
      <c r="E90" s="3607"/>
      <c r="F90" s="3607"/>
      <c r="G90" s="3607"/>
      <c r="H90" s="3607"/>
      <c r="I90" s="3607"/>
      <c r="J90" s="3607"/>
      <c r="K90" s="2274"/>
      <c r="L90" s="2274"/>
      <c r="M90" s="2274"/>
      <c r="N90" s="2274"/>
      <c r="Q90" s="3025"/>
      <c r="R90" s="3025"/>
      <c r="S90" s="3025"/>
      <c r="T90" s="3025"/>
      <c r="U90" s="3025"/>
      <c r="V90" s="3025"/>
      <c r="W90" s="3025"/>
    </row>
    <row r="91" spans="1:33">
      <c r="A91" s="3609" t="s">
        <v>2620</v>
      </c>
      <c r="B91" s="3609" t="s">
        <v>2621</v>
      </c>
      <c r="C91" s="2213" t="s">
        <v>2622</v>
      </c>
      <c r="D91" s="2214"/>
      <c r="E91" s="2214"/>
      <c r="F91" s="2214"/>
      <c r="G91" s="2214"/>
      <c r="H91" s="2214"/>
      <c r="I91" s="2214"/>
      <c r="J91" s="2276"/>
      <c r="K91" s="2036"/>
      <c r="L91" s="2036"/>
      <c r="M91" s="2036"/>
      <c r="N91" s="2036"/>
      <c r="Q91" s="3025"/>
      <c r="R91" s="3025"/>
      <c r="S91" s="3025"/>
      <c r="T91" s="3025"/>
      <c r="U91" s="3025"/>
      <c r="V91" s="3025"/>
      <c r="W91" s="3025"/>
    </row>
    <row r="92" spans="1:33">
      <c r="A92" s="3609"/>
      <c r="B92" s="3609"/>
      <c r="C92" s="1999" t="s">
        <v>2475</v>
      </c>
      <c r="D92" s="1999" t="s">
        <v>2476</v>
      </c>
      <c r="E92" s="1999" t="s">
        <v>2477</v>
      </c>
      <c r="F92" s="1999" t="s">
        <v>2478</v>
      </c>
      <c r="G92" s="1999" t="s">
        <v>2479</v>
      </c>
      <c r="H92" s="1999" t="s">
        <v>2480</v>
      </c>
      <c r="I92" s="1999" t="s">
        <v>2481</v>
      </c>
      <c r="J92" s="1999" t="s">
        <v>2482</v>
      </c>
      <c r="K92" s="1999" t="s">
        <v>2483</v>
      </c>
      <c r="L92" s="1999" t="s">
        <v>2484</v>
      </c>
      <c r="M92" s="1999" t="s">
        <v>2485</v>
      </c>
      <c r="N92" s="1999" t="s">
        <v>2486</v>
      </c>
      <c r="Q92" s="3025"/>
      <c r="R92" s="3025"/>
      <c r="S92" s="3025"/>
      <c r="T92" s="3025"/>
      <c r="U92" s="3025"/>
      <c r="V92" s="3025"/>
      <c r="W92" s="3025"/>
    </row>
    <row r="93" spans="1:33">
      <c r="A93" s="3610" t="s">
        <v>2623</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1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1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1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1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1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11"/>
      <c r="B99" s="2277" t="s">
        <v>2491</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1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10" t="s">
        <v>2624</v>
      </c>
      <c r="B101" s="2281" t="s">
        <v>2625</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11"/>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11"/>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11"/>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11"/>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11"/>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11"/>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11"/>
      <c r="B108" s="3613" t="s">
        <v>2626</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12"/>
      <c r="B109" s="3614"/>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608" t="s">
        <v>2627</v>
      </c>
      <c r="B110" s="3608"/>
      <c r="C110" s="3608"/>
      <c r="D110" s="3608"/>
      <c r="E110" s="3608"/>
      <c r="F110" s="3608"/>
      <c r="G110" s="3608"/>
      <c r="H110" s="3608"/>
      <c r="I110" s="3608"/>
      <c r="J110" s="3608"/>
      <c r="K110" s="2048"/>
      <c r="L110" s="2048"/>
      <c r="M110" s="2048"/>
      <c r="N110" s="2048"/>
      <c r="Q110" s="3025"/>
      <c r="R110" s="3025"/>
      <c r="S110" s="3025"/>
      <c r="T110" s="3025"/>
      <c r="U110" s="3025"/>
      <c r="V110" s="3025"/>
      <c r="W110" s="3025"/>
    </row>
    <row r="112" spans="1:23" ht="13.5" thickBot="1"/>
    <row r="113" spans="1:13" ht="25.5" thickBot="1">
      <c r="A113" s="2283" t="s">
        <v>2628</v>
      </c>
      <c r="B113" s="2284">
        <f>G3</f>
        <v>2.5</v>
      </c>
      <c r="C113" s="2285" t="s">
        <v>2629</v>
      </c>
      <c r="D113" s="2286">
        <f>SUMPRODUCT((A115:A118=F113)*(B114:M114=H113)*B115:M118)</f>
        <v>0.82420000000000004</v>
      </c>
      <c r="E113" s="1570" t="s">
        <v>2515</v>
      </c>
      <c r="F113" s="2287" t="str">
        <f>E2</f>
        <v>办公</v>
      </c>
      <c r="G113" s="1570" t="s">
        <v>2449</v>
      </c>
      <c r="H113" s="2287" t="str">
        <f>G2</f>
        <v>七级</v>
      </c>
      <c r="I113" s="1570"/>
      <c r="J113" s="2288"/>
      <c r="K113" s="2288"/>
      <c r="L113" s="2288"/>
      <c r="M113" s="2288"/>
    </row>
    <row r="114" spans="1:13">
      <c r="A114" s="2289"/>
      <c r="B114" s="2290" t="s">
        <v>2630</v>
      </c>
      <c r="C114" s="2290" t="s">
        <v>2631</v>
      </c>
      <c r="D114" s="2290" t="s">
        <v>2632</v>
      </c>
      <c r="E114" s="2291" t="s">
        <v>2633</v>
      </c>
      <c r="F114" s="2291" t="s">
        <v>2634</v>
      </c>
      <c r="G114" s="2291" t="s">
        <v>2635</v>
      </c>
      <c r="H114" s="2292" t="s">
        <v>2636</v>
      </c>
      <c r="I114" s="2292" t="s">
        <v>2637</v>
      </c>
      <c r="J114" s="2293" t="s">
        <v>2638</v>
      </c>
      <c r="K114" s="2293" t="s">
        <v>2639</v>
      </c>
      <c r="L114" s="2293" t="s">
        <v>2640</v>
      </c>
      <c r="M114" s="2294" t="s">
        <v>2641</v>
      </c>
    </row>
    <row r="115" spans="1:13">
      <c r="A115" s="2295" t="s">
        <v>2516</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2517</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2518</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2519</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78" priority="5" stopIfTrue="1" operator="notEqual">
      <formula>"——"</formula>
    </cfRule>
  </conditionalFormatting>
  <conditionalFormatting sqref="F59">
    <cfRule type="cellIs" dxfId="177" priority="4" stopIfTrue="1" operator="notEqual">
      <formula>"——"</formula>
    </cfRule>
  </conditionalFormatting>
  <conditionalFormatting sqref="F70">
    <cfRule type="cellIs" dxfId="176" priority="3" stopIfTrue="1" operator="notEqual">
      <formula>"——"</formula>
    </cfRule>
  </conditionalFormatting>
  <conditionalFormatting sqref="F81">
    <cfRule type="cellIs" dxfId="17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2184</v>
      </c>
      <c r="C1" s="1607"/>
      <c r="D1" s="1608"/>
      <c r="E1" s="1609" t="s">
        <v>1167</v>
      </c>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1858</v>
      </c>
      <c r="B3" s="1628" t="e">
        <f ca="1">ROUND(IF(D2="——",C49,IF(C2="万元",B2*10000/D3,B2/D3)),0)</f>
        <v>#DIV/0!</v>
      </c>
      <c r="C3" s="1628" t="s">
        <v>2186</v>
      </c>
      <c r="D3" s="1628">
        <f>IF(C1="仅计算典型户型",'数据-取费表'!E5,'数据-取费表'!B5)</f>
        <v>58.79</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2187</v>
      </c>
      <c r="B4" s="1632"/>
      <c r="C4" s="3653" t="s">
        <v>2188</v>
      </c>
      <c r="D4" s="3654"/>
      <c r="E4" s="3655" t="s">
        <v>2189</v>
      </c>
      <c r="F4" s="3656"/>
      <c r="G4" s="3653" t="s">
        <v>2190</v>
      </c>
      <c r="H4" s="3654"/>
      <c r="I4" s="3653" t="s">
        <v>2191</v>
      </c>
      <c r="J4" s="3654"/>
      <c r="K4" s="1633" t="s">
        <v>2192</v>
      </c>
      <c r="L4" s="2964"/>
      <c r="M4" s="2965"/>
      <c r="N4" s="2965"/>
      <c r="O4" s="2965"/>
      <c r="P4" s="3657" t="s">
        <v>2193</v>
      </c>
      <c r="Q4" s="3658"/>
      <c r="R4" s="3642" t="s">
        <v>2189</v>
      </c>
      <c r="S4" s="3643"/>
      <c r="T4" s="3642" t="s">
        <v>2190</v>
      </c>
      <c r="U4" s="3643"/>
      <c r="V4" s="3663" t="s">
        <v>2191</v>
      </c>
      <c r="W4" s="3663"/>
      <c r="X4" s="1634"/>
      <c r="Y4" s="3642" t="s">
        <v>2193</v>
      </c>
      <c r="Z4" s="3643"/>
      <c r="AA4" s="3650" t="s">
        <v>2189</v>
      </c>
      <c r="AB4" s="3650" t="s">
        <v>2190</v>
      </c>
      <c r="AC4" s="3650" t="s">
        <v>2191</v>
      </c>
    </row>
    <row r="5" spans="1:29" ht="15">
      <c r="A5" s="1636"/>
      <c r="B5" s="1637"/>
      <c r="C5" s="3638" t="s">
        <v>2194</v>
      </c>
      <c r="D5" s="3639"/>
      <c r="E5" s="3664" t="s">
        <v>2195</v>
      </c>
      <c r="F5" s="3665"/>
      <c r="G5" s="3638" t="s">
        <v>2196</v>
      </c>
      <c r="H5" s="3639"/>
      <c r="I5" s="3638" t="s">
        <v>2197</v>
      </c>
      <c r="J5" s="3639"/>
      <c r="K5" s="1638"/>
      <c r="L5" s="2964"/>
      <c r="M5" s="2965"/>
      <c r="N5" s="2965"/>
      <c r="O5" s="2965"/>
      <c r="P5" s="3659"/>
      <c r="Q5" s="3660"/>
      <c r="R5" s="3644"/>
      <c r="S5" s="3645"/>
      <c r="T5" s="3644"/>
      <c r="U5" s="3645"/>
      <c r="V5" s="3663"/>
      <c r="W5" s="3663"/>
      <c r="X5" s="1634"/>
      <c r="Y5" s="3644"/>
      <c r="Z5" s="3645"/>
      <c r="AA5" s="3651"/>
      <c r="AB5" s="3651"/>
      <c r="AC5" s="3651"/>
    </row>
    <row r="6" spans="1:29" ht="15.75" thickBot="1">
      <c r="A6" s="1639"/>
      <c r="B6" s="1640"/>
      <c r="C6" s="3636" t="s">
        <v>2198</v>
      </c>
      <c r="D6" s="3637"/>
      <c r="E6" s="3666" t="s">
        <v>2198</v>
      </c>
      <c r="F6" s="3667"/>
      <c r="G6" s="3636" t="s">
        <v>2198</v>
      </c>
      <c r="H6" s="3637"/>
      <c r="I6" s="3636" t="s">
        <v>2198</v>
      </c>
      <c r="J6" s="3637"/>
      <c r="K6" s="1638" t="s">
        <v>2199</v>
      </c>
      <c r="L6" s="2964"/>
      <c r="M6" s="2965"/>
      <c r="N6" s="2965"/>
      <c r="O6" s="2965"/>
      <c r="P6" s="3661"/>
      <c r="Q6" s="3662"/>
      <c r="R6" s="3644"/>
      <c r="S6" s="3645"/>
      <c r="T6" s="3646"/>
      <c r="U6" s="3647"/>
      <c r="V6" s="3663"/>
      <c r="W6" s="3663"/>
      <c r="X6" s="1634"/>
      <c r="Y6" s="3646"/>
      <c r="Z6" s="3647"/>
      <c r="AA6" s="3652"/>
      <c r="AB6" s="3652"/>
      <c r="AC6" s="3652"/>
    </row>
    <row r="7" spans="1:29" s="1653" customFormat="1" ht="15.75" thickBot="1">
      <c r="A7" s="1641" t="s">
        <v>2200</v>
      </c>
      <c r="B7" s="1642"/>
      <c r="C7" s="1643">
        <f>'数据-取费表'!B2</f>
        <v>44545</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40" t="s">
        <v>2201</v>
      </c>
      <c r="Q7" s="3648"/>
      <c r="R7" s="1649" t="s">
        <v>34</v>
      </c>
      <c r="S7" s="1650">
        <f t="shared" ref="S7:S15" si="0">F7</f>
        <v>0</v>
      </c>
      <c r="T7" s="1649" t="s">
        <v>34</v>
      </c>
      <c r="U7" s="1650">
        <f t="shared" ref="U7:U15" si="1">H7</f>
        <v>0</v>
      </c>
      <c r="V7" s="1649" t="s">
        <v>34</v>
      </c>
      <c r="W7" s="1650">
        <f t="shared" ref="W7:W15" si="2">J7</f>
        <v>0</v>
      </c>
      <c r="X7" s="1651"/>
      <c r="Y7" s="3640" t="s">
        <v>2201</v>
      </c>
      <c r="Z7" s="3641"/>
      <c r="AA7" s="1652" t="e">
        <f>D7/F7</f>
        <v>#DIV/0!</v>
      </c>
      <c r="AB7" s="1652" t="e">
        <f>D7/H7</f>
        <v>#DIV/0!</v>
      </c>
      <c r="AC7" s="1652" t="e">
        <f>D7/J7</f>
        <v>#DIV/0!</v>
      </c>
    </row>
    <row r="8" spans="1:29" s="1653" customFormat="1" ht="15.75" thickBot="1">
      <c r="A8" s="1641" t="s">
        <v>2202</v>
      </c>
      <c r="B8" s="1642"/>
      <c r="C8" s="1654" t="s">
        <v>2203</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40" t="s">
        <v>2204</v>
      </c>
      <c r="Q8" s="3641"/>
      <c r="R8" s="1649" t="s">
        <v>34</v>
      </c>
      <c r="S8" s="1650">
        <f t="shared" si="0"/>
        <v>0</v>
      </c>
      <c r="T8" s="1649" t="s">
        <v>34</v>
      </c>
      <c r="U8" s="1650">
        <f t="shared" si="1"/>
        <v>0</v>
      </c>
      <c r="V8" s="1649" t="s">
        <v>34</v>
      </c>
      <c r="W8" s="1650">
        <f t="shared" si="2"/>
        <v>0</v>
      </c>
      <c r="X8" s="1651"/>
      <c r="Y8" s="3640" t="s">
        <v>2204</v>
      </c>
      <c r="Z8" s="3641"/>
      <c r="AA8" s="1652" t="e">
        <f t="shared" ref="AA8:AA46" si="3">D8/F8</f>
        <v>#DIV/0!</v>
      </c>
      <c r="AB8" s="1652" t="e">
        <f t="shared" ref="AB8:AB46" si="4">D8/H8</f>
        <v>#DIV/0!</v>
      </c>
      <c r="AC8" s="1652" t="e">
        <f t="shared" ref="AC8:AC46" si="5">D8/J8</f>
        <v>#DIV/0!</v>
      </c>
    </row>
    <row r="9" spans="1:29" s="1653" customFormat="1">
      <c r="A9" s="1604" t="s">
        <v>2205</v>
      </c>
      <c r="B9" s="1656" t="s">
        <v>2206</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49" t="s">
        <v>2207</v>
      </c>
      <c r="Q9" s="1603" t="str">
        <f t="shared" ref="Q9:Q15" si="6">B9</f>
        <v>用途</v>
      </c>
      <c r="R9" s="1649" t="s">
        <v>25</v>
      </c>
      <c r="S9" s="1650">
        <f t="shared" si="0"/>
        <v>100</v>
      </c>
      <c r="T9" s="1649" t="s">
        <v>25</v>
      </c>
      <c r="U9" s="1650">
        <f t="shared" si="1"/>
        <v>100</v>
      </c>
      <c r="V9" s="1649" t="s">
        <v>25</v>
      </c>
      <c r="W9" s="1650">
        <f t="shared" si="2"/>
        <v>100</v>
      </c>
      <c r="X9" s="1651"/>
      <c r="Y9" s="3532"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49"/>
      <c r="Q10" s="1603" t="str">
        <f t="shared" si="6"/>
        <v>土地使用年限（年）</v>
      </c>
      <c r="R10" s="1649" t="s">
        <v>25</v>
      </c>
      <c r="S10" s="1650">
        <f t="shared" si="0"/>
        <v>100</v>
      </c>
      <c r="T10" s="1649" t="s">
        <v>25</v>
      </c>
      <c r="U10" s="1650">
        <f t="shared" si="1"/>
        <v>100</v>
      </c>
      <c r="V10" s="1649" t="s">
        <v>25</v>
      </c>
      <c r="W10" s="1650">
        <f t="shared" si="2"/>
        <v>100</v>
      </c>
      <c r="X10" s="1651"/>
      <c r="Y10" s="3532"/>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49"/>
      <c r="Q11" s="1603" t="str">
        <f t="shared" si="6"/>
        <v>容积率</v>
      </c>
      <c r="R11" s="1649" t="s">
        <v>28</v>
      </c>
      <c r="S11" s="1650" t="e">
        <f t="shared" si="0"/>
        <v>#N/A</v>
      </c>
      <c r="T11" s="1649" t="s">
        <v>28</v>
      </c>
      <c r="U11" s="1650" t="e">
        <f t="shared" si="1"/>
        <v>#N/A</v>
      </c>
      <c r="V11" s="1649" t="s">
        <v>28</v>
      </c>
      <c r="W11" s="1650" t="e">
        <f t="shared" si="2"/>
        <v>#N/A</v>
      </c>
      <c r="X11" s="1651"/>
      <c r="Y11" s="3532"/>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49"/>
      <c r="Q12" s="1603">
        <f t="shared" si="6"/>
        <v>111</v>
      </c>
      <c r="R12" s="1649" t="s">
        <v>28</v>
      </c>
      <c r="S12" s="1650">
        <f t="shared" si="0"/>
        <v>100</v>
      </c>
      <c r="T12" s="1649" t="s">
        <v>28</v>
      </c>
      <c r="U12" s="1650">
        <f t="shared" si="1"/>
        <v>100</v>
      </c>
      <c r="V12" s="1649" t="s">
        <v>28</v>
      </c>
      <c r="W12" s="1650">
        <f t="shared" si="2"/>
        <v>100</v>
      </c>
      <c r="X12" s="1651"/>
      <c r="Y12" s="3532"/>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49"/>
      <c r="Q13" s="1603">
        <f t="shared" si="6"/>
        <v>111</v>
      </c>
      <c r="R13" s="1649" t="s">
        <v>28</v>
      </c>
      <c r="S13" s="1650">
        <f t="shared" si="0"/>
        <v>100</v>
      </c>
      <c r="T13" s="1649" t="s">
        <v>28</v>
      </c>
      <c r="U13" s="1650">
        <f t="shared" si="1"/>
        <v>100</v>
      </c>
      <c r="V13" s="1649" t="s">
        <v>28</v>
      </c>
      <c r="W13" s="1650">
        <f t="shared" si="2"/>
        <v>100</v>
      </c>
      <c r="X13" s="1651"/>
      <c r="Y13" s="3532"/>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49"/>
      <c r="Q14" s="1603">
        <f t="shared" si="6"/>
        <v>111</v>
      </c>
      <c r="R14" s="1649" t="s">
        <v>28</v>
      </c>
      <c r="S14" s="1650">
        <f t="shared" si="0"/>
        <v>100</v>
      </c>
      <c r="T14" s="1649" t="s">
        <v>28</v>
      </c>
      <c r="U14" s="1650">
        <f t="shared" si="1"/>
        <v>100</v>
      </c>
      <c r="V14" s="1649" t="s">
        <v>28</v>
      </c>
      <c r="W14" s="1650">
        <f t="shared" si="2"/>
        <v>100</v>
      </c>
      <c r="X14" s="1651"/>
      <c r="Y14" s="3532"/>
      <c r="Z14" s="1662">
        <f t="shared" si="7"/>
        <v>111</v>
      </c>
      <c r="AA14" s="1652">
        <f t="shared" si="3"/>
        <v>1</v>
      </c>
      <c r="AB14" s="1652">
        <f t="shared" si="4"/>
        <v>1</v>
      </c>
      <c r="AC14" s="1652">
        <f t="shared" si="5"/>
        <v>1</v>
      </c>
    </row>
    <row r="15" spans="1:29" ht="99.75">
      <c r="A15" s="1686" t="s">
        <v>2211</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27" t="s">
        <v>2212</v>
      </c>
      <c r="Q15" s="1584" t="str">
        <f t="shared" si="6"/>
        <v>居住社区成熟度</v>
      </c>
      <c r="R15" s="1694" t="s">
        <v>28</v>
      </c>
      <c r="S15" s="1695">
        <f t="shared" si="0"/>
        <v>100</v>
      </c>
      <c r="T15" s="1694" t="s">
        <v>28</v>
      </c>
      <c r="U15" s="1695">
        <f t="shared" si="1"/>
        <v>100</v>
      </c>
      <c r="V15" s="1694" t="s">
        <v>28</v>
      </c>
      <c r="W15" s="1695">
        <f t="shared" si="2"/>
        <v>100</v>
      </c>
      <c r="X15" s="1634"/>
      <c r="Y15" s="3629" t="s">
        <v>2212</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28"/>
      <c r="Q16" s="1584"/>
      <c r="R16" s="1694"/>
      <c r="S16" s="1695"/>
      <c r="T16" s="1694"/>
      <c r="U16" s="1695"/>
      <c r="V16" s="1694"/>
      <c r="W16" s="1695"/>
      <c r="X16" s="1634"/>
      <c r="Y16" s="3630"/>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28"/>
      <c r="Q17" s="1584" t="str">
        <f>B17</f>
        <v>交通便捷度</v>
      </c>
      <c r="R17" s="1694" t="s">
        <v>28</v>
      </c>
      <c r="S17" s="1695">
        <f>F17</f>
        <v>100</v>
      </c>
      <c r="T17" s="1694" t="s">
        <v>28</v>
      </c>
      <c r="U17" s="1695">
        <f>H17</f>
        <v>100</v>
      </c>
      <c r="V17" s="1694" t="s">
        <v>28</v>
      </c>
      <c r="W17" s="1695">
        <f>J17</f>
        <v>100</v>
      </c>
      <c r="X17" s="1634"/>
      <c r="Y17" s="3630"/>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28"/>
      <c r="Q18" s="1584"/>
      <c r="R18" s="1694"/>
      <c r="S18" s="1695"/>
      <c r="T18" s="1694"/>
      <c r="U18" s="1695"/>
      <c r="V18" s="1694"/>
      <c r="W18" s="1695"/>
      <c r="X18" s="1634"/>
      <c r="Y18" s="3630"/>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28"/>
      <c r="Q19" s="1584" t="str">
        <f>B19</f>
        <v>公共配套设施</v>
      </c>
      <c r="R19" s="1694" t="s">
        <v>28</v>
      </c>
      <c r="S19" s="1695">
        <f>F19</f>
        <v>100</v>
      </c>
      <c r="T19" s="1694" t="s">
        <v>28</v>
      </c>
      <c r="U19" s="1695">
        <f>H19</f>
        <v>100</v>
      </c>
      <c r="V19" s="1694" t="s">
        <v>28</v>
      </c>
      <c r="W19" s="1695">
        <f>J19</f>
        <v>100</v>
      </c>
      <c r="X19" s="1634"/>
      <c r="Y19" s="3630"/>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28"/>
      <c r="Q20" s="1584"/>
      <c r="R20" s="1694"/>
      <c r="S20" s="1695"/>
      <c r="T20" s="1694"/>
      <c r="U20" s="1695"/>
      <c r="V20" s="1694"/>
      <c r="W20" s="1695"/>
      <c r="X20" s="1634"/>
      <c r="Y20" s="3630"/>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28"/>
      <c r="Q21" s="1584" t="str">
        <f>B21</f>
        <v>基础设施水平</v>
      </c>
      <c r="R21" s="1694" t="s">
        <v>28</v>
      </c>
      <c r="S21" s="1695">
        <f>F21</f>
        <v>100</v>
      </c>
      <c r="T21" s="1694" t="s">
        <v>28</v>
      </c>
      <c r="U21" s="1695">
        <f>H21</f>
        <v>100</v>
      </c>
      <c r="V21" s="1694" t="s">
        <v>28</v>
      </c>
      <c r="W21" s="1695">
        <f>J21</f>
        <v>100</v>
      </c>
      <c r="X21" s="1634"/>
      <c r="Y21" s="3630"/>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28"/>
      <c r="Q22" s="1584"/>
      <c r="R22" s="1694"/>
      <c r="S22" s="1695"/>
      <c r="T22" s="1694"/>
      <c r="U22" s="1695"/>
      <c r="V22" s="1694"/>
      <c r="W22" s="1695"/>
      <c r="X22" s="1634"/>
      <c r="Y22" s="3630"/>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28"/>
      <c r="Q23" s="1584" t="str">
        <f>B23</f>
        <v>自然及人文环境</v>
      </c>
      <c r="R23" s="1694" t="s">
        <v>28</v>
      </c>
      <c r="S23" s="1695">
        <f>F23</f>
        <v>100</v>
      </c>
      <c r="T23" s="1694" t="s">
        <v>28</v>
      </c>
      <c r="U23" s="1695">
        <f>H23</f>
        <v>100</v>
      </c>
      <c r="V23" s="1694" t="s">
        <v>28</v>
      </c>
      <c r="W23" s="1695">
        <f>J23</f>
        <v>100</v>
      </c>
      <c r="X23" s="1634"/>
      <c r="Y23" s="3630"/>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28"/>
      <c r="Q24" s="1584"/>
      <c r="R24" s="1694"/>
      <c r="S24" s="1695"/>
      <c r="T24" s="1694"/>
      <c r="U24" s="1695"/>
      <c r="V24" s="1694"/>
      <c r="W24" s="1695"/>
      <c r="X24" s="1634"/>
      <c r="Y24" s="3630"/>
      <c r="Z24" s="1696"/>
      <c r="AA24" s="1697">
        <v>1</v>
      </c>
      <c r="AB24" s="1697">
        <v>1</v>
      </c>
      <c r="AC24" s="1697">
        <v>1</v>
      </c>
    </row>
    <row r="25" spans="1:29" ht="15">
      <c r="A25" s="1671"/>
      <c r="B25" s="1664" t="s">
        <v>2213</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28"/>
      <c r="Q25" s="1584" t="str">
        <f t="shared" ref="Q25:Q46" si="11">B25</f>
        <v>楼层-1</v>
      </c>
      <c r="R25" s="1694" t="s">
        <v>28</v>
      </c>
      <c r="S25" s="1695">
        <f>F25</f>
        <v>100</v>
      </c>
      <c r="T25" s="1694" t="s">
        <v>28</v>
      </c>
      <c r="U25" s="1695">
        <f>H25</f>
        <v>100</v>
      </c>
      <c r="V25" s="1694" t="s">
        <v>28</v>
      </c>
      <c r="W25" s="1695">
        <f>J25</f>
        <v>100</v>
      </c>
      <c r="X25" s="1634"/>
      <c r="Y25" s="3630"/>
      <c r="Z25" s="1696" t="str">
        <f>Q25</f>
        <v>楼层-1</v>
      </c>
      <c r="AA25" s="1697">
        <f t="shared" si="3"/>
        <v>1</v>
      </c>
      <c r="AB25" s="1697">
        <f t="shared" si="4"/>
        <v>1</v>
      </c>
      <c r="AC25" s="1697">
        <f t="shared" si="5"/>
        <v>1</v>
      </c>
    </row>
    <row r="26" spans="1:29" ht="15">
      <c r="A26" s="1671"/>
      <c r="B26" s="1664" t="s">
        <v>2214</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28"/>
      <c r="Q26" s="1584" t="str">
        <f t="shared" si="11"/>
        <v>朝向</v>
      </c>
      <c r="R26" s="1694" t="s">
        <v>28</v>
      </c>
      <c r="S26" s="1695">
        <f>F26</f>
        <v>100</v>
      </c>
      <c r="T26" s="1694" t="s">
        <v>28</v>
      </c>
      <c r="U26" s="1695">
        <f>H26</f>
        <v>100</v>
      </c>
      <c r="V26" s="1694" t="s">
        <v>28</v>
      </c>
      <c r="W26" s="1695">
        <f>J26</f>
        <v>100</v>
      </c>
      <c r="X26" s="1634"/>
      <c r="Y26" s="3630"/>
      <c r="Z26" s="1696" t="str">
        <f>Q26</f>
        <v>朝向</v>
      </c>
      <c r="AA26" s="1697">
        <f t="shared" si="3"/>
        <v>1</v>
      </c>
      <c r="AB26" s="1697">
        <f t="shared" si="4"/>
        <v>1</v>
      </c>
      <c r="AC26" s="1697">
        <f t="shared" si="5"/>
        <v>1</v>
      </c>
    </row>
    <row r="27" spans="1:29" s="1653" customFormat="1" ht="15">
      <c r="A27" s="1674"/>
      <c r="B27" s="1675" t="s">
        <v>2215</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28"/>
      <c r="Q27" s="1603" t="str">
        <f t="shared" si="11"/>
        <v>道路级别</v>
      </c>
      <c r="R27" s="1649" t="s">
        <v>28</v>
      </c>
      <c r="S27" s="1650">
        <f>F27</f>
        <v>100</v>
      </c>
      <c r="T27" s="1649" t="s">
        <v>28</v>
      </c>
      <c r="U27" s="1650">
        <f>H27</f>
        <v>100</v>
      </c>
      <c r="V27" s="1649" t="s">
        <v>28</v>
      </c>
      <c r="W27" s="1650">
        <f>J27</f>
        <v>100</v>
      </c>
      <c r="X27" s="1651"/>
      <c r="Y27" s="3630"/>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28"/>
      <c r="Q28" s="1584">
        <f t="shared" si="11"/>
        <v>111</v>
      </c>
      <c r="R28" s="1694" t="s">
        <v>28</v>
      </c>
      <c r="S28" s="1695">
        <f t="shared" ref="S28:S46" si="12">F28</f>
        <v>100</v>
      </c>
      <c r="T28" s="1694" t="s">
        <v>28</v>
      </c>
      <c r="U28" s="1695">
        <f t="shared" ref="U28:U46" si="13">H28</f>
        <v>100</v>
      </c>
      <c r="V28" s="1694" t="s">
        <v>28</v>
      </c>
      <c r="W28" s="1695">
        <f t="shared" ref="W28:W46" si="14">J28</f>
        <v>100</v>
      </c>
      <c r="X28" s="1634"/>
      <c r="Y28" s="3630"/>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28"/>
      <c r="Q29" s="1584">
        <f t="shared" si="11"/>
        <v>111</v>
      </c>
      <c r="R29" s="1694" t="s">
        <v>28</v>
      </c>
      <c r="S29" s="1695">
        <f t="shared" si="12"/>
        <v>100</v>
      </c>
      <c r="T29" s="1694" t="s">
        <v>28</v>
      </c>
      <c r="U29" s="1695">
        <f t="shared" si="13"/>
        <v>100</v>
      </c>
      <c r="V29" s="1694" t="s">
        <v>28</v>
      </c>
      <c r="W29" s="1695">
        <f t="shared" si="14"/>
        <v>100</v>
      </c>
      <c r="X29" s="1634"/>
      <c r="Y29" s="3630"/>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28"/>
      <c r="Q30" s="1584">
        <f t="shared" si="11"/>
        <v>111</v>
      </c>
      <c r="R30" s="1694" t="s">
        <v>28</v>
      </c>
      <c r="S30" s="1695">
        <f t="shared" si="12"/>
        <v>100</v>
      </c>
      <c r="T30" s="1694" t="s">
        <v>28</v>
      </c>
      <c r="U30" s="1695">
        <f t="shared" si="13"/>
        <v>100</v>
      </c>
      <c r="V30" s="1694" t="s">
        <v>28</v>
      </c>
      <c r="W30" s="1695">
        <f t="shared" si="14"/>
        <v>100</v>
      </c>
      <c r="X30" s="1634"/>
      <c r="Y30" s="3630"/>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28"/>
      <c r="Q31" s="1584">
        <f t="shared" si="11"/>
        <v>111</v>
      </c>
      <c r="R31" s="1694" t="s">
        <v>28</v>
      </c>
      <c r="S31" s="1695">
        <f t="shared" si="12"/>
        <v>100</v>
      </c>
      <c r="T31" s="1694" t="s">
        <v>28</v>
      </c>
      <c r="U31" s="1695">
        <f t="shared" si="13"/>
        <v>100</v>
      </c>
      <c r="V31" s="1694" t="s">
        <v>28</v>
      </c>
      <c r="W31" s="1695">
        <f t="shared" si="14"/>
        <v>100</v>
      </c>
      <c r="X31" s="1634"/>
      <c r="Y31" s="3630"/>
      <c r="Z31" s="1696">
        <f t="shared" si="15"/>
        <v>111</v>
      </c>
      <c r="AA31" s="1697">
        <f t="shared" si="3"/>
        <v>1</v>
      </c>
      <c r="AB31" s="1697">
        <f t="shared" si="4"/>
        <v>1</v>
      </c>
      <c r="AC31" s="1697">
        <f t="shared" si="5"/>
        <v>1</v>
      </c>
    </row>
    <row r="32" spans="1:29" ht="15">
      <c r="A32" s="1686" t="s">
        <v>2216</v>
      </c>
      <c r="B32" s="1656" t="s">
        <v>2217</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31" t="s">
        <v>2218</v>
      </c>
      <c r="Q32" s="1584" t="str">
        <f t="shared" si="11"/>
        <v>建筑类型</v>
      </c>
      <c r="R32" s="1694" t="s">
        <v>28</v>
      </c>
      <c r="S32" s="1695">
        <f t="shared" si="12"/>
        <v>100</v>
      </c>
      <c r="T32" s="1694" t="s">
        <v>28</v>
      </c>
      <c r="U32" s="1695">
        <f t="shared" si="13"/>
        <v>100</v>
      </c>
      <c r="V32" s="1694" t="s">
        <v>28</v>
      </c>
      <c r="W32" s="1695">
        <f t="shared" si="14"/>
        <v>100</v>
      </c>
      <c r="X32" s="1634"/>
      <c r="Y32" s="3634" t="s">
        <v>2218</v>
      </c>
      <c r="Z32" s="1696" t="str">
        <f t="shared" si="15"/>
        <v>建筑类型</v>
      </c>
      <c r="AA32" s="1697">
        <f t="shared" si="3"/>
        <v>1</v>
      </c>
      <c r="AB32" s="1697">
        <f t="shared" si="4"/>
        <v>1</v>
      </c>
      <c r="AC32" s="1697">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32"/>
      <c r="Q33" s="1735" t="str">
        <f t="shared" si="11"/>
        <v>项目建筑规模</v>
      </c>
      <c r="R33" s="1736" t="s">
        <v>28</v>
      </c>
      <c r="S33" s="1737" t="e">
        <f t="shared" si="12"/>
        <v>#N/A</v>
      </c>
      <c r="T33" s="1736" t="s">
        <v>28</v>
      </c>
      <c r="U33" s="1737" t="e">
        <f t="shared" si="13"/>
        <v>#N/A</v>
      </c>
      <c r="V33" s="1736" t="s">
        <v>28</v>
      </c>
      <c r="W33" s="1737" t="e">
        <f t="shared" si="14"/>
        <v>#N/A</v>
      </c>
      <c r="X33" s="1738"/>
      <c r="Y33" s="3634"/>
      <c r="Z33" s="1739" t="str">
        <f t="shared" si="15"/>
        <v>项目建筑规模</v>
      </c>
      <c r="AA33" s="1697" t="e">
        <f t="shared" si="3"/>
        <v>#N/A</v>
      </c>
      <c r="AB33" s="1697" t="e">
        <f t="shared" si="4"/>
        <v>#N/A</v>
      </c>
      <c r="AC33" s="1697"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32"/>
      <c r="Q34" s="1584" t="str">
        <f t="shared" si="11"/>
        <v>建筑结构</v>
      </c>
      <c r="R34" s="1694" t="s">
        <v>28</v>
      </c>
      <c r="S34" s="1695">
        <f t="shared" si="12"/>
        <v>100</v>
      </c>
      <c r="T34" s="1694" t="s">
        <v>28</v>
      </c>
      <c r="U34" s="1695">
        <f t="shared" si="13"/>
        <v>100</v>
      </c>
      <c r="V34" s="1694" t="s">
        <v>28</v>
      </c>
      <c r="W34" s="1695">
        <f t="shared" si="14"/>
        <v>100</v>
      </c>
      <c r="X34" s="1634"/>
      <c r="Y34" s="3634"/>
      <c r="Z34" s="1696" t="str">
        <f t="shared" si="15"/>
        <v>建筑结构</v>
      </c>
      <c r="AA34" s="1697">
        <f t="shared" si="3"/>
        <v>1</v>
      </c>
      <c r="AB34" s="1697">
        <f t="shared" si="4"/>
        <v>1</v>
      </c>
      <c r="AC34" s="1697">
        <f t="shared" si="5"/>
        <v>1</v>
      </c>
    </row>
    <row r="35" spans="1:29" ht="15">
      <c r="A35" s="1741"/>
      <c r="B35" s="1664" t="s">
        <v>2221</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32"/>
      <c r="Q35" s="1584" t="str">
        <f t="shared" si="11"/>
        <v>建筑品质</v>
      </c>
      <c r="R35" s="1694" t="s">
        <v>28</v>
      </c>
      <c r="S35" s="1695">
        <f t="shared" si="12"/>
        <v>100</v>
      </c>
      <c r="T35" s="1694" t="s">
        <v>28</v>
      </c>
      <c r="U35" s="1695">
        <f t="shared" si="13"/>
        <v>100</v>
      </c>
      <c r="V35" s="1694" t="s">
        <v>28</v>
      </c>
      <c r="W35" s="1695">
        <f t="shared" si="14"/>
        <v>100</v>
      </c>
      <c r="X35" s="1634"/>
      <c r="Y35" s="3634"/>
      <c r="Z35" s="1696" t="str">
        <f t="shared" si="15"/>
        <v>建筑品质</v>
      </c>
      <c r="AA35" s="1697">
        <f t="shared" si="3"/>
        <v>1</v>
      </c>
      <c r="AB35" s="1697">
        <f t="shared" si="4"/>
        <v>1</v>
      </c>
      <c r="AC35" s="1697">
        <f t="shared" si="5"/>
        <v>1</v>
      </c>
    </row>
    <row r="36" spans="1:29" ht="15">
      <c r="A36" s="1741"/>
      <c r="B36" s="1664" t="s">
        <v>2222</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32"/>
      <c r="Q36" s="1584" t="str">
        <f t="shared" si="11"/>
        <v>公共部分装修</v>
      </c>
      <c r="R36" s="1694" t="s">
        <v>28</v>
      </c>
      <c r="S36" s="1695">
        <f t="shared" si="12"/>
        <v>100</v>
      </c>
      <c r="T36" s="1694" t="s">
        <v>28</v>
      </c>
      <c r="U36" s="1695">
        <f t="shared" si="13"/>
        <v>100</v>
      </c>
      <c r="V36" s="1694" t="s">
        <v>28</v>
      </c>
      <c r="W36" s="1695">
        <f t="shared" si="14"/>
        <v>100</v>
      </c>
      <c r="X36" s="1634"/>
      <c r="Y36" s="3634"/>
      <c r="Z36" s="1696" t="str">
        <f t="shared" si="15"/>
        <v>公共部分装修</v>
      </c>
      <c r="AA36" s="1697">
        <f t="shared" si="3"/>
        <v>1</v>
      </c>
      <c r="AB36" s="1697">
        <f t="shared" si="4"/>
        <v>1</v>
      </c>
      <c r="AC36" s="1697">
        <f t="shared" si="5"/>
        <v>1</v>
      </c>
    </row>
    <row r="37" spans="1:29" s="1653" customFormat="1" ht="15">
      <c r="A37" s="1744"/>
      <c r="B37" s="1664" t="s">
        <v>2223</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32"/>
      <c r="Q37" s="1603" t="str">
        <f t="shared" si="11"/>
        <v>成新度</v>
      </c>
      <c r="R37" s="1649" t="s">
        <v>28</v>
      </c>
      <c r="S37" s="1650" t="e">
        <f t="shared" si="12"/>
        <v>#N/A</v>
      </c>
      <c r="T37" s="1649" t="s">
        <v>28</v>
      </c>
      <c r="U37" s="1650" t="e">
        <f t="shared" si="13"/>
        <v>#N/A</v>
      </c>
      <c r="V37" s="1649" t="s">
        <v>28</v>
      </c>
      <c r="W37" s="1650" t="e">
        <f t="shared" si="14"/>
        <v>#N/A</v>
      </c>
      <c r="X37" s="1651"/>
      <c r="Y37" s="3634"/>
      <c r="Z37" s="1662" t="str">
        <f t="shared" si="15"/>
        <v>成新度</v>
      </c>
      <c r="AA37" s="1652" t="e">
        <f t="shared" si="3"/>
        <v>#N/A</v>
      </c>
      <c r="AB37" s="1652" t="e">
        <f t="shared" si="4"/>
        <v>#N/A</v>
      </c>
      <c r="AC37" s="1652" t="e">
        <f t="shared" si="5"/>
        <v>#N/A</v>
      </c>
    </row>
    <row r="38" spans="1:29" ht="15">
      <c r="A38" s="1741"/>
      <c r="B38" s="1664" t="s">
        <v>2224</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32" t="s">
        <v>2218</v>
      </c>
      <c r="Q38" s="1584" t="str">
        <f t="shared" si="11"/>
        <v>物业管理</v>
      </c>
      <c r="R38" s="1694" t="s">
        <v>28</v>
      </c>
      <c r="S38" s="1695">
        <f t="shared" si="12"/>
        <v>100</v>
      </c>
      <c r="T38" s="1694" t="s">
        <v>28</v>
      </c>
      <c r="U38" s="1695">
        <f t="shared" si="13"/>
        <v>100</v>
      </c>
      <c r="V38" s="1694" t="s">
        <v>28</v>
      </c>
      <c r="W38" s="1695">
        <f t="shared" si="14"/>
        <v>100</v>
      </c>
      <c r="X38" s="1634"/>
      <c r="Y38" s="3634" t="s">
        <v>2218</v>
      </c>
      <c r="Z38" s="1696" t="str">
        <f t="shared" si="15"/>
        <v>物业管理</v>
      </c>
      <c r="AA38" s="1697">
        <f t="shared" si="3"/>
        <v>1</v>
      </c>
      <c r="AB38" s="1697">
        <f t="shared" si="4"/>
        <v>1</v>
      </c>
      <c r="AC38" s="1697">
        <f t="shared" si="5"/>
        <v>1</v>
      </c>
    </row>
    <row r="39" spans="1:29" ht="15">
      <c r="A39" s="1741"/>
      <c r="B39" s="1664" t="s">
        <v>2225</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32"/>
      <c r="Q39" s="1584" t="str">
        <f t="shared" si="11"/>
        <v>市政基础设施</v>
      </c>
      <c r="R39" s="1694" t="s">
        <v>28</v>
      </c>
      <c r="S39" s="1695">
        <f t="shared" si="12"/>
        <v>100</v>
      </c>
      <c r="T39" s="1694" t="s">
        <v>28</v>
      </c>
      <c r="U39" s="1695">
        <f t="shared" si="13"/>
        <v>100</v>
      </c>
      <c r="V39" s="1694" t="s">
        <v>28</v>
      </c>
      <c r="W39" s="1695">
        <f t="shared" si="14"/>
        <v>100</v>
      </c>
      <c r="X39" s="1634"/>
      <c r="Y39" s="3634"/>
      <c r="Z39" s="1696" t="str">
        <f t="shared" si="15"/>
        <v>市政基础设施</v>
      </c>
      <c r="AA39" s="1697">
        <f t="shared" si="3"/>
        <v>1</v>
      </c>
      <c r="AB39" s="1697">
        <f t="shared" si="4"/>
        <v>1</v>
      </c>
      <c r="AC39" s="1697">
        <f t="shared" si="5"/>
        <v>1</v>
      </c>
    </row>
    <row r="40" spans="1:29" ht="15">
      <c r="A40" s="1741"/>
      <c r="B40" s="1664" t="s">
        <v>2226</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32"/>
      <c r="Q40" s="1584" t="str">
        <f t="shared" si="11"/>
        <v>房型</v>
      </c>
      <c r="R40" s="1694" t="s">
        <v>28</v>
      </c>
      <c r="S40" s="1695">
        <f t="shared" si="12"/>
        <v>100</v>
      </c>
      <c r="T40" s="1694" t="s">
        <v>28</v>
      </c>
      <c r="U40" s="1695">
        <f t="shared" si="13"/>
        <v>100</v>
      </c>
      <c r="V40" s="1694" t="s">
        <v>28</v>
      </c>
      <c r="W40" s="1695">
        <f t="shared" si="14"/>
        <v>100</v>
      </c>
      <c r="X40" s="1634"/>
      <c r="Y40" s="3634"/>
      <c r="Z40" s="1696" t="str">
        <f t="shared" si="15"/>
        <v>房型</v>
      </c>
      <c r="AA40" s="1697">
        <f t="shared" si="3"/>
        <v>1</v>
      </c>
      <c r="AB40" s="1697">
        <f t="shared" si="4"/>
        <v>1</v>
      </c>
      <c r="AC40" s="1697">
        <f t="shared" si="5"/>
        <v>1</v>
      </c>
    </row>
    <row r="41" spans="1:29" s="1740" customFormat="1" ht="28.5">
      <c r="A41" s="1733"/>
      <c r="B41" s="1664" t="s">
        <v>2227</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32"/>
      <c r="Q41" s="1735" t="str">
        <f t="shared" si="11"/>
        <v>单套/主力户型建筑面积</v>
      </c>
      <c r="R41" s="1736" t="s">
        <v>28</v>
      </c>
      <c r="S41" s="1737">
        <f t="shared" si="12"/>
        <v>100</v>
      </c>
      <c r="T41" s="1736" t="s">
        <v>28</v>
      </c>
      <c r="U41" s="1737">
        <f t="shared" si="13"/>
        <v>100</v>
      </c>
      <c r="V41" s="1736" t="s">
        <v>28</v>
      </c>
      <c r="W41" s="1737">
        <f t="shared" si="14"/>
        <v>100</v>
      </c>
      <c r="X41" s="1738"/>
      <c r="Y41" s="3634"/>
      <c r="Z41" s="1739" t="str">
        <f t="shared" si="15"/>
        <v>单套/主力户型建筑面积</v>
      </c>
      <c r="AA41" s="1697">
        <f t="shared" si="3"/>
        <v>1</v>
      </c>
      <c r="AB41" s="1697">
        <f t="shared" si="4"/>
        <v>1</v>
      </c>
      <c r="AC41" s="1697">
        <f t="shared" si="5"/>
        <v>1</v>
      </c>
    </row>
    <row r="42" spans="1:29" ht="15">
      <c r="A42" s="1741"/>
      <c r="B42" s="1664" t="s">
        <v>2228</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32"/>
      <c r="Q42" s="1584" t="str">
        <f t="shared" si="11"/>
        <v>内部装修</v>
      </c>
      <c r="R42" s="1694" t="s">
        <v>28</v>
      </c>
      <c r="S42" s="1695">
        <f t="shared" si="12"/>
        <v>100</v>
      </c>
      <c r="T42" s="1694" t="s">
        <v>28</v>
      </c>
      <c r="U42" s="1695">
        <f t="shared" si="13"/>
        <v>100</v>
      </c>
      <c r="V42" s="1694" t="s">
        <v>28</v>
      </c>
      <c r="W42" s="1695">
        <f t="shared" si="14"/>
        <v>100</v>
      </c>
      <c r="X42" s="1634"/>
      <c r="Y42" s="3634"/>
      <c r="Z42" s="1696" t="str">
        <f t="shared" si="15"/>
        <v>内部装修</v>
      </c>
      <c r="AA42" s="1697">
        <f t="shared" si="3"/>
        <v>1</v>
      </c>
      <c r="AB42" s="1697">
        <f t="shared" si="4"/>
        <v>1</v>
      </c>
      <c r="AC42" s="1697">
        <f t="shared" si="5"/>
        <v>1</v>
      </c>
    </row>
    <row r="43" spans="1:29" ht="15">
      <c r="A43" s="1741"/>
      <c r="B43" s="1664" t="s">
        <v>2229</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32"/>
      <c r="Q43" s="1584" t="str">
        <f t="shared" si="11"/>
        <v>内部装修维护情况</v>
      </c>
      <c r="R43" s="1694" t="s">
        <v>28</v>
      </c>
      <c r="S43" s="1695">
        <f t="shared" si="12"/>
        <v>100</v>
      </c>
      <c r="T43" s="1694" t="s">
        <v>28</v>
      </c>
      <c r="U43" s="1695">
        <f t="shared" si="13"/>
        <v>100</v>
      </c>
      <c r="V43" s="1694" t="s">
        <v>28</v>
      </c>
      <c r="W43" s="1695">
        <f t="shared" si="14"/>
        <v>100</v>
      </c>
      <c r="X43" s="1634"/>
      <c r="Y43" s="3634"/>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32"/>
      <c r="Q44" s="1603">
        <f t="shared" si="11"/>
        <v>111</v>
      </c>
      <c r="R44" s="1649" t="s">
        <v>28</v>
      </c>
      <c r="S44" s="1650">
        <f t="shared" si="12"/>
        <v>100</v>
      </c>
      <c r="T44" s="1649" t="s">
        <v>28</v>
      </c>
      <c r="U44" s="1650">
        <f t="shared" si="13"/>
        <v>100</v>
      </c>
      <c r="V44" s="1649" t="s">
        <v>28</v>
      </c>
      <c r="W44" s="1650">
        <f t="shared" si="14"/>
        <v>100</v>
      </c>
      <c r="X44" s="1651"/>
      <c r="Y44" s="3634"/>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32"/>
      <c r="Q45" s="1584">
        <f t="shared" si="11"/>
        <v>111</v>
      </c>
      <c r="R45" s="1694" t="s">
        <v>28</v>
      </c>
      <c r="S45" s="1695">
        <f t="shared" si="12"/>
        <v>100</v>
      </c>
      <c r="T45" s="1694" t="s">
        <v>28</v>
      </c>
      <c r="U45" s="1695">
        <f t="shared" si="13"/>
        <v>100</v>
      </c>
      <c r="V45" s="1694" t="s">
        <v>28</v>
      </c>
      <c r="W45" s="1695">
        <f t="shared" si="14"/>
        <v>100</v>
      </c>
      <c r="X45" s="1634"/>
      <c r="Y45" s="3634"/>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33"/>
      <c r="Q46" s="1584">
        <f t="shared" si="11"/>
        <v>111</v>
      </c>
      <c r="R46" s="1694" t="s">
        <v>27</v>
      </c>
      <c r="S46" s="1695">
        <f t="shared" si="12"/>
        <v>100</v>
      </c>
      <c r="T46" s="1694" t="s">
        <v>27</v>
      </c>
      <c r="U46" s="1695">
        <f t="shared" si="13"/>
        <v>100</v>
      </c>
      <c r="V46" s="1694" t="s">
        <v>27</v>
      </c>
      <c r="W46" s="1695">
        <f t="shared" si="14"/>
        <v>100</v>
      </c>
      <c r="X46" s="1634"/>
      <c r="Y46" s="3635"/>
      <c r="Z46" s="1696">
        <f t="shared" si="15"/>
        <v>111</v>
      </c>
      <c r="AA46" s="1697">
        <f t="shared" si="3"/>
        <v>1</v>
      </c>
      <c r="AB46" s="1697">
        <f t="shared" si="4"/>
        <v>1</v>
      </c>
      <c r="AC46" s="1697">
        <f t="shared" si="5"/>
        <v>1</v>
      </c>
    </row>
    <row r="47" spans="1:29" ht="15">
      <c r="A47" s="1750" t="s">
        <v>2230</v>
      </c>
      <c r="B47" s="1751"/>
      <c r="C47" s="1752" t="s">
        <v>26</v>
      </c>
      <c r="D47" s="1753"/>
      <c r="E47" s="1754"/>
      <c r="F47" s="1755"/>
      <c r="G47" s="1756"/>
      <c r="H47" s="1757"/>
      <c r="I47" s="1754"/>
      <c r="J47" s="1757"/>
      <c r="K47" s="1758"/>
      <c r="L47" s="2970"/>
      <c r="N47" s="2965"/>
      <c r="P47" s="3626" t="str">
        <f>A47</f>
        <v>成交单价（元/平方米）</v>
      </c>
      <c r="Q47" s="3626"/>
      <c r="R47" s="3622">
        <f>E47</f>
        <v>0</v>
      </c>
      <c r="S47" s="3622"/>
      <c r="T47" s="3622">
        <f>G47</f>
        <v>0</v>
      </c>
      <c r="U47" s="3622"/>
      <c r="V47" s="3622">
        <f>I47</f>
        <v>0</v>
      </c>
      <c r="W47" s="3622"/>
      <c r="X47" s="1760"/>
      <c r="Y47" s="1761"/>
      <c r="Z47" s="1760"/>
      <c r="AA47" s="1760"/>
      <c r="AB47" s="1760"/>
      <c r="AC47" s="1760"/>
    </row>
    <row r="48" spans="1:29" ht="15.75" thickBot="1">
      <c r="A48" s="1762" t="s">
        <v>2231</v>
      </c>
      <c r="B48" s="1763"/>
      <c r="C48" s="1764" t="e">
        <f>R49</f>
        <v>#DIV/0!</v>
      </c>
      <c r="D48" s="1765" t="s">
        <v>2687</v>
      </c>
      <c r="E48" s="1766" t="e">
        <f>R48</f>
        <v>#DIV/0!</v>
      </c>
      <c r="F48" s="1767"/>
      <c r="G48" s="1764" t="e">
        <f>T48</f>
        <v>#DIV/0!</v>
      </c>
      <c r="H48" s="1767"/>
      <c r="I48" s="1766" t="e">
        <f>V48</f>
        <v>#DIV/0!</v>
      </c>
      <c r="J48" s="1767"/>
      <c r="K48" s="2480">
        <f>F48+H48+J48</f>
        <v>0</v>
      </c>
      <c r="L48" s="2970"/>
      <c r="P48" s="3626" t="str">
        <f>A48</f>
        <v>比较价值（元/平方米）</v>
      </c>
      <c r="Q48" s="3626"/>
      <c r="R48" s="3622" t="e">
        <f>IF(E1="售价",ROUND(PRODUCT(R47,AA7:AA46),0),ROUND(PRODUCT(R47,AA7:AA46),1))</f>
        <v>#DIV/0!</v>
      </c>
      <c r="S48" s="3622"/>
      <c r="T48" s="3620" t="e">
        <f>IF(E1="售价",ROUND(PRODUCT(T47,AB7:AB46),0),ROUND(PRODUCT(T47,AB7:AB46),1))</f>
        <v>#DIV/0!</v>
      </c>
      <c r="U48" s="3621"/>
      <c r="V48" s="3622" t="e">
        <f>IF(E1="售价",ROUND(PRODUCT(V47,AC7:AC46),0),ROUND(PRODUCT(V47,AC7:AC46),1))</f>
        <v>#DIV/0!</v>
      </c>
      <c r="W48" s="3622"/>
      <c r="X48" s="1760"/>
      <c r="Y48" s="1760"/>
      <c r="Z48" s="1760"/>
      <c r="AA48" s="1760"/>
      <c r="AB48" s="1760"/>
      <c r="AC48" s="1760"/>
    </row>
    <row r="49" spans="1:29" ht="15.75" thickBot="1">
      <c r="A49" s="1768" t="s">
        <v>2232</v>
      </c>
      <c r="B49" s="1769"/>
      <c r="C49" s="1770" t="e">
        <f>R49</f>
        <v>#DIV/0!</v>
      </c>
      <c r="D49" s="1771"/>
      <c r="E49" s="1771"/>
      <c r="F49" s="1771"/>
      <c r="G49" s="1771"/>
      <c r="H49" s="1771"/>
      <c r="I49" s="1771"/>
      <c r="J49" s="1771"/>
      <c r="K49" s="1772"/>
      <c r="L49" s="2970"/>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0"/>
      <c r="Y49" s="1760"/>
      <c r="Z49" s="1760"/>
      <c r="AA49" s="1760"/>
      <c r="AB49" s="1760"/>
      <c r="AC49" s="1760"/>
    </row>
    <row r="50" spans="1:29">
      <c r="G50" s="2974"/>
    </row>
    <row r="52" spans="1:29" ht="13.5" customHeight="1">
      <c r="C52" s="383" t="s">
        <v>2233</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2234</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2235</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2236</v>
      </c>
      <c r="B57" s="1760"/>
      <c r="C57" s="1786"/>
      <c r="D57" s="1786"/>
      <c r="E57" s="1786"/>
      <c r="F57" s="1786"/>
      <c r="G57" s="1786"/>
      <c r="H57" s="1786"/>
      <c r="I57" s="1786"/>
      <c r="J57" s="1786"/>
      <c r="K57" s="1787"/>
      <c r="L57" s="2972"/>
      <c r="M57" s="2973"/>
      <c r="N57" s="2973"/>
      <c r="O57" s="2973"/>
      <c r="P57" s="1789"/>
      <c r="Q57" s="1790"/>
    </row>
    <row r="58" spans="1:29" s="1796" customFormat="1" ht="15">
      <c r="A58" s="1791" t="s">
        <v>2237</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2239</v>
      </c>
      <c r="B61" s="1798"/>
      <c r="C61" s="1809" t="s">
        <v>2240</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2241</v>
      </c>
      <c r="B63" s="1816" t="s">
        <v>2206</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2210</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1650</v>
      </c>
      <c r="C82" s="1828" t="s">
        <v>2257</v>
      </c>
      <c r="D82" s="1828" t="s">
        <v>2258</v>
      </c>
      <c r="E82" s="1828" t="s">
        <v>2259</v>
      </c>
      <c r="F82" s="1828" t="s">
        <v>2260</v>
      </c>
      <c r="G82" s="1828" t="s">
        <v>2261</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2263</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2264</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2216</v>
      </c>
      <c r="B100" s="1816" t="s">
        <v>2265</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2267</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2268</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2269</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2271</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2272</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2273</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2227</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2274</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2276</v>
      </c>
    </row>
    <row r="137" spans="1:17" ht="15">
      <c r="B137" s="1880" t="s">
        <v>2277</v>
      </c>
      <c r="C137" s="1881"/>
      <c r="D137" s="1881"/>
      <c r="E137" s="1881"/>
      <c r="F137" s="1881"/>
      <c r="G137" s="1882"/>
      <c r="H137" s="1883"/>
      <c r="I137" s="1884" t="s">
        <v>2278</v>
      </c>
      <c r="J137" s="1881"/>
      <c r="K137" s="1885"/>
    </row>
    <row r="138" spans="1:17" ht="15">
      <c r="B138" s="1886"/>
      <c r="C138" s="1887" t="s">
        <v>2279</v>
      </c>
      <c r="D138" s="1887" t="s">
        <v>2280</v>
      </c>
      <c r="E138" s="1888" t="s">
        <v>2281</v>
      </c>
      <c r="F138" s="1889" t="s">
        <v>2282</v>
      </c>
      <c r="G138" s="1887" t="s">
        <v>2280</v>
      </c>
      <c r="H138" s="1890" t="s">
        <v>2281</v>
      </c>
      <c r="I138" s="1891"/>
      <c r="J138" s="1887" t="s">
        <v>2283</v>
      </c>
      <c r="K138" s="1890" t="s">
        <v>2284</v>
      </c>
    </row>
    <row r="139" spans="1:17" ht="15">
      <c r="B139" s="1892">
        <v>6</v>
      </c>
      <c r="C139" s="1893">
        <v>96</v>
      </c>
      <c r="D139" s="1894" t="s">
        <v>2285</v>
      </c>
      <c r="E139" s="1895">
        <v>100</v>
      </c>
      <c r="F139" s="1896">
        <v>102.5</v>
      </c>
      <c r="G139" s="1894" t="s">
        <v>2285</v>
      </c>
      <c r="H139" s="1897">
        <v>105</v>
      </c>
      <c r="I139" s="1898" t="s">
        <v>2286</v>
      </c>
      <c r="J139" s="1893">
        <v>20</v>
      </c>
      <c r="K139" s="1899">
        <f>C145/(J139-2)</f>
        <v>4.0555555555555553E-3</v>
      </c>
    </row>
    <row r="140" spans="1:17" ht="15">
      <c r="B140" s="1900">
        <v>5</v>
      </c>
      <c r="C140" s="1901">
        <v>100</v>
      </c>
      <c r="D140" s="1901"/>
      <c r="E140" s="1902"/>
      <c r="F140" s="1903">
        <v>102</v>
      </c>
      <c r="G140" s="1901"/>
      <c r="H140" s="1904"/>
      <c r="I140" s="1905" t="s">
        <v>2287</v>
      </c>
      <c r="J140" s="1906">
        <f>ROUNDUP((J139-1)/2,0)</f>
        <v>10</v>
      </c>
      <c r="K140" s="1907">
        <v>100</v>
      </c>
    </row>
    <row r="141" spans="1:17" ht="15">
      <c r="B141" s="1900">
        <v>4</v>
      </c>
      <c r="C141" s="1901">
        <v>102</v>
      </c>
      <c r="D141" s="1901"/>
      <c r="E141" s="1902"/>
      <c r="F141" s="1903">
        <v>101.5</v>
      </c>
      <c r="G141" s="1901"/>
      <c r="H141" s="1904"/>
      <c r="I141" s="1905" t="s">
        <v>2288</v>
      </c>
      <c r="J141" s="1906">
        <v>1</v>
      </c>
      <c r="K141" s="1908">
        <f>ROUND(100+(J141-J140)*K139*100,1)</f>
        <v>96.4</v>
      </c>
    </row>
    <row r="142" spans="1:17" ht="15">
      <c r="B142" s="1900">
        <v>3</v>
      </c>
      <c r="C142" s="1901">
        <v>103</v>
      </c>
      <c r="D142" s="1901"/>
      <c r="E142" s="1902"/>
      <c r="F142" s="1903">
        <v>101</v>
      </c>
      <c r="G142" s="1901"/>
      <c r="H142" s="1904"/>
      <c r="I142" s="1905" t="s">
        <v>2289</v>
      </c>
      <c r="J142" s="1906">
        <f>J139</f>
        <v>20</v>
      </c>
      <c r="K142" s="1909">
        <v>95</v>
      </c>
    </row>
    <row r="143" spans="1:17" ht="15">
      <c r="B143" s="1900">
        <v>2</v>
      </c>
      <c r="C143" s="1901">
        <v>100</v>
      </c>
      <c r="D143" s="1901"/>
      <c r="E143" s="1902"/>
      <c r="F143" s="1903">
        <v>100.5</v>
      </c>
      <c r="G143" s="1901"/>
      <c r="H143" s="1904"/>
      <c r="I143" s="1905" t="s">
        <v>2290</v>
      </c>
      <c r="J143" s="1901">
        <v>15</v>
      </c>
      <c r="K143" s="1908">
        <f>ROUND(100+(J143-J140)*K139*100,1)</f>
        <v>102</v>
      </c>
    </row>
    <row r="144" spans="1:17" ht="15">
      <c r="B144" s="1900">
        <v>1</v>
      </c>
      <c r="C144" s="1901">
        <v>98</v>
      </c>
      <c r="D144" s="1388" t="s">
        <v>2291</v>
      </c>
      <c r="E144" s="1902">
        <v>102</v>
      </c>
      <c r="F144" s="1910">
        <v>100</v>
      </c>
      <c r="G144" s="1388" t="s">
        <v>2291</v>
      </c>
      <c r="H144" s="1904">
        <v>105</v>
      </c>
      <c r="I144" s="1905" t="s">
        <v>2290</v>
      </c>
      <c r="J144" s="1901">
        <v>18</v>
      </c>
      <c r="K144" s="1908">
        <f>ROUND(100+(J144-J140)*K139*100,1)</f>
        <v>103.2</v>
      </c>
    </row>
    <row r="145" spans="2:11" ht="15.75" thickBot="1">
      <c r="B145" s="1911" t="s">
        <v>2292</v>
      </c>
      <c r="C145" s="1912">
        <f>ROUND(MAX(C139:C144)/MIN(C139:C144)-1,3)</f>
        <v>7.2999999999999995E-2</v>
      </c>
      <c r="D145" s="1913"/>
      <c r="E145" s="1913"/>
      <c r="F145" s="1542" t="s">
        <v>2293</v>
      </c>
      <c r="G145" s="1914"/>
      <c r="H145" s="1915"/>
      <c r="I145" s="1916" t="s">
        <v>2290</v>
      </c>
      <c r="J145" s="1917">
        <v>8</v>
      </c>
      <c r="K145" s="1918">
        <f>ROUND(100+(J145-J140)*K139*100,1)</f>
        <v>99.2</v>
      </c>
    </row>
    <row r="147" spans="2:11">
      <c r="B147" s="1541" t="s">
        <v>2294</v>
      </c>
    </row>
    <row r="148" spans="2:11">
      <c r="B148" s="1541"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4" priority="20" stopIfTrue="1" operator="containsText" text="超过">
      <formula>NOT(ISERROR(SEARCH("超过",F52)))</formula>
    </cfRule>
  </conditionalFormatting>
  <conditionalFormatting sqref="J54">
    <cfRule type="containsText" dxfId="173" priority="19" stopIfTrue="1" operator="containsText" text="超过">
      <formula>NOT(ISERROR(SEARCH("超过",J54)))</formula>
    </cfRule>
  </conditionalFormatting>
  <conditionalFormatting sqref="H54">
    <cfRule type="containsText" dxfId="172" priority="18" stopIfTrue="1" operator="containsText" text="超过">
      <formula>NOT(ISERROR(SEARCH("超过",H54)))</formula>
    </cfRule>
  </conditionalFormatting>
  <conditionalFormatting sqref="F54">
    <cfRule type="containsText" dxfId="171" priority="17" stopIfTrue="1" operator="containsText" text="超过">
      <formula>NOT(ISERROR(SEARCH("超过",F54)))</formula>
    </cfRule>
  </conditionalFormatting>
  <conditionalFormatting sqref="F53 H53 J53">
    <cfRule type="containsText" dxfId="170" priority="16" stopIfTrue="1" operator="containsText" text="超过">
      <formula>NOT(ISERROR(SEARCH("超过",F53)))</formula>
    </cfRule>
  </conditionalFormatting>
  <conditionalFormatting sqref="E52">
    <cfRule type="expression" dxfId="169" priority="15" stopIfTrue="1">
      <formula>$F$52="超过30%"</formula>
    </cfRule>
  </conditionalFormatting>
  <conditionalFormatting sqref="G54">
    <cfRule type="expression" dxfId="168" priority="13" stopIfTrue="1">
      <formula>$H$54="超过30%"</formula>
    </cfRule>
  </conditionalFormatting>
  <conditionalFormatting sqref="E53">
    <cfRule type="expression" dxfId="167" priority="12" stopIfTrue="1">
      <formula>$F$53="超过20%"</formula>
    </cfRule>
  </conditionalFormatting>
  <conditionalFormatting sqref="E54">
    <cfRule type="expression" dxfId="166" priority="11" stopIfTrue="1">
      <formula>$F$54="超过30%"</formula>
    </cfRule>
  </conditionalFormatting>
  <conditionalFormatting sqref="G52">
    <cfRule type="expression" dxfId="165" priority="10" stopIfTrue="1">
      <formula>$H$52="超过30%"</formula>
    </cfRule>
  </conditionalFormatting>
  <conditionalFormatting sqref="G53">
    <cfRule type="expression" dxfId="164" priority="9" stopIfTrue="1">
      <formula>$H$53="超过20%"</formula>
    </cfRule>
  </conditionalFormatting>
  <conditionalFormatting sqref="I52">
    <cfRule type="expression" dxfId="163" priority="8" stopIfTrue="1">
      <formula>$J$52="超过30%"</formula>
    </cfRule>
  </conditionalFormatting>
  <conditionalFormatting sqref="I53">
    <cfRule type="expression" dxfId="162" priority="7" stopIfTrue="1">
      <formula>$J$53="超过20%"</formula>
    </cfRule>
  </conditionalFormatting>
  <conditionalFormatting sqref="I54">
    <cfRule type="expression" dxfId="161" priority="6"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2296</v>
      </c>
      <c r="C1" s="1607"/>
      <c r="D1" s="2438"/>
      <c r="E1" s="1609"/>
      <c r="F1" s="1610" t="s">
        <v>2185</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2186</v>
      </c>
      <c r="D3" s="1628">
        <f>IF(C1="仅计算典型户型",'数据-取费表'!E5,'数据-取费表'!B5)</f>
        <v>58.79</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2187</v>
      </c>
      <c r="B4" s="1632"/>
      <c r="C4" s="3653" t="s">
        <v>2188</v>
      </c>
      <c r="D4" s="3654"/>
      <c r="E4" s="3655" t="s">
        <v>2189</v>
      </c>
      <c r="F4" s="3656"/>
      <c r="G4" s="3653" t="s">
        <v>2190</v>
      </c>
      <c r="H4" s="3654"/>
      <c r="I4" s="3653" t="s">
        <v>2191</v>
      </c>
      <c r="J4" s="3654"/>
      <c r="K4" s="1934" t="s">
        <v>2192</v>
      </c>
      <c r="L4" s="2964"/>
      <c r="M4" s="2965"/>
      <c r="N4" s="2965"/>
      <c r="O4" s="2965"/>
      <c r="P4" s="3657" t="s">
        <v>2193</v>
      </c>
      <c r="Q4" s="3658"/>
      <c r="R4" s="3642" t="s">
        <v>2189</v>
      </c>
      <c r="S4" s="3643"/>
      <c r="T4" s="3642" t="s">
        <v>2190</v>
      </c>
      <c r="U4" s="3643"/>
      <c r="V4" s="3663" t="s">
        <v>2191</v>
      </c>
      <c r="W4" s="3663"/>
      <c r="X4" s="2043"/>
      <c r="Y4" s="3642" t="s">
        <v>2193</v>
      </c>
      <c r="Z4" s="3643"/>
      <c r="AA4" s="3650" t="s">
        <v>2189</v>
      </c>
      <c r="AB4" s="3663" t="s">
        <v>2190</v>
      </c>
      <c r="AC4" s="3650" t="s">
        <v>2191</v>
      </c>
    </row>
    <row r="5" spans="1:29" ht="15">
      <c r="A5" s="1636"/>
      <c r="B5" s="1637"/>
      <c r="C5" s="3638" t="s">
        <v>2194</v>
      </c>
      <c r="D5" s="3639"/>
      <c r="E5" s="3664" t="s">
        <v>2195</v>
      </c>
      <c r="F5" s="3665"/>
      <c r="G5" s="3638" t="s">
        <v>2196</v>
      </c>
      <c r="H5" s="3639"/>
      <c r="I5" s="3638" t="s">
        <v>2197</v>
      </c>
      <c r="J5" s="3639"/>
      <c r="K5" s="1934"/>
      <c r="L5" s="2964"/>
      <c r="M5" s="2965"/>
      <c r="N5" s="2965"/>
      <c r="O5" s="2965"/>
      <c r="P5" s="3659"/>
      <c r="Q5" s="3660"/>
      <c r="R5" s="3644"/>
      <c r="S5" s="3645"/>
      <c r="T5" s="3644"/>
      <c r="U5" s="3645"/>
      <c r="V5" s="3663"/>
      <c r="W5" s="3663"/>
      <c r="X5" s="2043"/>
      <c r="Y5" s="3644"/>
      <c r="Z5" s="3645"/>
      <c r="AA5" s="3651"/>
      <c r="AB5" s="3663"/>
      <c r="AC5" s="3651"/>
    </row>
    <row r="6" spans="1:29" ht="15.75" thickBot="1">
      <c r="A6" s="1639"/>
      <c r="B6" s="1640"/>
      <c r="C6" s="3636" t="s">
        <v>2198</v>
      </c>
      <c r="D6" s="3637"/>
      <c r="E6" s="3666" t="s">
        <v>2198</v>
      </c>
      <c r="F6" s="3667"/>
      <c r="G6" s="3636" t="s">
        <v>2198</v>
      </c>
      <c r="H6" s="3637"/>
      <c r="I6" s="3636" t="s">
        <v>2198</v>
      </c>
      <c r="J6" s="3637"/>
      <c r="K6" s="1934" t="s">
        <v>2199</v>
      </c>
      <c r="L6" s="2964"/>
      <c r="M6" s="2965"/>
      <c r="N6" s="2965"/>
      <c r="O6" s="2965"/>
      <c r="P6" s="3661"/>
      <c r="Q6" s="3662"/>
      <c r="R6" s="3644"/>
      <c r="S6" s="3645"/>
      <c r="T6" s="3646"/>
      <c r="U6" s="3647"/>
      <c r="V6" s="3663"/>
      <c r="W6" s="3663"/>
      <c r="X6" s="2043"/>
      <c r="Y6" s="3646"/>
      <c r="Z6" s="3647"/>
      <c r="AA6" s="3652"/>
      <c r="AB6" s="3663"/>
      <c r="AC6" s="3652"/>
    </row>
    <row r="7" spans="1:29" s="1653" customFormat="1" ht="15.75" thickBot="1">
      <c r="A7" s="1641" t="s">
        <v>2200</v>
      </c>
      <c r="B7" s="1642"/>
      <c r="C7" s="1643">
        <f>'数据-取费表'!B2</f>
        <v>44545</v>
      </c>
      <c r="D7" s="1644">
        <v>100</v>
      </c>
      <c r="E7" s="1645"/>
      <c r="F7" s="1646">
        <f>SUMIF(58:58,YEAR(E7)&amp;"-"&amp;MONTH(E7),59:59)</f>
        <v>0</v>
      </c>
      <c r="G7" s="1645"/>
      <c r="H7" s="1644">
        <f>SUMIF(58:58,YEAR(G7)&amp;"-"&amp;MONTH(G7),59:59)</f>
        <v>0</v>
      </c>
      <c r="I7" s="1645"/>
      <c r="J7" s="1644">
        <f>SUMIF(58:58,YEAR(I7)&amp;"-"&amp;MONTH(I7),59:59)</f>
        <v>0</v>
      </c>
      <c r="K7" s="1936"/>
      <c r="L7" s="2964"/>
      <c r="M7" s="2937"/>
      <c r="N7" s="2937"/>
      <c r="O7" s="2937"/>
      <c r="P7" s="3640" t="s">
        <v>2201</v>
      </c>
      <c r="Q7" s="3648"/>
      <c r="R7" s="1649" t="s">
        <v>25</v>
      </c>
      <c r="S7" s="1650">
        <f t="shared" ref="S7:S15" si="0">F7</f>
        <v>0</v>
      </c>
      <c r="T7" s="1649" t="s">
        <v>25</v>
      </c>
      <c r="U7" s="1650">
        <f t="shared" ref="U7:U15" si="1">H7</f>
        <v>0</v>
      </c>
      <c r="V7" s="1649" t="s">
        <v>25</v>
      </c>
      <c r="W7" s="1650">
        <f t="shared" ref="W7:W15" si="2">J7</f>
        <v>0</v>
      </c>
      <c r="X7" s="1651"/>
      <c r="Y7" s="3640" t="s">
        <v>2201</v>
      </c>
      <c r="Z7" s="3641"/>
      <c r="AA7" s="1652" t="e">
        <f>D7/F7</f>
        <v>#DIV/0!</v>
      </c>
      <c r="AB7" s="1652" t="e">
        <f>D7/H7</f>
        <v>#DIV/0!</v>
      </c>
      <c r="AC7" s="1652" t="e">
        <f>D7/J7</f>
        <v>#DIV/0!</v>
      </c>
    </row>
    <row r="8" spans="1:29" s="1653" customFormat="1" ht="15.75" thickBot="1">
      <c r="A8" s="1641" t="s">
        <v>2202</v>
      </c>
      <c r="B8" s="1642"/>
      <c r="C8" s="1654" t="s">
        <v>2203</v>
      </c>
      <c r="D8" s="1644">
        <v>100</v>
      </c>
      <c r="E8" s="1654"/>
      <c r="F8" s="1646">
        <f>SUMIF(61:61,E8,62:62)-SUMIF(61:61,C8,62:62)+100</f>
        <v>0</v>
      </c>
      <c r="G8" s="1654"/>
      <c r="H8" s="1644">
        <f>SUMIF(61:61,G8,62:62)-SUMIF(61:61,C8,62:62)+100</f>
        <v>0</v>
      </c>
      <c r="I8" s="1654"/>
      <c r="J8" s="1644">
        <f>SUMIF(61:61,I8,62:62)-SUMIF(61:61,C8,62:62)+100</f>
        <v>0</v>
      </c>
      <c r="K8" s="1936"/>
      <c r="L8" s="2964"/>
      <c r="M8" s="2937"/>
      <c r="N8" s="2937"/>
      <c r="O8" s="2937"/>
      <c r="P8" s="3640" t="s">
        <v>2204</v>
      </c>
      <c r="Q8" s="3641"/>
      <c r="R8" s="1649" t="s">
        <v>25</v>
      </c>
      <c r="S8" s="1650">
        <f t="shared" si="0"/>
        <v>0</v>
      </c>
      <c r="T8" s="1649" t="s">
        <v>25</v>
      </c>
      <c r="U8" s="1650">
        <f t="shared" si="1"/>
        <v>0</v>
      </c>
      <c r="V8" s="1649" t="s">
        <v>25</v>
      </c>
      <c r="W8" s="1650">
        <f t="shared" si="2"/>
        <v>0</v>
      </c>
      <c r="X8" s="1651"/>
      <c r="Y8" s="3640" t="s">
        <v>2204</v>
      </c>
      <c r="Z8" s="3641"/>
      <c r="AA8" s="1652" t="e">
        <f t="shared" ref="AA8:AA46" si="3">D8/F8</f>
        <v>#DIV/0!</v>
      </c>
      <c r="AB8" s="1652" t="e">
        <f t="shared" ref="AB8:AB46" si="4">D8/H8</f>
        <v>#DIV/0!</v>
      </c>
      <c r="AC8" s="1652" t="e">
        <f t="shared" ref="AC8:AC46" si="5">D8/J8</f>
        <v>#DIV/0!</v>
      </c>
    </row>
    <row r="9" spans="1:29" s="1653" customFormat="1">
      <c r="A9" s="2035" t="s">
        <v>2205</v>
      </c>
      <c r="B9" s="1656" t="s">
        <v>2206</v>
      </c>
      <c r="C9" s="1657"/>
      <c r="D9" s="1658">
        <v>100</v>
      </c>
      <c r="E9" s="1659"/>
      <c r="F9" s="1660">
        <f>SUMIF(63:63,E9,64:64)-SUMIF(63:63,C9,64:64)+100</f>
        <v>100</v>
      </c>
      <c r="G9" s="1659"/>
      <c r="H9" s="1658">
        <f>SUMIF(63:63,G9,64:64)-SUMIF(63:63,C9,64:64)+100</f>
        <v>100</v>
      </c>
      <c r="I9" s="1659"/>
      <c r="J9" s="1658">
        <f>SUMIF(63:63,I9,64:64)-SUMIF(63:63,C9,64:64)+100</f>
        <v>100</v>
      </c>
      <c r="K9" s="1936"/>
      <c r="L9" s="2964"/>
      <c r="M9" s="2937"/>
      <c r="N9" s="2937"/>
      <c r="O9" s="2937"/>
      <c r="P9" s="3649" t="s">
        <v>2207</v>
      </c>
      <c r="Q9" s="2034" t="str">
        <f t="shared" ref="Q9:Q15" si="6">B9</f>
        <v>用途</v>
      </c>
      <c r="R9" s="1649" t="s">
        <v>25</v>
      </c>
      <c r="S9" s="1650">
        <f t="shared" si="0"/>
        <v>100</v>
      </c>
      <c r="T9" s="1649" t="s">
        <v>25</v>
      </c>
      <c r="U9" s="1650">
        <f t="shared" si="1"/>
        <v>100</v>
      </c>
      <c r="V9" s="1649" t="s">
        <v>25</v>
      </c>
      <c r="W9" s="1650">
        <f t="shared" si="2"/>
        <v>100</v>
      </c>
      <c r="X9" s="1651"/>
      <c r="Y9" s="3532" t="s">
        <v>2208</v>
      </c>
      <c r="Z9" s="1662" t="str">
        <f t="shared" ref="Z9:Z15" si="7">Q9</f>
        <v>用途</v>
      </c>
      <c r="AA9" s="1652">
        <f t="shared" si="3"/>
        <v>1</v>
      </c>
      <c r="AB9" s="1652">
        <f t="shared" si="4"/>
        <v>1</v>
      </c>
      <c r="AC9" s="1652">
        <f t="shared" si="5"/>
        <v>1</v>
      </c>
    </row>
    <row r="10" spans="1:29" s="1670" customFormat="1" ht="27">
      <c r="A10" s="1663"/>
      <c r="B10" s="1664" t="s">
        <v>2209</v>
      </c>
      <c r="C10" s="1665"/>
      <c r="D10" s="1666">
        <v>100</v>
      </c>
      <c r="E10" s="1667"/>
      <c r="F10" s="1668">
        <f>SUMIF(65:65,E10,66:66)-SUMIF(65:65,C10,66:66)+100</f>
        <v>100</v>
      </c>
      <c r="G10" s="1665"/>
      <c r="H10" s="1666">
        <f>SUMIF(65:65,G10,66:66)-SUMIF(65:65,C10,66:66)+100</f>
        <v>100</v>
      </c>
      <c r="I10" s="1665"/>
      <c r="J10" s="1666">
        <f>SUMIF(65:65,I10,66:66)-SUMIF(65:65,C10,66:66)+100</f>
        <v>100</v>
      </c>
      <c r="K10" s="1961"/>
      <c r="L10" s="2966"/>
      <c r="M10" s="2967"/>
      <c r="N10" s="2967"/>
      <c r="O10" s="2967"/>
      <c r="P10" s="3649"/>
      <c r="Q10" s="2034" t="str">
        <f t="shared" si="6"/>
        <v>土地使用年限（年）</v>
      </c>
      <c r="R10" s="1649" t="s">
        <v>25</v>
      </c>
      <c r="S10" s="1650">
        <f t="shared" si="0"/>
        <v>100</v>
      </c>
      <c r="T10" s="1649" t="s">
        <v>25</v>
      </c>
      <c r="U10" s="1650">
        <f t="shared" si="1"/>
        <v>100</v>
      </c>
      <c r="V10" s="1649" t="s">
        <v>25</v>
      </c>
      <c r="W10" s="1650">
        <f t="shared" si="2"/>
        <v>100</v>
      </c>
      <c r="X10" s="1651"/>
      <c r="Y10" s="3532"/>
      <c r="Z10" s="1662" t="str">
        <f t="shared" si="7"/>
        <v>土地使用年限（年）</v>
      </c>
      <c r="AA10" s="1652">
        <f t="shared" si="3"/>
        <v>1</v>
      </c>
      <c r="AB10" s="1652">
        <f t="shared" si="4"/>
        <v>1</v>
      </c>
      <c r="AC10" s="1652">
        <f t="shared" si="5"/>
        <v>1</v>
      </c>
    </row>
    <row r="11" spans="1:29" ht="15">
      <c r="A11" s="1671"/>
      <c r="B11" s="1664" t="s">
        <v>2210</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8"/>
      <c r="M11" s="2965"/>
      <c r="N11" s="2965"/>
      <c r="O11" s="2965"/>
      <c r="P11" s="3649"/>
      <c r="Q11" s="2034" t="str">
        <f t="shared" si="6"/>
        <v>容积率</v>
      </c>
      <c r="R11" s="1649" t="s">
        <v>25</v>
      </c>
      <c r="S11" s="1650" t="e">
        <f t="shared" si="0"/>
        <v>#N/A</v>
      </c>
      <c r="T11" s="1649" t="s">
        <v>25</v>
      </c>
      <c r="U11" s="1650" t="e">
        <f t="shared" si="1"/>
        <v>#N/A</v>
      </c>
      <c r="V11" s="1649" t="s">
        <v>25</v>
      </c>
      <c r="W11" s="1650" t="e">
        <f t="shared" si="2"/>
        <v>#N/A</v>
      </c>
      <c r="X11" s="1651"/>
      <c r="Y11" s="3532"/>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49"/>
      <c r="Q12" s="2034">
        <f t="shared" si="6"/>
        <v>111</v>
      </c>
      <c r="R12" s="1649" t="s">
        <v>25</v>
      </c>
      <c r="S12" s="1650">
        <f t="shared" si="0"/>
        <v>100</v>
      </c>
      <c r="T12" s="1649" t="s">
        <v>25</v>
      </c>
      <c r="U12" s="1650">
        <f t="shared" si="1"/>
        <v>100</v>
      </c>
      <c r="V12" s="1649" t="s">
        <v>25</v>
      </c>
      <c r="W12" s="1650">
        <f t="shared" si="2"/>
        <v>100</v>
      </c>
      <c r="X12" s="1651"/>
      <c r="Y12" s="3532"/>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49"/>
      <c r="Q13" s="2034">
        <f t="shared" si="6"/>
        <v>111</v>
      </c>
      <c r="R13" s="1649" t="s">
        <v>25</v>
      </c>
      <c r="S13" s="1650">
        <f t="shared" si="0"/>
        <v>100</v>
      </c>
      <c r="T13" s="1649" t="s">
        <v>25</v>
      </c>
      <c r="U13" s="1650">
        <f t="shared" si="1"/>
        <v>100</v>
      </c>
      <c r="V13" s="1649" t="s">
        <v>25</v>
      </c>
      <c r="W13" s="1650">
        <f t="shared" si="2"/>
        <v>100</v>
      </c>
      <c r="X13" s="1651"/>
      <c r="Y13" s="3532"/>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49"/>
      <c r="Q14" s="2034">
        <f t="shared" si="6"/>
        <v>111</v>
      </c>
      <c r="R14" s="1649" t="s">
        <v>25</v>
      </c>
      <c r="S14" s="1650">
        <f t="shared" si="0"/>
        <v>100</v>
      </c>
      <c r="T14" s="1649" t="s">
        <v>25</v>
      </c>
      <c r="U14" s="1650">
        <f t="shared" si="1"/>
        <v>100</v>
      </c>
      <c r="V14" s="1649" t="s">
        <v>25</v>
      </c>
      <c r="W14" s="1650">
        <f t="shared" si="2"/>
        <v>100</v>
      </c>
      <c r="X14" s="1651"/>
      <c r="Y14" s="3532"/>
      <c r="Z14" s="1662">
        <f t="shared" si="7"/>
        <v>111</v>
      </c>
      <c r="AA14" s="1652">
        <f t="shared" si="3"/>
        <v>1</v>
      </c>
      <c r="AB14" s="1652">
        <f t="shared" si="4"/>
        <v>1</v>
      </c>
      <c r="AC14" s="1652">
        <f t="shared" si="5"/>
        <v>1</v>
      </c>
    </row>
    <row r="15" spans="1:29" ht="71.25">
      <c r="A15" s="1686" t="s">
        <v>2211</v>
      </c>
      <c r="B15" s="1687" t="s">
        <v>2297</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9"/>
      <c r="M15" s="2965"/>
      <c r="N15" s="2965"/>
      <c r="O15" s="2965"/>
      <c r="P15" s="3627" t="s">
        <v>2212</v>
      </c>
      <c r="Q15" s="2040" t="str">
        <f t="shared" si="6"/>
        <v>商业繁华度</v>
      </c>
      <c r="R15" s="1694" t="s">
        <v>25</v>
      </c>
      <c r="S15" s="1695">
        <f t="shared" si="0"/>
        <v>100</v>
      </c>
      <c r="T15" s="1694" t="s">
        <v>25</v>
      </c>
      <c r="U15" s="1695">
        <f t="shared" si="1"/>
        <v>100</v>
      </c>
      <c r="V15" s="1694" t="s">
        <v>25</v>
      </c>
      <c r="W15" s="1695">
        <f t="shared" si="2"/>
        <v>100</v>
      </c>
      <c r="X15" s="2043"/>
      <c r="Y15" s="3629" t="s">
        <v>2212</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9"/>
      <c r="M16" s="2965"/>
      <c r="N16" s="2965"/>
      <c r="O16" s="2965"/>
      <c r="P16" s="3628"/>
      <c r="Q16" s="2040"/>
      <c r="R16" s="1694"/>
      <c r="S16" s="1695"/>
      <c r="T16" s="1694"/>
      <c r="U16" s="1695"/>
      <c r="V16" s="1694"/>
      <c r="W16" s="1695"/>
      <c r="X16" s="2043"/>
      <c r="Y16" s="3630"/>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9"/>
      <c r="M17" s="2965"/>
      <c r="N17" s="2965"/>
      <c r="O17" s="2965"/>
      <c r="P17" s="3628"/>
      <c r="Q17" s="2040" t="str">
        <f>B17</f>
        <v>交通便捷度</v>
      </c>
      <c r="R17" s="1694" t="s">
        <v>25</v>
      </c>
      <c r="S17" s="1695">
        <f>F17</f>
        <v>100</v>
      </c>
      <c r="T17" s="1694" t="s">
        <v>25</v>
      </c>
      <c r="U17" s="1695">
        <f>H17</f>
        <v>100</v>
      </c>
      <c r="V17" s="1694" t="s">
        <v>25</v>
      </c>
      <c r="W17" s="1695">
        <f>J17</f>
        <v>100</v>
      </c>
      <c r="X17" s="2043"/>
      <c r="Y17" s="3630"/>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9"/>
      <c r="M18" s="2965"/>
      <c r="N18" s="2965"/>
      <c r="O18" s="2965"/>
      <c r="P18" s="3628"/>
      <c r="Q18" s="2040"/>
      <c r="R18" s="1694"/>
      <c r="S18" s="1695"/>
      <c r="T18" s="1694"/>
      <c r="U18" s="1695"/>
      <c r="V18" s="1694"/>
      <c r="W18" s="1695"/>
      <c r="X18" s="2043"/>
      <c r="Y18" s="3630"/>
      <c r="Z18" s="2047"/>
      <c r="AA18" s="2038">
        <v>1</v>
      </c>
      <c r="AB18" s="2038">
        <v>1</v>
      </c>
      <c r="AC18" s="2038">
        <v>1</v>
      </c>
    </row>
    <row r="19" spans="1:29" ht="42.75">
      <c r="A19" s="1671"/>
      <c r="B19" s="1706" t="s">
        <v>2298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9"/>
      <c r="M19" s="2965"/>
      <c r="N19" s="2965"/>
      <c r="O19" s="2965"/>
      <c r="P19" s="3628"/>
      <c r="Q19" s="2040" t="str">
        <f>B19</f>
        <v>公共配套设施</v>
      </c>
      <c r="R19" s="1694" t="s">
        <v>25</v>
      </c>
      <c r="S19" s="1695">
        <f>F19</f>
        <v>100</v>
      </c>
      <c r="T19" s="1694" t="s">
        <v>25</v>
      </c>
      <c r="U19" s="1695">
        <f>H19</f>
        <v>100</v>
      </c>
      <c r="V19" s="1694" t="s">
        <v>25</v>
      </c>
      <c r="W19" s="1695">
        <f>J19</f>
        <v>100</v>
      </c>
      <c r="X19" s="2043"/>
      <c r="Y19" s="3630"/>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9"/>
      <c r="M20" s="2965"/>
      <c r="N20" s="2965"/>
      <c r="O20" s="2965"/>
      <c r="P20" s="3628"/>
      <c r="Q20" s="2040"/>
      <c r="R20" s="1694"/>
      <c r="S20" s="1695"/>
      <c r="T20" s="1694"/>
      <c r="U20" s="1695"/>
      <c r="V20" s="1694"/>
      <c r="W20" s="1695"/>
      <c r="X20" s="2043"/>
      <c r="Y20" s="3630"/>
      <c r="Z20" s="2047"/>
      <c r="AA20" s="2038">
        <v>1</v>
      </c>
      <c r="AB20" s="2038">
        <v>1</v>
      </c>
      <c r="AC20" s="2038">
        <v>1</v>
      </c>
    </row>
    <row r="21" spans="1:29" ht="28.5">
      <c r="A21" s="1671"/>
      <c r="B21" s="1719" t="s">
        <v>2299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9"/>
      <c r="M21" s="2965"/>
      <c r="N21" s="2965"/>
      <c r="O21" s="2965"/>
      <c r="P21" s="3628"/>
      <c r="Q21" s="2040" t="str">
        <f>B21</f>
        <v>基础设施水平</v>
      </c>
      <c r="R21" s="1694" t="s">
        <v>25</v>
      </c>
      <c r="S21" s="1695">
        <f>F21</f>
        <v>100</v>
      </c>
      <c r="T21" s="1694" t="s">
        <v>25</v>
      </c>
      <c r="U21" s="1695">
        <f>H21</f>
        <v>100</v>
      </c>
      <c r="V21" s="1694" t="s">
        <v>25</v>
      </c>
      <c r="W21" s="1695">
        <f>J21</f>
        <v>100</v>
      </c>
      <c r="X21" s="2043"/>
      <c r="Y21" s="3630"/>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9"/>
      <c r="M22" s="2965"/>
      <c r="N22" s="2965"/>
      <c r="O22" s="2965"/>
      <c r="P22" s="3628"/>
      <c r="Q22" s="2040"/>
      <c r="R22" s="1694"/>
      <c r="S22" s="1695"/>
      <c r="T22" s="1694"/>
      <c r="U22" s="1695"/>
      <c r="V22" s="1694"/>
      <c r="W22" s="1695"/>
      <c r="X22" s="2043"/>
      <c r="Y22" s="3630"/>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9"/>
      <c r="M23" s="2965"/>
      <c r="N23" s="2965"/>
      <c r="O23" s="2965"/>
      <c r="P23" s="3628"/>
      <c r="Q23" s="2040" t="str">
        <f>B23</f>
        <v>自然及人文环境</v>
      </c>
      <c r="R23" s="1694" t="s">
        <v>25</v>
      </c>
      <c r="S23" s="1695">
        <f>F23</f>
        <v>100</v>
      </c>
      <c r="T23" s="1694" t="s">
        <v>25</v>
      </c>
      <c r="U23" s="1695">
        <f>H23</f>
        <v>100</v>
      </c>
      <c r="V23" s="1694" t="s">
        <v>25</v>
      </c>
      <c r="W23" s="1695">
        <f>J23</f>
        <v>100</v>
      </c>
      <c r="X23" s="2043"/>
      <c r="Y23" s="3630"/>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9"/>
      <c r="M24" s="2965"/>
      <c r="N24" s="2965"/>
      <c r="O24" s="2965"/>
      <c r="P24" s="3628"/>
      <c r="Q24" s="2040"/>
      <c r="R24" s="1694"/>
      <c r="S24" s="1695"/>
      <c r="T24" s="1694"/>
      <c r="U24" s="1695"/>
      <c r="V24" s="1694"/>
      <c r="W24" s="1695"/>
      <c r="X24" s="2043"/>
      <c r="Y24" s="3630"/>
      <c r="Z24" s="2047"/>
      <c r="AA24" s="2038">
        <v>1</v>
      </c>
      <c r="AB24" s="2038">
        <v>1</v>
      </c>
      <c r="AC24" s="2038">
        <v>1</v>
      </c>
    </row>
    <row r="25" spans="1:29" ht="15">
      <c r="A25" s="1671"/>
      <c r="B25" s="1664" t="s">
        <v>2300</v>
      </c>
      <c r="C25" s="1960"/>
      <c r="D25" s="1680">
        <v>100</v>
      </c>
      <c r="E25" s="1960"/>
      <c r="F25" s="1723">
        <f>SUMIF(86:86,E25,87:87)-SUMIF(86:86,C25,87:87)+100</f>
        <v>100</v>
      </c>
      <c r="G25" s="1960"/>
      <c r="H25" s="1680">
        <f>SUMIF(86:86,G25,87:87)-SUMIF(86:86,C25,87:87)+100</f>
        <v>100</v>
      </c>
      <c r="I25" s="1960"/>
      <c r="J25" s="1680">
        <f>SUMIF(86:86,I25,87:87)-SUMIF(86:86,C25,87:87)+100</f>
        <v>100</v>
      </c>
      <c r="K25" s="1961"/>
      <c r="L25" s="2969"/>
      <c r="M25" s="2965"/>
      <c r="N25" s="2965"/>
      <c r="O25" s="2965"/>
      <c r="P25" s="3628"/>
      <c r="Q25" s="2040" t="str">
        <f t="shared" ref="Q25:Q46" si="11">B25</f>
        <v>临街状况</v>
      </c>
      <c r="R25" s="1694" t="s">
        <v>25</v>
      </c>
      <c r="S25" s="1695">
        <f>F25</f>
        <v>100</v>
      </c>
      <c r="T25" s="1694" t="s">
        <v>25</v>
      </c>
      <c r="U25" s="1695">
        <f>H25</f>
        <v>100</v>
      </c>
      <c r="V25" s="1694" t="s">
        <v>25</v>
      </c>
      <c r="W25" s="1695">
        <f>J25</f>
        <v>100</v>
      </c>
      <c r="X25" s="2043"/>
      <c r="Y25" s="3630"/>
      <c r="Z25" s="2047" t="str">
        <f>Q25</f>
        <v>临街状况</v>
      </c>
      <c r="AA25" s="2038">
        <f t="shared" si="3"/>
        <v>1</v>
      </c>
      <c r="AB25" s="2038">
        <f t="shared" si="4"/>
        <v>1</v>
      </c>
      <c r="AC25" s="2038">
        <f t="shared" si="5"/>
        <v>1</v>
      </c>
    </row>
    <row r="26" spans="1:29" ht="15">
      <c r="A26" s="1671"/>
      <c r="B26" s="1729" t="s">
        <v>2301</v>
      </c>
      <c r="C26" s="1679"/>
      <c r="D26" s="1680">
        <v>100</v>
      </c>
      <c r="E26" s="1679"/>
      <c r="F26" s="1723">
        <f>SUMIF(88:88,E26,89:89)-SUMIF(88:88,C26,89:89)+100</f>
        <v>100</v>
      </c>
      <c r="G26" s="1679"/>
      <c r="H26" s="1680">
        <f>SUMIF(88:88,G26,89:89)-SUMIF(88:88,C26,89:89)+100</f>
        <v>100</v>
      </c>
      <c r="I26" s="1679"/>
      <c r="J26" s="1680">
        <f>SUMIF(88:88,I26,89:89)-SUMIF(88:88,C26,89:89)+100</f>
        <v>100</v>
      </c>
      <c r="K26" s="1958"/>
      <c r="L26" s="2969"/>
      <c r="M26" s="2965"/>
      <c r="N26" s="2965"/>
      <c r="O26" s="2965"/>
      <c r="P26" s="3628"/>
      <c r="Q26" s="2040" t="str">
        <f t="shared" si="11"/>
        <v>平面位置/可视性</v>
      </c>
      <c r="R26" s="1694" t="s">
        <v>25</v>
      </c>
      <c r="S26" s="1695">
        <f>F26</f>
        <v>100</v>
      </c>
      <c r="T26" s="1694" t="s">
        <v>25</v>
      </c>
      <c r="U26" s="1695">
        <f>H26</f>
        <v>100</v>
      </c>
      <c r="V26" s="1694" t="s">
        <v>25</v>
      </c>
      <c r="W26" s="1695">
        <f>J26</f>
        <v>100</v>
      </c>
      <c r="X26" s="2043"/>
      <c r="Y26" s="3630"/>
      <c r="Z26" s="2047" t="str">
        <f>Q26</f>
        <v>平面位置/可视性</v>
      </c>
      <c r="AA26" s="2038">
        <f t="shared" si="3"/>
        <v>1</v>
      </c>
      <c r="AB26" s="2038">
        <f t="shared" si="4"/>
        <v>1</v>
      </c>
      <c r="AC26" s="2038">
        <f t="shared" si="5"/>
        <v>1</v>
      </c>
    </row>
    <row r="27" spans="1:29" s="1653" customFormat="1" ht="15">
      <c r="A27" s="1674"/>
      <c r="B27" s="1706" t="s">
        <v>2302</v>
      </c>
      <c r="C27" s="2445"/>
      <c r="D27" s="1725">
        <v>100</v>
      </c>
      <c r="E27" s="2445"/>
      <c r="F27" s="1727">
        <f>SUMIF(90:90,E27,91:91)-SUMIF(90:90,C27,91:91)+100</f>
        <v>100</v>
      </c>
      <c r="G27" s="2445"/>
      <c r="H27" s="1725">
        <f>SUMIF(90:90,G27,91:91)-SUMIF(90:90,C27,91:91)+100</f>
        <v>100</v>
      </c>
      <c r="I27" s="2445"/>
      <c r="J27" s="1725">
        <f>SUMIF(90:90,I27,91:91)-SUMIF(90:90,C27,91:91)+100</f>
        <v>100</v>
      </c>
      <c r="K27" s="1961"/>
      <c r="L27" s="2964"/>
      <c r="M27" s="2937"/>
      <c r="N27" s="2937"/>
      <c r="O27" s="2937"/>
      <c r="P27" s="3628"/>
      <c r="Q27" s="2034" t="str">
        <f t="shared" si="11"/>
        <v>人流量</v>
      </c>
      <c r="R27" s="1649" t="s">
        <v>25</v>
      </c>
      <c r="S27" s="1650">
        <f>F27</f>
        <v>100</v>
      </c>
      <c r="T27" s="1649" t="s">
        <v>25</v>
      </c>
      <c r="U27" s="1650">
        <f>H27</f>
        <v>100</v>
      </c>
      <c r="V27" s="1649" t="s">
        <v>25</v>
      </c>
      <c r="W27" s="1650">
        <f>J27</f>
        <v>100</v>
      </c>
      <c r="X27" s="1651"/>
      <c r="Y27" s="3630"/>
      <c r="Z27" s="1662" t="str">
        <f>Q27</f>
        <v>人流量</v>
      </c>
      <c r="AA27" s="2038">
        <f>D27/F27</f>
        <v>1</v>
      </c>
      <c r="AB27" s="2038">
        <f>D27/H27</f>
        <v>1</v>
      </c>
      <c r="AC27" s="2038">
        <f>D27/J27</f>
        <v>1</v>
      </c>
    </row>
    <row r="28" spans="1:29" ht="15">
      <c r="A28" s="1671"/>
      <c r="B28" s="1664" t="s">
        <v>2303</v>
      </c>
      <c r="C28" s="1960"/>
      <c r="D28" s="1680">
        <v>100</v>
      </c>
      <c r="E28" s="1960"/>
      <c r="F28" s="1723">
        <f>SUMIF(92:92,E28,93:93)-SUMIF(92:92,C28,93:93)+100</f>
        <v>100</v>
      </c>
      <c r="G28" s="1960"/>
      <c r="H28" s="1680">
        <f>SUMIF(92:92,G28,93:93)-SUMIF(92:92,C28,93:93)+100</f>
        <v>100</v>
      </c>
      <c r="I28" s="1960"/>
      <c r="J28" s="1680">
        <f>SUMIF(92:92,I28,93:93)-SUMIF(92:92,C28,93:93)+100</f>
        <v>100</v>
      </c>
      <c r="K28" s="1958"/>
      <c r="L28" s="2969"/>
      <c r="M28" s="2965"/>
      <c r="N28" s="2965"/>
      <c r="O28" s="2965"/>
      <c r="P28" s="3628"/>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30"/>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28"/>
      <c r="Q29" s="2040">
        <f t="shared" si="11"/>
        <v>111</v>
      </c>
      <c r="R29" s="1694" t="s">
        <v>25</v>
      </c>
      <c r="S29" s="1695">
        <f t="shared" si="12"/>
        <v>100</v>
      </c>
      <c r="T29" s="1694" t="s">
        <v>25</v>
      </c>
      <c r="U29" s="1695">
        <f t="shared" si="13"/>
        <v>100</v>
      </c>
      <c r="V29" s="1694" t="s">
        <v>25</v>
      </c>
      <c r="W29" s="1695">
        <f t="shared" si="14"/>
        <v>100</v>
      </c>
      <c r="X29" s="2043"/>
      <c r="Y29" s="3630"/>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28"/>
      <c r="Q30" s="2040">
        <f t="shared" si="11"/>
        <v>111</v>
      </c>
      <c r="R30" s="1694" t="s">
        <v>25</v>
      </c>
      <c r="S30" s="1695">
        <f t="shared" si="12"/>
        <v>100</v>
      </c>
      <c r="T30" s="1694" t="s">
        <v>25</v>
      </c>
      <c r="U30" s="1695">
        <f t="shared" si="13"/>
        <v>100</v>
      </c>
      <c r="V30" s="1694" t="s">
        <v>25</v>
      </c>
      <c r="W30" s="1695">
        <f t="shared" si="14"/>
        <v>100</v>
      </c>
      <c r="X30" s="2043"/>
      <c r="Y30" s="3630"/>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28"/>
      <c r="Q31" s="2040">
        <f t="shared" si="11"/>
        <v>111</v>
      </c>
      <c r="R31" s="1694" t="s">
        <v>25</v>
      </c>
      <c r="S31" s="1695">
        <f t="shared" si="12"/>
        <v>100</v>
      </c>
      <c r="T31" s="1694" t="s">
        <v>25</v>
      </c>
      <c r="U31" s="1695">
        <f t="shared" si="13"/>
        <v>100</v>
      </c>
      <c r="V31" s="1694" t="s">
        <v>25</v>
      </c>
      <c r="W31" s="1695">
        <f t="shared" si="14"/>
        <v>100</v>
      </c>
      <c r="X31" s="2043"/>
      <c r="Y31" s="3630"/>
      <c r="Z31" s="2047">
        <f t="shared" si="15"/>
        <v>111</v>
      </c>
      <c r="AA31" s="2038">
        <f t="shared" si="3"/>
        <v>1</v>
      </c>
      <c r="AB31" s="2038">
        <f t="shared" si="4"/>
        <v>1</v>
      </c>
      <c r="AC31" s="2038">
        <f t="shared" si="5"/>
        <v>1</v>
      </c>
    </row>
    <row r="32" spans="1:29" ht="15">
      <c r="A32" s="1686" t="s">
        <v>2216</v>
      </c>
      <c r="B32" s="1656" t="s">
        <v>2304</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9"/>
      <c r="M32" s="2965"/>
      <c r="N32" s="2965"/>
      <c r="O32" s="2965"/>
      <c r="P32" s="3631" t="s">
        <v>2218</v>
      </c>
      <c r="Q32" s="2040" t="str">
        <f t="shared" si="11"/>
        <v>商业类型</v>
      </c>
      <c r="R32" s="1694" t="s">
        <v>25</v>
      </c>
      <c r="S32" s="1695">
        <f t="shared" si="12"/>
        <v>100</v>
      </c>
      <c r="T32" s="1694" t="s">
        <v>25</v>
      </c>
      <c r="U32" s="1695">
        <f t="shared" si="13"/>
        <v>100</v>
      </c>
      <c r="V32" s="1694" t="s">
        <v>25</v>
      </c>
      <c r="W32" s="1695">
        <f t="shared" si="14"/>
        <v>100</v>
      </c>
      <c r="X32" s="2043"/>
      <c r="Y32" s="3634" t="s">
        <v>2218</v>
      </c>
      <c r="Z32" s="2047" t="str">
        <f t="shared" si="15"/>
        <v>商业类型</v>
      </c>
      <c r="AA32" s="2038">
        <f t="shared" si="3"/>
        <v>1</v>
      </c>
      <c r="AB32" s="2038">
        <f t="shared" si="4"/>
        <v>1</v>
      </c>
      <c r="AC32" s="2038">
        <f t="shared" si="5"/>
        <v>1</v>
      </c>
    </row>
    <row r="33" spans="1:29" s="1740" customFormat="1" ht="15">
      <c r="A33" s="1733"/>
      <c r="B33" s="1664" t="s">
        <v>2219</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8"/>
      <c r="M33" s="2028"/>
      <c r="N33" s="2028"/>
      <c r="O33" s="2028"/>
      <c r="P33" s="3632"/>
      <c r="Q33" s="1735" t="str">
        <f t="shared" si="11"/>
        <v>项目建筑规模</v>
      </c>
      <c r="R33" s="1736" t="s">
        <v>25</v>
      </c>
      <c r="S33" s="1737" t="e">
        <f t="shared" si="12"/>
        <v>#N/A</v>
      </c>
      <c r="T33" s="1736" t="s">
        <v>25</v>
      </c>
      <c r="U33" s="1737" t="e">
        <f t="shared" si="13"/>
        <v>#N/A</v>
      </c>
      <c r="V33" s="1736" t="s">
        <v>25</v>
      </c>
      <c r="W33" s="1737" t="e">
        <f t="shared" si="14"/>
        <v>#N/A</v>
      </c>
      <c r="X33" s="1738"/>
      <c r="Y33" s="3634"/>
      <c r="Z33" s="1739" t="str">
        <f t="shared" si="15"/>
        <v>项目建筑规模</v>
      </c>
      <c r="AA33" s="2038" t="e">
        <f t="shared" si="3"/>
        <v>#N/A</v>
      </c>
      <c r="AB33" s="2038" t="e">
        <f t="shared" si="4"/>
        <v>#N/A</v>
      </c>
      <c r="AC33" s="2038" t="e">
        <f t="shared" si="5"/>
        <v>#N/A</v>
      </c>
    </row>
    <row r="34" spans="1:29" ht="15">
      <c r="A34" s="1741"/>
      <c r="B34" s="1664" t="s">
        <v>2220</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32"/>
      <c r="Q34" s="2040" t="str">
        <f t="shared" si="11"/>
        <v>建筑结构</v>
      </c>
      <c r="R34" s="1694" t="s">
        <v>25</v>
      </c>
      <c r="S34" s="1695">
        <f t="shared" si="12"/>
        <v>100</v>
      </c>
      <c r="T34" s="1694" t="s">
        <v>25</v>
      </c>
      <c r="U34" s="1695">
        <f t="shared" si="13"/>
        <v>100</v>
      </c>
      <c r="V34" s="1694" t="s">
        <v>25</v>
      </c>
      <c r="W34" s="1695">
        <f t="shared" si="14"/>
        <v>100</v>
      </c>
      <c r="X34" s="2043"/>
      <c r="Y34" s="3634"/>
      <c r="Z34" s="2047" t="str">
        <f t="shared" si="15"/>
        <v>建筑结构</v>
      </c>
      <c r="AA34" s="2038">
        <f t="shared" si="3"/>
        <v>1</v>
      </c>
      <c r="AB34" s="2038">
        <f t="shared" si="4"/>
        <v>1</v>
      </c>
      <c r="AC34" s="2038">
        <f t="shared" si="5"/>
        <v>1</v>
      </c>
    </row>
    <row r="35" spans="1:29" ht="15">
      <c r="A35" s="1741"/>
      <c r="B35" s="1664" t="s">
        <v>2305</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32"/>
      <c r="Q35" s="2040" t="str">
        <f t="shared" si="11"/>
        <v>公共部分装修</v>
      </c>
      <c r="R35" s="1694" t="s">
        <v>25</v>
      </c>
      <c r="S35" s="1695">
        <f t="shared" si="12"/>
        <v>100</v>
      </c>
      <c r="T35" s="1694" t="s">
        <v>25</v>
      </c>
      <c r="U35" s="1695">
        <f t="shared" si="13"/>
        <v>100</v>
      </c>
      <c r="V35" s="1694" t="s">
        <v>25</v>
      </c>
      <c r="W35" s="1695">
        <f t="shared" si="14"/>
        <v>100</v>
      </c>
      <c r="X35" s="2043"/>
      <c r="Y35" s="3634"/>
      <c r="Z35" s="2047" t="str">
        <f t="shared" si="15"/>
        <v>公共部分装修</v>
      </c>
      <c r="AA35" s="2038">
        <f t="shared" si="3"/>
        <v>1</v>
      </c>
      <c r="AB35" s="2038">
        <f t="shared" si="4"/>
        <v>1</v>
      </c>
      <c r="AC35" s="2038">
        <f t="shared" si="5"/>
        <v>1</v>
      </c>
    </row>
    <row r="36" spans="1:29" ht="15">
      <c r="A36" s="1741"/>
      <c r="B36" s="1664" t="s">
        <v>2306</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9"/>
      <c r="M36" s="2965"/>
      <c r="N36" s="2965"/>
      <c r="O36" s="2965"/>
      <c r="P36" s="3632"/>
      <c r="Q36" s="2040" t="str">
        <f t="shared" si="11"/>
        <v>成新度</v>
      </c>
      <c r="R36" s="1694" t="s">
        <v>25</v>
      </c>
      <c r="S36" s="1695" t="e">
        <f t="shared" si="12"/>
        <v>#N/A</v>
      </c>
      <c r="T36" s="1694" t="s">
        <v>25</v>
      </c>
      <c r="U36" s="1695" t="e">
        <f t="shared" si="13"/>
        <v>#N/A</v>
      </c>
      <c r="V36" s="1694" t="s">
        <v>25</v>
      </c>
      <c r="W36" s="1695" t="e">
        <f t="shared" si="14"/>
        <v>#N/A</v>
      </c>
      <c r="X36" s="2043"/>
      <c r="Y36" s="3634"/>
      <c r="Z36" s="2047" t="str">
        <f t="shared" si="15"/>
        <v>成新度</v>
      </c>
      <c r="AA36" s="2038" t="e">
        <f t="shared" si="3"/>
        <v>#N/A</v>
      </c>
      <c r="AB36" s="2038" t="e">
        <f t="shared" si="4"/>
        <v>#N/A</v>
      </c>
      <c r="AC36" s="2038" t="e">
        <f t="shared" si="5"/>
        <v>#N/A</v>
      </c>
    </row>
    <row r="37" spans="1:29" s="1653" customFormat="1" ht="15">
      <c r="A37" s="1744"/>
      <c r="B37" s="1664" t="s">
        <v>2307</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32"/>
      <c r="Q37" s="2034" t="str">
        <f t="shared" si="11"/>
        <v>市政基础设施</v>
      </c>
      <c r="R37" s="1649" t="s">
        <v>25</v>
      </c>
      <c r="S37" s="1650">
        <f t="shared" si="12"/>
        <v>100</v>
      </c>
      <c r="T37" s="1649" t="s">
        <v>25</v>
      </c>
      <c r="U37" s="1650">
        <f t="shared" si="13"/>
        <v>100</v>
      </c>
      <c r="V37" s="1649" t="s">
        <v>25</v>
      </c>
      <c r="W37" s="1650">
        <f t="shared" si="14"/>
        <v>100</v>
      </c>
      <c r="X37" s="1651"/>
      <c r="Y37" s="3634"/>
      <c r="Z37" s="1662" t="str">
        <f t="shared" si="15"/>
        <v>市政基础设施</v>
      </c>
      <c r="AA37" s="1652">
        <f t="shared" si="3"/>
        <v>1</v>
      </c>
      <c r="AB37" s="1652">
        <f t="shared" si="4"/>
        <v>1</v>
      </c>
      <c r="AC37" s="1652">
        <f t="shared" si="5"/>
        <v>1</v>
      </c>
    </row>
    <row r="38" spans="1:29" ht="15">
      <c r="A38" s="1741"/>
      <c r="B38" s="1664" t="s">
        <v>2308</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9"/>
      <c r="M38" s="2965"/>
      <c r="N38" s="2965"/>
      <c r="O38" s="2965"/>
      <c r="P38" s="3632" t="s">
        <v>2218</v>
      </c>
      <c r="Q38" s="2040" t="str">
        <f t="shared" si="11"/>
        <v>业态</v>
      </c>
      <c r="R38" s="1694" t="s">
        <v>25</v>
      </c>
      <c r="S38" s="1695">
        <f t="shared" si="12"/>
        <v>100</v>
      </c>
      <c r="T38" s="1694" t="s">
        <v>25</v>
      </c>
      <c r="U38" s="1695">
        <f t="shared" si="13"/>
        <v>100</v>
      </c>
      <c r="V38" s="1694" t="s">
        <v>25</v>
      </c>
      <c r="W38" s="1695">
        <f t="shared" si="14"/>
        <v>100</v>
      </c>
      <c r="X38" s="2043"/>
      <c r="Y38" s="3634" t="s">
        <v>2218</v>
      </c>
      <c r="Z38" s="2047" t="str">
        <f t="shared" si="15"/>
        <v>业态</v>
      </c>
      <c r="AA38" s="2038">
        <f t="shared" si="3"/>
        <v>1</v>
      </c>
      <c r="AB38" s="2038">
        <f t="shared" si="4"/>
        <v>1</v>
      </c>
      <c r="AC38" s="2038">
        <f t="shared" si="5"/>
        <v>1</v>
      </c>
    </row>
    <row r="39" spans="1:29" ht="15">
      <c r="A39" s="1741"/>
      <c r="B39" s="1664" t="s">
        <v>2309</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9"/>
      <c r="M39" s="2965"/>
      <c r="N39" s="2965"/>
      <c r="O39" s="2965"/>
      <c r="P39" s="3632"/>
      <c r="Q39" s="2040" t="str">
        <f t="shared" si="11"/>
        <v>层高</v>
      </c>
      <c r="R39" s="1694" t="s">
        <v>25</v>
      </c>
      <c r="S39" s="1695">
        <f t="shared" si="12"/>
        <v>100</v>
      </c>
      <c r="T39" s="1694" t="s">
        <v>25</v>
      </c>
      <c r="U39" s="1695">
        <f t="shared" si="13"/>
        <v>100</v>
      </c>
      <c r="V39" s="1694" t="s">
        <v>25</v>
      </c>
      <c r="W39" s="1695">
        <f t="shared" si="14"/>
        <v>100</v>
      </c>
      <c r="X39" s="2043"/>
      <c r="Y39" s="3634"/>
      <c r="Z39" s="2047" t="str">
        <f t="shared" si="15"/>
        <v>层高</v>
      </c>
      <c r="AA39" s="2038">
        <f t="shared" si="3"/>
        <v>1</v>
      </c>
      <c r="AB39" s="2038">
        <f t="shared" si="4"/>
        <v>1</v>
      </c>
      <c r="AC39" s="2038">
        <f t="shared" si="5"/>
        <v>1</v>
      </c>
    </row>
    <row r="40" spans="1:29" ht="15">
      <c r="A40" s="1741"/>
      <c r="B40" s="1664" t="s">
        <v>2310</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32"/>
      <c r="Q40" s="2040" t="str">
        <f t="shared" si="11"/>
        <v>单套建筑面积</v>
      </c>
      <c r="R40" s="1694" t="s">
        <v>25</v>
      </c>
      <c r="S40" s="1695">
        <f t="shared" si="12"/>
        <v>100</v>
      </c>
      <c r="T40" s="1694" t="s">
        <v>25</v>
      </c>
      <c r="U40" s="1695">
        <f t="shared" si="13"/>
        <v>100</v>
      </c>
      <c r="V40" s="1694" t="s">
        <v>25</v>
      </c>
      <c r="W40" s="1695">
        <f t="shared" si="14"/>
        <v>100</v>
      </c>
      <c r="X40" s="2043"/>
      <c r="Y40" s="3634"/>
      <c r="Z40" s="2047" t="str">
        <f t="shared" si="15"/>
        <v>单套建筑面积</v>
      </c>
      <c r="AA40" s="2038">
        <f t="shared" si="3"/>
        <v>1</v>
      </c>
      <c r="AB40" s="2038">
        <f t="shared" si="4"/>
        <v>1</v>
      </c>
      <c r="AC40" s="2038">
        <f t="shared" si="5"/>
        <v>1</v>
      </c>
    </row>
    <row r="41" spans="1:29" s="1740" customFormat="1" ht="15">
      <c r="A41" s="1733"/>
      <c r="B41" s="2039" t="s">
        <v>2311</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32"/>
      <c r="Q41" s="1735" t="str">
        <f t="shared" si="11"/>
        <v>进深比</v>
      </c>
      <c r="R41" s="1736" t="s">
        <v>25</v>
      </c>
      <c r="S41" s="1737">
        <f t="shared" si="12"/>
        <v>100</v>
      </c>
      <c r="T41" s="1736" t="s">
        <v>25</v>
      </c>
      <c r="U41" s="1737">
        <f t="shared" si="13"/>
        <v>100</v>
      </c>
      <c r="V41" s="1736" t="s">
        <v>25</v>
      </c>
      <c r="W41" s="1737">
        <f t="shared" si="14"/>
        <v>100</v>
      </c>
      <c r="X41" s="1738"/>
      <c r="Y41" s="3634"/>
      <c r="Z41" s="1739" t="str">
        <f t="shared" si="15"/>
        <v>进深比</v>
      </c>
      <c r="AA41" s="2038">
        <f t="shared" si="3"/>
        <v>1</v>
      </c>
      <c r="AB41" s="2038">
        <f t="shared" si="4"/>
        <v>1</v>
      </c>
      <c r="AC41" s="2038">
        <f t="shared" si="5"/>
        <v>1</v>
      </c>
    </row>
    <row r="42" spans="1:29" ht="15">
      <c r="A42" s="1741"/>
      <c r="B42" s="1664" t="s">
        <v>2312</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32"/>
      <c r="Q42" s="2040" t="str">
        <f t="shared" si="11"/>
        <v>内部装修</v>
      </c>
      <c r="R42" s="1694" t="s">
        <v>25</v>
      </c>
      <c r="S42" s="1695">
        <f t="shared" si="12"/>
        <v>100</v>
      </c>
      <c r="T42" s="1694" t="s">
        <v>25</v>
      </c>
      <c r="U42" s="1695">
        <f t="shared" si="13"/>
        <v>100</v>
      </c>
      <c r="V42" s="1694" t="s">
        <v>25</v>
      </c>
      <c r="W42" s="1695">
        <f t="shared" si="14"/>
        <v>100</v>
      </c>
      <c r="X42" s="2043"/>
      <c r="Y42" s="3634"/>
      <c r="Z42" s="2047" t="str">
        <f t="shared" si="15"/>
        <v>内部装修</v>
      </c>
      <c r="AA42" s="2038">
        <f t="shared" si="3"/>
        <v>1</v>
      </c>
      <c r="AB42" s="2038">
        <f t="shared" si="4"/>
        <v>1</v>
      </c>
      <c r="AC42" s="2038">
        <f t="shared" si="5"/>
        <v>1</v>
      </c>
    </row>
    <row r="43" spans="1:29" ht="15">
      <c r="A43" s="1741"/>
      <c r="B43" s="1664" t="s">
        <v>2229</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32"/>
      <c r="Q43" s="2040" t="str">
        <f t="shared" si="11"/>
        <v>内部装修维护情况</v>
      </c>
      <c r="R43" s="1694" t="s">
        <v>25</v>
      </c>
      <c r="S43" s="1695">
        <f t="shared" si="12"/>
        <v>100</v>
      </c>
      <c r="T43" s="1694" t="s">
        <v>25</v>
      </c>
      <c r="U43" s="1695">
        <f t="shared" si="13"/>
        <v>100</v>
      </c>
      <c r="V43" s="1694" t="s">
        <v>25</v>
      </c>
      <c r="W43" s="1695">
        <f t="shared" si="14"/>
        <v>100</v>
      </c>
      <c r="X43" s="2043"/>
      <c r="Y43" s="3634"/>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32"/>
      <c r="Q44" s="2034">
        <f t="shared" si="11"/>
        <v>111</v>
      </c>
      <c r="R44" s="1649" t="s">
        <v>25</v>
      </c>
      <c r="S44" s="1650">
        <f t="shared" si="12"/>
        <v>100</v>
      </c>
      <c r="T44" s="1649" t="s">
        <v>25</v>
      </c>
      <c r="U44" s="1650">
        <f t="shared" si="13"/>
        <v>100</v>
      </c>
      <c r="V44" s="1649" t="s">
        <v>25</v>
      </c>
      <c r="W44" s="1650">
        <f t="shared" si="14"/>
        <v>100</v>
      </c>
      <c r="X44" s="1651"/>
      <c r="Y44" s="3634"/>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32"/>
      <c r="Q45" s="2040">
        <f t="shared" si="11"/>
        <v>111</v>
      </c>
      <c r="R45" s="1694" t="s">
        <v>25</v>
      </c>
      <c r="S45" s="1695">
        <f t="shared" si="12"/>
        <v>100</v>
      </c>
      <c r="T45" s="1694" t="s">
        <v>25</v>
      </c>
      <c r="U45" s="1695">
        <f t="shared" si="13"/>
        <v>100</v>
      </c>
      <c r="V45" s="1694" t="s">
        <v>25</v>
      </c>
      <c r="W45" s="1695">
        <f t="shared" si="14"/>
        <v>100</v>
      </c>
      <c r="X45" s="2043"/>
      <c r="Y45" s="3634"/>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33"/>
      <c r="Q46" s="2040">
        <f t="shared" si="11"/>
        <v>111</v>
      </c>
      <c r="R46" s="1694" t="s">
        <v>25</v>
      </c>
      <c r="S46" s="1695">
        <f t="shared" si="12"/>
        <v>100</v>
      </c>
      <c r="T46" s="1694" t="s">
        <v>25</v>
      </c>
      <c r="U46" s="1695">
        <f t="shared" si="13"/>
        <v>100</v>
      </c>
      <c r="V46" s="1694" t="s">
        <v>25</v>
      </c>
      <c r="W46" s="1695">
        <f t="shared" si="14"/>
        <v>100</v>
      </c>
      <c r="X46" s="2043"/>
      <c r="Y46" s="3635"/>
      <c r="Z46" s="2047">
        <f t="shared" si="15"/>
        <v>111</v>
      </c>
      <c r="AA46" s="2038">
        <f t="shared" si="3"/>
        <v>1</v>
      </c>
      <c r="AB46" s="2038">
        <f t="shared" si="4"/>
        <v>1</v>
      </c>
      <c r="AC46" s="2038">
        <f t="shared" si="5"/>
        <v>1</v>
      </c>
    </row>
    <row r="47" spans="1:29" ht="15">
      <c r="A47" s="1750" t="s">
        <v>2230</v>
      </c>
      <c r="B47" s="1751"/>
      <c r="C47" s="1752" t="s">
        <v>1</v>
      </c>
      <c r="D47" s="1753"/>
      <c r="E47" s="1754"/>
      <c r="F47" s="1755"/>
      <c r="G47" s="1756"/>
      <c r="H47" s="1757"/>
      <c r="I47" s="1754"/>
      <c r="J47" s="1757"/>
      <c r="K47" s="1982"/>
      <c r="L47" s="2970"/>
      <c r="N47" s="2965"/>
      <c r="P47" s="3626" t="str">
        <f>A47</f>
        <v>成交单价（元/平方米）</v>
      </c>
      <c r="Q47" s="3626"/>
      <c r="R47" s="3622">
        <f>E47</f>
        <v>0</v>
      </c>
      <c r="S47" s="3622"/>
      <c r="T47" s="3622">
        <f>G47</f>
        <v>0</v>
      </c>
      <c r="U47" s="3622"/>
      <c r="V47" s="3622">
        <f>I47</f>
        <v>0</v>
      </c>
      <c r="W47" s="3622"/>
      <c r="X47" s="1760"/>
      <c r="Y47" s="2042"/>
      <c r="Z47" s="1760"/>
      <c r="AA47" s="1760"/>
      <c r="AB47" s="1760"/>
      <c r="AC47" s="1760"/>
    </row>
    <row r="48" spans="1:29" ht="15.75" thickBot="1">
      <c r="A48" s="1762" t="s">
        <v>2313</v>
      </c>
      <c r="B48" s="1763"/>
      <c r="C48" s="1764" t="e">
        <f>R49</f>
        <v>#DIV/0!</v>
      </c>
      <c r="D48" s="1765" t="s">
        <v>2687</v>
      </c>
      <c r="E48" s="1766" t="e">
        <f>R48</f>
        <v>#DIV/0!</v>
      </c>
      <c r="F48" s="1767"/>
      <c r="G48" s="1764" t="e">
        <f>T48</f>
        <v>#DIV/0!</v>
      </c>
      <c r="H48" s="1767"/>
      <c r="I48" s="1766" t="e">
        <f>V48</f>
        <v>#DIV/0!</v>
      </c>
      <c r="J48" s="1767"/>
      <c r="K48" s="2479">
        <f>F48+H48+J48</f>
        <v>0</v>
      </c>
      <c r="L48" s="2970"/>
      <c r="N48" s="2965"/>
      <c r="P48" s="3626" t="str">
        <f>A48</f>
        <v>比较价值（元/平方米）</v>
      </c>
      <c r="Q48" s="3626"/>
      <c r="R48" s="3622" t="e">
        <f>IF(E1="售价",ROUND(PRODUCT(R47,AA7:AA46),0),ROUND(PRODUCT(R47,AA7:AA46),1))</f>
        <v>#DIV/0!</v>
      </c>
      <c r="S48" s="3622"/>
      <c r="T48" s="3622" t="e">
        <f>IF(E1="售价",ROUND(PRODUCT(T47,AB7:AB46),0),ROUND(PRODUCT(T47,AB7:AB46),1))</f>
        <v>#DIV/0!</v>
      </c>
      <c r="U48" s="3622"/>
      <c r="V48" s="3622" t="e">
        <f>IF(E1="售价",ROUND(PRODUCT(V47,AC7:AC46),0),ROUND(PRODUCT(V47,AC7:AC46),1))</f>
        <v>#DIV/0!</v>
      </c>
      <c r="W48" s="3622"/>
      <c r="X48" s="1760"/>
      <c r="Y48" s="1760"/>
      <c r="Z48" s="1760"/>
      <c r="AA48" s="1760"/>
      <c r="AB48" s="1760"/>
      <c r="AC48" s="1760"/>
    </row>
    <row r="49" spans="1:29" ht="15.75" thickBot="1">
      <c r="A49" s="1768" t="s">
        <v>2314</v>
      </c>
      <c r="B49" s="1769"/>
      <c r="C49" s="1771" t="e">
        <f>R49</f>
        <v>#DIV/0!</v>
      </c>
      <c r="D49" s="1771"/>
      <c r="E49" s="1771"/>
      <c r="F49" s="1771"/>
      <c r="G49" s="1771"/>
      <c r="H49" s="1771"/>
      <c r="I49" s="1771"/>
      <c r="J49" s="1771"/>
      <c r="K49" s="1987"/>
      <c r="L49" s="2970"/>
      <c r="N49" s="2965"/>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2315</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2316</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2317</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2318</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2200</v>
      </c>
      <c r="B58" s="1792"/>
      <c r="C58" s="1793" t="str">
        <f>YEAR(C7)&amp;"-"&amp;MONTH(C7)</f>
        <v>2021-12</v>
      </c>
      <c r="D58" s="1794">
        <f>EDATE(C58,-1)</f>
        <v>44501</v>
      </c>
      <c r="E58" s="1794">
        <f t="shared" ref="E58:O58" si="16">EDATE(D58,-1)</f>
        <v>44470</v>
      </c>
      <c r="F58" s="1794">
        <f t="shared" si="16"/>
        <v>44440</v>
      </c>
      <c r="G58" s="1794">
        <f t="shared" si="16"/>
        <v>44409</v>
      </c>
      <c r="H58" s="1794">
        <f t="shared" si="16"/>
        <v>44378</v>
      </c>
      <c r="I58" s="1794">
        <f t="shared" si="16"/>
        <v>44348</v>
      </c>
      <c r="J58" s="1794">
        <f t="shared" si="16"/>
        <v>44317</v>
      </c>
      <c r="K58" s="1794">
        <f t="shared" si="16"/>
        <v>44287</v>
      </c>
      <c r="L58" s="1794">
        <f t="shared" si="16"/>
        <v>44256</v>
      </c>
      <c r="M58" s="1794">
        <f t="shared" si="16"/>
        <v>44228</v>
      </c>
      <c r="N58" s="1794">
        <f t="shared" si="16"/>
        <v>44197</v>
      </c>
      <c r="O58" s="1794">
        <f t="shared" si="16"/>
        <v>44166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2238</v>
      </c>
      <c r="B60" s="1804"/>
      <c r="C60" s="1805"/>
      <c r="D60" s="1806"/>
      <c r="E60" s="1806"/>
      <c r="F60" s="1806"/>
      <c r="G60" s="1806"/>
      <c r="H60" s="1806"/>
      <c r="I60" s="1806"/>
      <c r="J60" s="1806"/>
      <c r="K60" s="1806"/>
      <c r="L60" s="1806"/>
      <c r="M60" s="1807"/>
      <c r="N60" s="1806"/>
      <c r="O60" s="1807"/>
      <c r="P60" s="1802"/>
      <c r="Q60" s="1790"/>
    </row>
    <row r="61" spans="1:29" s="1653" customFormat="1" ht="15">
      <c r="A61" s="1808" t="s">
        <v>2202</v>
      </c>
      <c r="B61" s="1798"/>
      <c r="C61" s="1809" t="s">
        <v>2203</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2241</v>
      </c>
      <c r="B63" s="1816" t="s">
        <v>2206</v>
      </c>
      <c r="C63" s="1817">
        <f>C9</f>
        <v>0</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2209</v>
      </c>
      <c r="C65" s="1828" t="s">
        <v>2242</v>
      </c>
      <c r="D65" s="1828" t="s">
        <v>2243</v>
      </c>
      <c r="E65" s="1828" t="s">
        <v>2244</v>
      </c>
      <c r="F65" s="1828" t="s">
        <v>2245</v>
      </c>
      <c r="G65" s="1828" t="s">
        <v>2246</v>
      </c>
      <c r="H65" s="1828" t="s">
        <v>2247</v>
      </c>
      <c r="I65" s="1828" t="s">
        <v>2248</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4"/>
      <c r="O66" s="2984"/>
      <c r="P66" s="1821"/>
      <c r="Q66" s="1790"/>
    </row>
    <row r="67" spans="1:17" ht="15.75" thickTop="1">
      <c r="A67" s="1822"/>
      <c r="B67" s="1833" t="s">
        <v>2210</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c r="D68" s="1836"/>
      <c r="E68" s="1836"/>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2211</v>
      </c>
      <c r="B76" s="1816" t="s">
        <v>2249</v>
      </c>
      <c r="C76" s="1854" t="s">
        <v>2250</v>
      </c>
      <c r="D76" s="1854" t="s">
        <v>2251</v>
      </c>
      <c r="E76" s="1854" t="s">
        <v>2252</v>
      </c>
      <c r="F76" s="1854" t="s">
        <v>2253</v>
      </c>
      <c r="G76" s="1854" t="s">
        <v>2254</v>
      </c>
      <c r="H76" s="1817"/>
      <c r="I76" s="1817"/>
      <c r="J76" s="1817"/>
      <c r="K76" s="463"/>
      <c r="L76" s="463"/>
      <c r="M76" s="1855"/>
      <c r="N76" s="2983"/>
      <c r="O76" s="2983"/>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4"/>
      <c r="O77" s="2984"/>
      <c r="P77" s="1821"/>
      <c r="Q77" s="1790"/>
    </row>
    <row r="78" spans="1:17" ht="15.75" thickTop="1">
      <c r="A78" s="1822"/>
      <c r="B78" s="1827" t="s">
        <v>2255</v>
      </c>
      <c r="C78" s="579" t="s">
        <v>2250</v>
      </c>
      <c r="D78" s="579" t="s">
        <v>2251</v>
      </c>
      <c r="E78" s="579" t="s">
        <v>2252</v>
      </c>
      <c r="F78" s="579" t="s">
        <v>2253</v>
      </c>
      <c r="G78" s="579" t="s">
        <v>2254</v>
      </c>
      <c r="H78" s="1828"/>
      <c r="I78" s="1828"/>
      <c r="J78" s="1828"/>
      <c r="K78" s="428"/>
      <c r="L78" s="428"/>
      <c r="M78" s="1829"/>
      <c r="N78" s="2983"/>
      <c r="O78" s="2983"/>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4"/>
      <c r="O79" s="2984"/>
      <c r="P79" s="1821"/>
      <c r="Q79" s="1790"/>
    </row>
    <row r="80" spans="1:17" ht="15.75" thickTop="1">
      <c r="A80" s="1822"/>
      <c r="B80" s="1827" t="s">
        <v>2256</v>
      </c>
      <c r="C80" s="579" t="s">
        <v>2250</v>
      </c>
      <c r="D80" s="579" t="s">
        <v>2251</v>
      </c>
      <c r="E80" s="579" t="s">
        <v>2252</v>
      </c>
      <c r="F80" s="579" t="s">
        <v>2253</v>
      </c>
      <c r="G80" s="579" t="s">
        <v>2254</v>
      </c>
      <c r="H80" s="1828"/>
      <c r="I80" s="1828"/>
      <c r="J80" s="1828"/>
      <c r="K80" s="428"/>
      <c r="L80" s="428"/>
      <c r="M80" s="1829"/>
      <c r="N80" s="2983"/>
      <c r="O80" s="2983"/>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4"/>
      <c r="O81" s="2984"/>
      <c r="P81" s="1821"/>
      <c r="Q81" s="1790"/>
    </row>
    <row r="82" spans="1:17" ht="15.75" thickTop="1">
      <c r="A82" s="1822"/>
      <c r="B82" s="1833" t="s">
        <v>2299</v>
      </c>
      <c r="C82" s="1828" t="s">
        <v>2257</v>
      </c>
      <c r="D82" s="1828" t="s">
        <v>2258</v>
      </c>
      <c r="E82" s="1828" t="s">
        <v>2259</v>
      </c>
      <c r="F82" s="1828" t="s">
        <v>2260</v>
      </c>
      <c r="G82" s="1828" t="s">
        <v>2261</v>
      </c>
      <c r="H82" s="1828"/>
      <c r="I82" s="1828"/>
      <c r="J82" s="1828"/>
      <c r="K82" s="1828"/>
      <c r="L82" s="1828"/>
      <c r="M82" s="1856"/>
      <c r="N82" s="2984"/>
      <c r="O82" s="2984"/>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4"/>
      <c r="O83" s="2984"/>
      <c r="P83" s="1821"/>
      <c r="Q83" s="1790"/>
    </row>
    <row r="84" spans="1:17" ht="15.75" thickTop="1">
      <c r="A84" s="1822"/>
      <c r="B84" s="1827" t="s">
        <v>2262</v>
      </c>
      <c r="C84" s="579" t="s">
        <v>2250</v>
      </c>
      <c r="D84" s="579" t="s">
        <v>2251</v>
      </c>
      <c r="E84" s="579" t="s">
        <v>2252</v>
      </c>
      <c r="F84" s="579" t="s">
        <v>2253</v>
      </c>
      <c r="G84" s="579" t="s">
        <v>2254</v>
      </c>
      <c r="H84" s="1828"/>
      <c r="I84" s="1828"/>
      <c r="J84" s="1828"/>
      <c r="K84" s="428"/>
      <c r="L84" s="428"/>
      <c r="M84" s="1829"/>
      <c r="N84" s="2983"/>
      <c r="O84" s="2983"/>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4"/>
      <c r="O85" s="2984"/>
      <c r="P85" s="1821"/>
      <c r="Q85" s="1790"/>
    </row>
    <row r="86" spans="1:17" s="1653" customFormat="1" ht="15.75" thickTop="1">
      <c r="A86" s="1858"/>
      <c r="B86" s="1827" t="s">
        <v>2319</v>
      </c>
      <c r="C86" s="468"/>
      <c r="D86" s="468"/>
      <c r="E86" s="468"/>
      <c r="F86" s="468"/>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4"/>
      <c r="O87" s="2984"/>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2"/>
      <c r="O88" s="2982"/>
      <c r="P88" s="1821"/>
      <c r="Q88" s="1790"/>
    </row>
    <row r="89" spans="1:17" s="1653" customFormat="1" ht="15.75" thickBot="1">
      <c r="A89" s="1858"/>
      <c r="B89" s="1830"/>
      <c r="C89" s="1843"/>
      <c r="D89" s="1824"/>
      <c r="E89" s="1824"/>
      <c r="F89" s="1824"/>
      <c r="G89" s="1824"/>
      <c r="H89" s="1824"/>
      <c r="I89" s="1824"/>
      <c r="J89" s="1824"/>
      <c r="K89" s="1824"/>
      <c r="L89" s="1824"/>
      <c r="M89" s="1824"/>
      <c r="N89" s="2984"/>
      <c r="O89" s="2984"/>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5"/>
      <c r="O90" s="2985"/>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5"/>
      <c r="O91" s="2985"/>
      <c r="P91" s="1841"/>
      <c r="Q91" s="1842"/>
    </row>
    <row r="92" spans="1:17" ht="15.75" thickTop="1">
      <c r="A92" s="1822"/>
      <c r="B92" s="1827" t="str">
        <f>B28</f>
        <v>楼层</v>
      </c>
      <c r="C92" s="468"/>
      <c r="D92" s="468"/>
      <c r="E92" s="468"/>
      <c r="F92" s="468"/>
      <c r="G92" s="468"/>
      <c r="H92" s="468"/>
      <c r="I92" s="468"/>
      <c r="J92" s="468"/>
      <c r="K92" s="468"/>
      <c r="L92" s="468"/>
      <c r="M92" s="1859"/>
      <c r="N92" s="2983"/>
      <c r="O92" s="2983"/>
      <c r="P92" s="1821"/>
      <c r="Q92" s="1790"/>
    </row>
    <row r="93" spans="1:17" ht="15.75" thickBot="1">
      <c r="A93" s="1822"/>
      <c r="B93" s="1830"/>
      <c r="C93" s="1824"/>
      <c r="D93" s="1824"/>
      <c r="E93" s="1824"/>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2216</v>
      </c>
      <c r="B100" s="1816" t="s">
        <v>2320</v>
      </c>
      <c r="C100" s="1818"/>
      <c r="D100" s="1818"/>
      <c r="E100" s="1818"/>
      <c r="F100" s="1818"/>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4"/>
      <c r="O101" s="2984"/>
      <c r="P101" s="1821"/>
      <c r="Q101" s="1790"/>
    </row>
    <row r="102" spans="1:17" ht="15.75" thickTop="1">
      <c r="A102" s="1822"/>
      <c r="B102" s="1827"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2"/>
      <c r="O102" s="2982"/>
      <c r="P102" s="1821"/>
      <c r="Q102" s="1790"/>
    </row>
    <row r="103" spans="1:17" s="1740" customFormat="1">
      <c r="A103" s="1868"/>
      <c r="B103" s="1869"/>
      <c r="C103" s="1870"/>
      <c r="D103" s="1870"/>
      <c r="E103" s="1870"/>
      <c r="F103" s="1870"/>
      <c r="G103" s="1870"/>
      <c r="H103" s="1870"/>
      <c r="I103" s="1870"/>
      <c r="J103" s="485"/>
      <c r="K103" s="485"/>
      <c r="L103" s="485"/>
      <c r="M103" s="1871"/>
      <c r="N103" s="2985"/>
      <c r="O103" s="2985"/>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4"/>
      <c r="O104" s="2984"/>
      <c r="P104" s="1841"/>
      <c r="Q104" s="1842"/>
    </row>
    <row r="105" spans="1:17" ht="15" thickTop="1">
      <c r="A105" s="1872"/>
      <c r="B105" s="1827" t="s">
        <v>2267</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2269</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4"/>
      <c r="O111" s="2984"/>
      <c r="P111" s="1821"/>
      <c r="Q111" s="1790"/>
    </row>
    <row r="112" spans="1:17" s="1740" customFormat="1" ht="15" thickTop="1">
      <c r="A112" s="1868"/>
      <c r="B112" s="1827" t="s">
        <v>2272</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2321</v>
      </c>
      <c r="C114" s="468"/>
      <c r="D114" s="468"/>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4"/>
      <c r="O115" s="2984"/>
      <c r="P115" s="1821"/>
      <c r="Q115" s="1790"/>
    </row>
    <row r="116" spans="1:17" ht="15" thickTop="1">
      <c r="A116" s="1872"/>
      <c r="B116" s="1827" t="s">
        <v>2322</v>
      </c>
      <c r="C116" s="468"/>
      <c r="D116" s="468"/>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4"/>
      <c r="O117" s="2984"/>
      <c r="P117" s="1821"/>
      <c r="Q117" s="1790"/>
    </row>
    <row r="118" spans="1:17" ht="15" thickTop="1">
      <c r="A118" s="1872"/>
      <c r="B118" s="1827" t="s">
        <v>2323</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2324</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2274</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2275</v>
      </c>
      <c r="C124" s="579" t="s">
        <v>2250</v>
      </c>
      <c r="D124" s="579" t="s">
        <v>2251</v>
      </c>
      <c r="E124" s="579" t="s">
        <v>2252</v>
      </c>
      <c r="F124" s="579" t="s">
        <v>2253</v>
      </c>
      <c r="G124" s="579" t="s">
        <v>2254</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111</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2690</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f>IF(D2="——",IF(C2="元",ROUND(C50*D3,0),ROUND(C50*D3/10000,0)),IF(C2="元",ROUND(C50*D3,0),ROUND(C50*D3/10000,0))-E2)</f>
        <v>166</v>
      </c>
      <c r="C2" s="1619" t="str">
        <f>'数据-取费表'!B3</f>
        <v>万元</v>
      </c>
      <c r="D2" s="1620" t="s">
        <v>1184</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1858</v>
      </c>
      <c r="B3" s="1931">
        <f>ROUND(IF(D2="——",C50,IF(C2="万元",B2*10000/D3,B2/D3)),0)</f>
        <v>28189</v>
      </c>
      <c r="C3" s="1628" t="s">
        <v>2186</v>
      </c>
      <c r="D3" s="1628">
        <f>IF(C1="仅计算典型户型",'数据-取费表'!E5,'数据-取费表'!B5)</f>
        <v>58.79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2187</v>
      </c>
      <c r="B4" s="1632"/>
      <c r="C4" s="3653" t="s">
        <v>2188</v>
      </c>
      <c r="D4" s="3654"/>
      <c r="E4" s="3655" t="s">
        <v>2189</v>
      </c>
      <c r="F4" s="3656"/>
      <c r="G4" s="3653" t="s">
        <v>2190</v>
      </c>
      <c r="H4" s="3654"/>
      <c r="I4" s="3653" t="s">
        <v>2191</v>
      </c>
      <c r="J4" s="3654"/>
      <c r="K4" s="1934" t="s">
        <v>2192</v>
      </c>
      <c r="L4" s="2964"/>
      <c r="M4" s="2965"/>
      <c r="N4" s="2965"/>
      <c r="O4" s="2965"/>
      <c r="P4" s="3657" t="s">
        <v>2193</v>
      </c>
      <c r="Q4" s="3658"/>
      <c r="R4" s="3642" t="s">
        <v>2189</v>
      </c>
      <c r="S4" s="3643"/>
      <c r="T4" s="3642" t="s">
        <v>2190</v>
      </c>
      <c r="U4" s="3643"/>
      <c r="V4" s="3663" t="s">
        <v>2191</v>
      </c>
      <c r="W4" s="3663"/>
      <c r="X4" s="2043"/>
      <c r="Y4" s="3642" t="s">
        <v>2193</v>
      </c>
      <c r="Z4" s="3643"/>
      <c r="AA4" s="3650" t="s">
        <v>2189</v>
      </c>
      <c r="AB4" s="3650" t="s">
        <v>2190</v>
      </c>
      <c r="AC4" s="3650" t="s">
        <v>2191</v>
      </c>
    </row>
    <row r="5" spans="1:29" ht="15">
      <c r="A5" s="1636"/>
      <c r="B5" s="1637"/>
      <c r="C5" s="3638" t="s">
        <v>2194</v>
      </c>
      <c r="D5" s="3639"/>
      <c r="E5" s="3669" t="s">
        <v>3012</v>
      </c>
      <c r="F5" s="3665"/>
      <c r="G5" s="3670" t="s">
        <v>3013</v>
      </c>
      <c r="H5" s="3639"/>
      <c r="I5" s="3670" t="s">
        <v>3014</v>
      </c>
      <c r="J5" s="3639"/>
      <c r="K5" s="1934"/>
      <c r="L5" s="2964"/>
      <c r="M5" s="2965"/>
      <c r="N5" s="2965"/>
      <c r="O5" s="2965"/>
      <c r="P5" s="3659"/>
      <c r="Q5" s="3660"/>
      <c r="R5" s="3644"/>
      <c r="S5" s="3645"/>
      <c r="T5" s="3644"/>
      <c r="U5" s="3645"/>
      <c r="V5" s="3663"/>
      <c r="W5" s="3663"/>
      <c r="X5" s="2043"/>
      <c r="Y5" s="3644"/>
      <c r="Z5" s="3645"/>
      <c r="AA5" s="3651"/>
      <c r="AB5" s="3651"/>
      <c r="AC5" s="3651"/>
    </row>
    <row r="6" spans="1:29" ht="15.75" thickBot="1">
      <c r="A6" s="1639"/>
      <c r="B6" s="1640"/>
      <c r="C6" s="3636" t="s">
        <v>2198</v>
      </c>
      <c r="D6" s="3637"/>
      <c r="E6" s="3666" t="s">
        <v>2198</v>
      </c>
      <c r="F6" s="3667"/>
      <c r="G6" s="3636" t="s">
        <v>2198</v>
      </c>
      <c r="H6" s="3637"/>
      <c r="I6" s="3636" t="s">
        <v>2198</v>
      </c>
      <c r="J6" s="3637"/>
      <c r="K6" s="1934" t="s">
        <v>2199</v>
      </c>
      <c r="L6" s="2964"/>
      <c r="M6" s="2965"/>
      <c r="N6" s="2965"/>
      <c r="O6" s="2965"/>
      <c r="P6" s="3661"/>
      <c r="Q6" s="3662"/>
      <c r="R6" s="3644"/>
      <c r="S6" s="3645"/>
      <c r="T6" s="3646"/>
      <c r="U6" s="3647"/>
      <c r="V6" s="3663"/>
      <c r="W6" s="3663"/>
      <c r="X6" s="2043"/>
      <c r="Y6" s="3646"/>
      <c r="Z6" s="3647"/>
      <c r="AA6" s="3652"/>
      <c r="AB6" s="3652"/>
      <c r="AC6" s="3652"/>
    </row>
    <row r="7" spans="1:29" s="1653" customFormat="1" ht="15.75" thickBot="1">
      <c r="A7" s="1641" t="s">
        <v>2200</v>
      </c>
      <c r="B7" s="1642"/>
      <c r="C7" s="1643">
        <f>'数据-取费表'!B2</f>
        <v>44545</v>
      </c>
      <c r="D7" s="1644">
        <v>100</v>
      </c>
      <c r="E7" s="1645">
        <f>C7</f>
        <v>44545</v>
      </c>
      <c r="F7" s="1646">
        <f>SUMIF(59:59,YEAR(E7)&amp;"-"&amp;MONTH(E7),60:60)</f>
        <v>100</v>
      </c>
      <c r="G7" s="1935">
        <f>E7</f>
        <v>44545</v>
      </c>
      <c r="H7" s="1644">
        <f>SUMIF(59:59,YEAR(G7)&amp;"-"&amp;MONTH(G7),60:60)</f>
        <v>100</v>
      </c>
      <c r="I7" s="1935">
        <f>G7</f>
        <v>44545</v>
      </c>
      <c r="J7" s="1644">
        <f>SUMIF(59:59,YEAR(I7)&amp;"-"&amp;MONTH(I7),60:60)</f>
        <v>100</v>
      </c>
      <c r="K7" s="1936"/>
      <c r="L7" s="2964"/>
      <c r="M7" s="2937"/>
      <c r="N7" s="2937"/>
      <c r="O7" s="2937"/>
      <c r="P7" s="3640" t="s">
        <v>2201</v>
      </c>
      <c r="Q7" s="3648"/>
      <c r="R7" s="1649" t="s">
        <v>25</v>
      </c>
      <c r="S7" s="1650">
        <f t="shared" ref="S7:S15" si="0">F7</f>
        <v>100</v>
      </c>
      <c r="T7" s="1649" t="s">
        <v>25</v>
      </c>
      <c r="U7" s="1650">
        <f t="shared" ref="U7:U15" si="1">H7</f>
        <v>100</v>
      </c>
      <c r="V7" s="1649" t="s">
        <v>25</v>
      </c>
      <c r="W7" s="1650">
        <f t="shared" ref="W7:W15" si="2">J7</f>
        <v>100</v>
      </c>
      <c r="X7" s="1651"/>
      <c r="Y7" s="3640" t="s">
        <v>2201</v>
      </c>
      <c r="Z7" s="3641"/>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4"/>
      <c r="M8" s="2937"/>
      <c r="N8" s="2937"/>
      <c r="O8" s="2937"/>
      <c r="P8" s="3640" t="s">
        <v>2204</v>
      </c>
      <c r="Q8" s="3641"/>
      <c r="R8" s="1649" t="s">
        <v>25</v>
      </c>
      <c r="S8" s="1650">
        <f t="shared" si="0"/>
        <v>100</v>
      </c>
      <c r="T8" s="1649" t="s">
        <v>25</v>
      </c>
      <c r="U8" s="1650">
        <f t="shared" si="1"/>
        <v>100</v>
      </c>
      <c r="V8" s="1649" t="s">
        <v>25</v>
      </c>
      <c r="W8" s="1650">
        <f t="shared" si="2"/>
        <v>100</v>
      </c>
      <c r="X8" s="1651"/>
      <c r="Y8" s="3640" t="s">
        <v>2204</v>
      </c>
      <c r="Z8" s="3641"/>
      <c r="AA8" s="1652">
        <f t="shared" ref="AA8:AA47" si="3">D8/F8</f>
        <v>1</v>
      </c>
      <c r="AB8" s="1652">
        <f t="shared" ref="AB8:AB47" si="4">D8/H8</f>
        <v>1</v>
      </c>
      <c r="AC8" s="1652">
        <f t="shared" ref="AC8:AC47" si="5">D8/J8</f>
        <v>1</v>
      </c>
    </row>
    <row r="9" spans="1:29" s="1653" customFormat="1">
      <c r="A9" s="2035" t="s">
        <v>2205</v>
      </c>
      <c r="B9" s="1656" t="s">
        <v>2206</v>
      </c>
      <c r="C9" s="3322" t="s">
        <v>3015</v>
      </c>
      <c r="D9" s="1658">
        <v>100</v>
      </c>
      <c r="E9" s="3323" t="s">
        <v>3015</v>
      </c>
      <c r="F9" s="1658">
        <f>SUMIF(64:64,E9,65:65)-SUMIF(64:64,C9,65:65)+100</f>
        <v>100</v>
      </c>
      <c r="G9" s="3324" t="s">
        <v>3015</v>
      </c>
      <c r="H9" s="1658">
        <f>SUMIF(64:64,G9,65:65)-SUMIF(64:64,C9,65:65)+100</f>
        <v>100</v>
      </c>
      <c r="I9" s="3324" t="s">
        <v>3015</v>
      </c>
      <c r="J9" s="1658">
        <f>SUMIF(64:64,I9,65:65)-SUMIF(64:64,C9,65:65)+100</f>
        <v>100</v>
      </c>
      <c r="K9" s="1936"/>
      <c r="L9" s="2964"/>
      <c r="M9" s="2937"/>
      <c r="N9" s="2937"/>
      <c r="O9" s="2937"/>
      <c r="P9" s="3626" t="s">
        <v>2207</v>
      </c>
      <c r="Q9" s="2882" t="str">
        <f t="shared" ref="Q9:Q15" si="6">B9</f>
        <v>用途</v>
      </c>
      <c r="R9" s="1649" t="s">
        <v>25</v>
      </c>
      <c r="S9" s="1650">
        <f t="shared" si="0"/>
        <v>100</v>
      </c>
      <c r="T9" s="1649" t="s">
        <v>25</v>
      </c>
      <c r="U9" s="1650">
        <f t="shared" si="1"/>
        <v>100</v>
      </c>
      <c r="V9" s="1649" t="s">
        <v>25</v>
      </c>
      <c r="W9" s="1650">
        <f t="shared" si="2"/>
        <v>100</v>
      </c>
      <c r="X9" s="1651"/>
      <c r="Y9" s="3532" t="s">
        <v>2208</v>
      </c>
      <c r="Z9" s="1662" t="str">
        <f t="shared" ref="Z9:Z15" si="7">Q9</f>
        <v>用途</v>
      </c>
      <c r="AA9" s="1652">
        <f t="shared" si="3"/>
        <v>1</v>
      </c>
      <c r="AB9" s="1652">
        <f t="shared" si="4"/>
        <v>1</v>
      </c>
      <c r="AC9" s="1652">
        <f t="shared" si="5"/>
        <v>1</v>
      </c>
    </row>
    <row r="10" spans="1:29" s="1670" customFormat="1" ht="27">
      <c r="A10" s="1663"/>
      <c r="B10" s="1664" t="s">
        <v>2209</v>
      </c>
      <c r="C10" s="1665" t="s">
        <v>3016</v>
      </c>
      <c r="D10" s="1666">
        <v>100</v>
      </c>
      <c r="E10" s="1665" t="s">
        <v>3016</v>
      </c>
      <c r="F10" s="1666">
        <f>SUMIF(66:66,E10,67:67)-SUMIF(66:66,C10,67:67)+100</f>
        <v>100</v>
      </c>
      <c r="G10" s="1665" t="s">
        <v>3016</v>
      </c>
      <c r="H10" s="1666">
        <f>SUMIF(66:66,G10,67:67)-SUMIF(66:66,C10,67:67)+100</f>
        <v>100</v>
      </c>
      <c r="I10" s="1665" t="s">
        <v>3016</v>
      </c>
      <c r="J10" s="1666">
        <f>SUMIF(66:66,I10,67:67)-SUMIF(66:66,C10,67:67)+100</f>
        <v>100</v>
      </c>
      <c r="K10" s="1961">
        <v>1</v>
      </c>
      <c r="L10" s="2966"/>
      <c r="M10" s="2967"/>
      <c r="N10" s="2967"/>
      <c r="O10" s="2967"/>
      <c r="P10" s="3626"/>
      <c r="Q10" s="2882" t="str">
        <f t="shared" si="6"/>
        <v>土地使用年限（年）</v>
      </c>
      <c r="R10" s="1649" t="s">
        <v>25</v>
      </c>
      <c r="S10" s="1650">
        <f t="shared" si="0"/>
        <v>100</v>
      </c>
      <c r="T10" s="1649" t="s">
        <v>25</v>
      </c>
      <c r="U10" s="1650">
        <f t="shared" si="1"/>
        <v>100</v>
      </c>
      <c r="V10" s="1649" t="s">
        <v>25</v>
      </c>
      <c r="W10" s="1650">
        <f t="shared" si="2"/>
        <v>100</v>
      </c>
      <c r="X10" s="1651"/>
      <c r="Y10" s="3532"/>
      <c r="Z10" s="1662" t="str">
        <f t="shared" si="7"/>
        <v>土地使用年限（年）</v>
      </c>
      <c r="AA10" s="1652">
        <f t="shared" si="3"/>
        <v>1</v>
      </c>
      <c r="AB10" s="1652">
        <f t="shared" si="4"/>
        <v>1</v>
      </c>
      <c r="AC10" s="1652">
        <f t="shared" si="5"/>
        <v>1</v>
      </c>
    </row>
    <row r="11" spans="1:29" ht="15.75" thickBot="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26"/>
      <c r="Q11" s="2882" t="str">
        <f t="shared" si="6"/>
        <v>容积率</v>
      </c>
      <c r="R11" s="1649" t="s">
        <v>25</v>
      </c>
      <c r="S11" s="1650">
        <f t="shared" si="0"/>
        <v>100</v>
      </c>
      <c r="T11" s="1649" t="s">
        <v>25</v>
      </c>
      <c r="U11" s="1650">
        <f t="shared" si="1"/>
        <v>100</v>
      </c>
      <c r="V11" s="1649" t="s">
        <v>25</v>
      </c>
      <c r="W11" s="1650">
        <f t="shared" si="2"/>
        <v>100</v>
      </c>
      <c r="X11" s="1651"/>
      <c r="Y11" s="3532"/>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26"/>
      <c r="Q12" s="2882">
        <f t="shared" si="6"/>
        <v>111</v>
      </c>
      <c r="R12" s="1649" t="s">
        <v>25</v>
      </c>
      <c r="S12" s="1650">
        <f t="shared" si="0"/>
        <v>100</v>
      </c>
      <c r="T12" s="1649" t="s">
        <v>25</v>
      </c>
      <c r="U12" s="1650">
        <f t="shared" si="1"/>
        <v>100</v>
      </c>
      <c r="V12" s="1649" t="s">
        <v>25</v>
      </c>
      <c r="W12" s="1650">
        <f t="shared" si="2"/>
        <v>100</v>
      </c>
      <c r="X12" s="1651"/>
      <c r="Y12" s="3532"/>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26"/>
      <c r="Q13" s="2882">
        <f t="shared" si="6"/>
        <v>111</v>
      </c>
      <c r="R13" s="1649" t="s">
        <v>25</v>
      </c>
      <c r="S13" s="1650">
        <f t="shared" si="0"/>
        <v>100</v>
      </c>
      <c r="T13" s="1649" t="s">
        <v>25</v>
      </c>
      <c r="U13" s="1650">
        <f t="shared" si="1"/>
        <v>100</v>
      </c>
      <c r="V13" s="1649" t="s">
        <v>25</v>
      </c>
      <c r="W13" s="1650">
        <f t="shared" si="2"/>
        <v>100</v>
      </c>
      <c r="X13" s="1651"/>
      <c r="Y13" s="3532"/>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26"/>
      <c r="Q14" s="2882">
        <f t="shared" si="6"/>
        <v>111</v>
      </c>
      <c r="R14" s="1649" t="s">
        <v>25</v>
      </c>
      <c r="S14" s="1650">
        <f t="shared" si="0"/>
        <v>100</v>
      </c>
      <c r="T14" s="1649" t="s">
        <v>25</v>
      </c>
      <c r="U14" s="1650">
        <f t="shared" si="1"/>
        <v>100</v>
      </c>
      <c r="V14" s="1649" t="s">
        <v>25</v>
      </c>
      <c r="W14" s="1650">
        <f t="shared" si="2"/>
        <v>100</v>
      </c>
      <c r="X14" s="1651"/>
      <c r="Y14" s="3532"/>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29" t="s">
        <v>2212</v>
      </c>
      <c r="Q15" s="2883" t="str">
        <f t="shared" si="6"/>
        <v>办公集聚程度</v>
      </c>
      <c r="R15" s="1694" t="s">
        <v>25</v>
      </c>
      <c r="S15" s="1695">
        <f t="shared" si="0"/>
        <v>100</v>
      </c>
      <c r="T15" s="1694" t="s">
        <v>25</v>
      </c>
      <c r="U15" s="1695">
        <f t="shared" si="1"/>
        <v>100</v>
      </c>
      <c r="V15" s="1694" t="s">
        <v>25</v>
      </c>
      <c r="W15" s="1695">
        <f t="shared" si="2"/>
        <v>100</v>
      </c>
      <c r="X15" s="2043"/>
      <c r="Y15" s="3629" t="s">
        <v>2212</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30"/>
      <c r="Q16" s="2883"/>
      <c r="R16" s="1694"/>
      <c r="S16" s="1695"/>
      <c r="T16" s="1694"/>
      <c r="U16" s="1695"/>
      <c r="V16" s="1694"/>
      <c r="W16" s="1695"/>
      <c r="X16" s="2043"/>
      <c r="Y16" s="3630"/>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30"/>
      <c r="Q17" s="2883" t="str">
        <f>B17</f>
        <v>交通便捷度</v>
      </c>
      <c r="R17" s="1694" t="s">
        <v>25</v>
      </c>
      <c r="S17" s="1695">
        <f>F17</f>
        <v>100</v>
      </c>
      <c r="T17" s="1694" t="s">
        <v>25</v>
      </c>
      <c r="U17" s="1695">
        <f>H17</f>
        <v>100</v>
      </c>
      <c r="V17" s="1694" t="s">
        <v>25</v>
      </c>
      <c r="W17" s="1695">
        <f>J17</f>
        <v>100</v>
      </c>
      <c r="X17" s="2043"/>
      <c r="Y17" s="3630"/>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30"/>
      <c r="Q18" s="2883"/>
      <c r="R18" s="1694"/>
      <c r="S18" s="1695"/>
      <c r="T18" s="1694"/>
      <c r="U18" s="1695"/>
      <c r="V18" s="1694"/>
      <c r="W18" s="1695"/>
      <c r="X18" s="2043"/>
      <c r="Y18" s="3630"/>
      <c r="Z18" s="2047"/>
      <c r="AA18" s="2038">
        <v>1</v>
      </c>
      <c r="AB18" s="2038">
        <v>1</v>
      </c>
      <c r="AC18" s="2038">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30"/>
      <c r="Q19" s="2883" t="str">
        <f>B19</f>
        <v>公共配套设施</v>
      </c>
      <c r="R19" s="1694" t="s">
        <v>25</v>
      </c>
      <c r="S19" s="1695">
        <f>F19</f>
        <v>100</v>
      </c>
      <c r="T19" s="1694" t="s">
        <v>25</v>
      </c>
      <c r="U19" s="1695">
        <f>H19</f>
        <v>100</v>
      </c>
      <c r="V19" s="1694" t="s">
        <v>25</v>
      </c>
      <c r="W19" s="1695">
        <f>J19</f>
        <v>100</v>
      </c>
      <c r="X19" s="2043"/>
      <c r="Y19" s="3630"/>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30"/>
      <c r="Q20" s="2883"/>
      <c r="R20" s="1694"/>
      <c r="S20" s="1695"/>
      <c r="T20" s="1694"/>
      <c r="U20" s="1695"/>
      <c r="V20" s="1694"/>
      <c r="W20" s="1695"/>
      <c r="X20" s="2043"/>
      <c r="Y20" s="3630"/>
      <c r="Z20" s="2047"/>
      <c r="AA20" s="2038">
        <v>1</v>
      </c>
      <c r="AB20" s="2038">
        <v>1</v>
      </c>
      <c r="AC20" s="2038">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30"/>
      <c r="Q21" s="2883" t="str">
        <f>B21</f>
        <v>基础设施水平</v>
      </c>
      <c r="R21" s="1694" t="s">
        <v>25</v>
      </c>
      <c r="S21" s="1695">
        <f>F21</f>
        <v>100</v>
      </c>
      <c r="T21" s="1694" t="s">
        <v>25</v>
      </c>
      <c r="U21" s="1695">
        <f>H21</f>
        <v>100</v>
      </c>
      <c r="V21" s="1694" t="s">
        <v>25</v>
      </c>
      <c r="W21" s="1695">
        <f>J21</f>
        <v>100</v>
      </c>
      <c r="X21" s="2043"/>
      <c r="Y21" s="3630"/>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30"/>
      <c r="Q22" s="2883"/>
      <c r="R22" s="1694"/>
      <c r="S22" s="1695"/>
      <c r="T22" s="1694"/>
      <c r="U22" s="1695"/>
      <c r="V22" s="1694"/>
      <c r="W22" s="1695"/>
      <c r="X22" s="2043"/>
      <c r="Y22" s="3630"/>
      <c r="Z22" s="2047"/>
      <c r="AA22" s="2038">
        <v>1</v>
      </c>
      <c r="AB22" s="2038">
        <v>1</v>
      </c>
      <c r="AC22" s="2038">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30"/>
      <c r="Q23" s="2883" t="str">
        <f>B23</f>
        <v>环境质量</v>
      </c>
      <c r="R23" s="1694" t="s">
        <v>25</v>
      </c>
      <c r="S23" s="1695">
        <f>F23</f>
        <v>100</v>
      </c>
      <c r="T23" s="1694" t="s">
        <v>25</v>
      </c>
      <c r="U23" s="1695">
        <f>H23</f>
        <v>100</v>
      </c>
      <c r="V23" s="1694" t="s">
        <v>25</v>
      </c>
      <c r="W23" s="1695">
        <f>J23</f>
        <v>100</v>
      </c>
      <c r="X23" s="2043"/>
      <c r="Y23" s="3630"/>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30"/>
      <c r="Q24" s="2883"/>
      <c r="R24" s="1694"/>
      <c r="S24" s="1695"/>
      <c r="T24" s="1694"/>
      <c r="U24" s="1695"/>
      <c r="V24" s="1694"/>
      <c r="W24" s="1695"/>
      <c r="X24" s="2043"/>
      <c r="Y24" s="3630"/>
      <c r="Z24" s="2047"/>
      <c r="AA24" s="2038">
        <v>1</v>
      </c>
      <c r="AB24" s="2038">
        <v>1</v>
      </c>
      <c r="AC24" s="2038">
        <v>1</v>
      </c>
    </row>
    <row r="25" spans="1:29" ht="27">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0"/>
      <c r="Q25" s="2883" t="str">
        <f>B25</f>
        <v>毗邻道路的类型与等级</v>
      </c>
      <c r="R25" s="1694" t="s">
        <v>25</v>
      </c>
      <c r="S25" s="1695">
        <f>F25</f>
        <v>100</v>
      </c>
      <c r="T25" s="1694" t="s">
        <v>25</v>
      </c>
      <c r="U25" s="1695">
        <f>H25</f>
        <v>100</v>
      </c>
      <c r="V25" s="1694" t="s">
        <v>25</v>
      </c>
      <c r="W25" s="1695">
        <f>J25</f>
        <v>100</v>
      </c>
      <c r="X25" s="2043"/>
      <c r="Y25" s="3630"/>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30"/>
      <c r="Q26" s="2883"/>
      <c r="R26" s="1694"/>
      <c r="S26" s="1695"/>
      <c r="T26" s="1694"/>
      <c r="U26" s="1695"/>
      <c r="V26" s="1694"/>
      <c r="W26" s="1695"/>
      <c r="X26" s="2043"/>
      <c r="Y26" s="3630"/>
      <c r="Z26" s="2047"/>
      <c r="AA26" s="2038">
        <v>1</v>
      </c>
      <c r="AB26" s="2038">
        <v>1</v>
      </c>
      <c r="AC26" s="2038">
        <v>1</v>
      </c>
    </row>
    <row r="27" spans="1:29" ht="15" hidden="1">
      <c r="A27" s="1671"/>
      <c r="B27" s="2464" t="s">
        <v>2303</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0"/>
      <c r="Q27" s="2883" t="str">
        <f t="shared" ref="Q27:Q47" si="11">B27</f>
        <v>楼层</v>
      </c>
      <c r="R27" s="1694" t="s">
        <v>25</v>
      </c>
      <c r="S27" s="1695">
        <f>F27</f>
        <v>100</v>
      </c>
      <c r="T27" s="1694" t="s">
        <v>25</v>
      </c>
      <c r="U27" s="1695">
        <f>H27</f>
        <v>100</v>
      </c>
      <c r="V27" s="1694" t="s">
        <v>25</v>
      </c>
      <c r="W27" s="1695">
        <f>J27</f>
        <v>100</v>
      </c>
      <c r="X27" s="2043"/>
      <c r="Y27" s="3630"/>
      <c r="Z27" s="2047" t="str">
        <f>Q27</f>
        <v>楼层</v>
      </c>
      <c r="AA27" s="2038">
        <f t="shared" si="3"/>
        <v>1</v>
      </c>
      <c r="AB27" s="2038">
        <f t="shared" si="4"/>
        <v>1</v>
      </c>
      <c r="AC27" s="2038">
        <f t="shared" si="5"/>
        <v>1</v>
      </c>
    </row>
    <row r="28" spans="1:29" s="1653" customFormat="1" ht="15" hidden="1">
      <c r="A28" s="1674"/>
      <c r="B28" s="2463" t="s">
        <v>2331</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30"/>
      <c r="Q28" s="2882" t="str">
        <f t="shared" si="11"/>
        <v>朝向</v>
      </c>
      <c r="R28" s="1649" t="s">
        <v>25</v>
      </c>
      <c r="S28" s="1650">
        <f>F28</f>
        <v>100</v>
      </c>
      <c r="T28" s="1649" t="s">
        <v>25</v>
      </c>
      <c r="U28" s="1650">
        <f>H28</f>
        <v>100</v>
      </c>
      <c r="V28" s="1649" t="s">
        <v>25</v>
      </c>
      <c r="W28" s="1650">
        <f>J28</f>
        <v>100</v>
      </c>
      <c r="X28" s="1651"/>
      <c r="Y28" s="3630"/>
      <c r="Z28" s="1662" t="str">
        <f>Q28</f>
        <v>朝向</v>
      </c>
      <c r="AA28" s="2038">
        <f>D28/F28</f>
        <v>1</v>
      </c>
      <c r="AB28" s="2038">
        <f>D28/H28</f>
        <v>1</v>
      </c>
      <c r="AC28" s="2038">
        <f>D28/J28</f>
        <v>1</v>
      </c>
    </row>
    <row r="29" spans="1:29" ht="15.75" thickBot="1">
      <c r="A29" s="1671"/>
      <c r="B29" s="3327" t="s">
        <v>3022</v>
      </c>
      <c r="C29" s="2466"/>
      <c r="D29" s="1680">
        <v>100</v>
      </c>
      <c r="E29" s="1676"/>
      <c r="F29" s="1680">
        <f>SUMIF(93:93,E29,94:94)-SUMIF(93:93,C29,94:94)+100</f>
        <v>100</v>
      </c>
      <c r="G29" s="2459"/>
      <c r="H29" s="1680">
        <f>SUMIF(93:93,G29,94:94)-SUMIF(93:93,C29,94:94)+100</f>
        <v>100</v>
      </c>
      <c r="I29" s="1676"/>
      <c r="J29" s="1680">
        <f>SUMIF(93:93,I29,94:94)-SUMIF(93:93,C29,94:94)+100</f>
        <v>100</v>
      </c>
      <c r="K29" s="1958"/>
      <c r="L29" s="2969"/>
      <c r="M29" s="2965"/>
      <c r="N29" s="2965"/>
      <c r="O29" s="2965"/>
      <c r="P29" s="3630"/>
      <c r="Q29" s="2883" t="str">
        <f t="shared" si="11"/>
        <v>楼层</v>
      </c>
      <c r="R29" s="1694" t="s">
        <v>25</v>
      </c>
      <c r="S29" s="1695">
        <f t="shared" ref="S29:S47" si="12">F29</f>
        <v>100</v>
      </c>
      <c r="T29" s="1694" t="s">
        <v>25</v>
      </c>
      <c r="U29" s="1695">
        <f t="shared" ref="U29:U47" si="13">H29</f>
        <v>100</v>
      </c>
      <c r="V29" s="1694" t="s">
        <v>25</v>
      </c>
      <c r="W29" s="1695">
        <f t="shared" ref="W29:W47" si="14">J29</f>
        <v>100</v>
      </c>
      <c r="X29" s="2043"/>
      <c r="Y29" s="3630"/>
      <c r="Z29" s="2047" t="str">
        <f t="shared" ref="Z29:Z47" si="15">Q29</f>
        <v>楼层</v>
      </c>
      <c r="AA29" s="2038">
        <f t="shared" si="3"/>
        <v>1</v>
      </c>
      <c r="AB29" s="2038">
        <f t="shared" si="4"/>
        <v>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0"/>
      <c r="Q30" s="2883">
        <f t="shared" si="11"/>
        <v>111</v>
      </c>
      <c r="R30" s="1694" t="s">
        <v>25</v>
      </c>
      <c r="S30" s="1695">
        <f t="shared" si="12"/>
        <v>100</v>
      </c>
      <c r="T30" s="1694" t="s">
        <v>25</v>
      </c>
      <c r="U30" s="1695">
        <f t="shared" si="13"/>
        <v>100</v>
      </c>
      <c r="V30" s="1694" t="s">
        <v>25</v>
      </c>
      <c r="W30" s="1695">
        <f t="shared" si="14"/>
        <v>100</v>
      </c>
      <c r="X30" s="2043"/>
      <c r="Y30" s="3630"/>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0"/>
      <c r="Q31" s="2883">
        <f t="shared" si="11"/>
        <v>111</v>
      </c>
      <c r="R31" s="1694" t="s">
        <v>25</v>
      </c>
      <c r="S31" s="1695">
        <f t="shared" si="12"/>
        <v>100</v>
      </c>
      <c r="T31" s="1694" t="s">
        <v>25</v>
      </c>
      <c r="U31" s="1695">
        <f t="shared" si="13"/>
        <v>100</v>
      </c>
      <c r="V31" s="1694" t="s">
        <v>25</v>
      </c>
      <c r="W31" s="1695">
        <f t="shared" si="14"/>
        <v>100</v>
      </c>
      <c r="X31" s="2043"/>
      <c r="Y31" s="3630"/>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0"/>
      <c r="Q32" s="2883">
        <f t="shared" si="11"/>
        <v>111</v>
      </c>
      <c r="R32" s="1694" t="s">
        <v>25</v>
      </c>
      <c r="S32" s="1695">
        <f t="shared" si="12"/>
        <v>100</v>
      </c>
      <c r="T32" s="1694" t="s">
        <v>25</v>
      </c>
      <c r="U32" s="1695">
        <f t="shared" si="13"/>
        <v>100</v>
      </c>
      <c r="V32" s="1694" t="s">
        <v>25</v>
      </c>
      <c r="W32" s="1695">
        <f t="shared" si="14"/>
        <v>100</v>
      </c>
      <c r="X32" s="2043"/>
      <c r="Y32" s="3630"/>
      <c r="Z32" s="2047">
        <f t="shared" si="15"/>
        <v>111</v>
      </c>
      <c r="AA32" s="2038">
        <f t="shared" si="3"/>
        <v>1</v>
      </c>
      <c r="AB32" s="2038">
        <f t="shared" si="4"/>
        <v>1</v>
      </c>
      <c r="AC32" s="2038">
        <f t="shared" si="5"/>
        <v>1</v>
      </c>
    </row>
    <row r="33" spans="1:29" ht="15">
      <c r="A33" s="1686" t="s">
        <v>2216</v>
      </c>
      <c r="B33" s="1656" t="s">
        <v>2332</v>
      </c>
      <c r="C33" s="2471" t="s">
        <v>3020</v>
      </c>
      <c r="D33" s="1731">
        <v>100</v>
      </c>
      <c r="E33" s="2471" t="s">
        <v>3020</v>
      </c>
      <c r="F33" s="1723">
        <f>SUMIF(101:101,E33,102:102)-SUMIF(101:101,C33,102:102)+100</f>
        <v>100</v>
      </c>
      <c r="G33" s="2471" t="s">
        <v>3020</v>
      </c>
      <c r="H33" s="1680">
        <f>SUMIF(101:101,G33,102:102)-SUMIF(101:101,C33,102:102)+100</f>
        <v>100</v>
      </c>
      <c r="I33" s="2471" t="s">
        <v>3020</v>
      </c>
      <c r="J33" s="1731">
        <f>SUMIF(101:101,I33,102:102)-SUMIF(101:101,C33,102:102)+100</f>
        <v>100</v>
      </c>
      <c r="K33" s="1961"/>
      <c r="L33" s="2969"/>
      <c r="M33" s="2965"/>
      <c r="N33" s="2965"/>
      <c r="O33" s="2965"/>
      <c r="P33" s="3668" t="s">
        <v>2218</v>
      </c>
      <c r="Q33" s="2883" t="str">
        <f t="shared" si="11"/>
        <v>建筑类型</v>
      </c>
      <c r="R33" s="1694" t="s">
        <v>25</v>
      </c>
      <c r="S33" s="1695">
        <f t="shared" si="12"/>
        <v>100</v>
      </c>
      <c r="T33" s="1694" t="s">
        <v>25</v>
      </c>
      <c r="U33" s="1695">
        <f t="shared" si="13"/>
        <v>100</v>
      </c>
      <c r="V33" s="1694" t="s">
        <v>25</v>
      </c>
      <c r="W33" s="1695">
        <f t="shared" si="14"/>
        <v>100</v>
      </c>
      <c r="X33" s="2043"/>
      <c r="Y33" s="3634" t="s">
        <v>2218</v>
      </c>
      <c r="Z33" s="2047" t="str">
        <f t="shared" si="15"/>
        <v>建筑类型</v>
      </c>
      <c r="AA33" s="2038">
        <f t="shared" si="3"/>
        <v>1</v>
      </c>
      <c r="AB33" s="2038">
        <f t="shared" si="4"/>
        <v>1</v>
      </c>
      <c r="AC33" s="2038">
        <f t="shared" si="5"/>
        <v>1</v>
      </c>
    </row>
    <row r="34" spans="1:29" s="1740" customFormat="1" ht="15">
      <c r="A34" s="1733"/>
      <c r="B34" s="1664" t="s">
        <v>2219</v>
      </c>
      <c r="C34" s="1734"/>
      <c r="D34" s="1666">
        <v>100</v>
      </c>
      <c r="E34" s="1673"/>
      <c r="F34" s="1668">
        <f>LOOKUP(E34,104:104,105:105)-LOOKUP(C34,104:104,105:105)+100</f>
        <v>100</v>
      </c>
      <c r="G34" s="1672"/>
      <c r="H34" s="1666">
        <f>LOOKUP(G34,104:104,105:105)-LOOKUP(C34,104:104,105:105)+100</f>
        <v>100</v>
      </c>
      <c r="I34" s="1672"/>
      <c r="J34" s="1666">
        <f>LOOKUP(I34,104:104,105:105)-LOOKUP(C34,104:104,105:105)+100</f>
        <v>100</v>
      </c>
      <c r="K34" s="1958"/>
      <c r="L34" s="2968"/>
      <c r="M34" s="2028"/>
      <c r="N34" s="2028"/>
      <c r="O34" s="2028"/>
      <c r="P34" s="3634"/>
      <c r="Q34" s="1735" t="str">
        <f t="shared" si="11"/>
        <v>项目建筑规模</v>
      </c>
      <c r="R34" s="1736" t="s">
        <v>25</v>
      </c>
      <c r="S34" s="1737">
        <f t="shared" si="12"/>
        <v>100</v>
      </c>
      <c r="T34" s="1736" t="s">
        <v>25</v>
      </c>
      <c r="U34" s="1737">
        <f t="shared" si="13"/>
        <v>100</v>
      </c>
      <c r="V34" s="1736" t="s">
        <v>25</v>
      </c>
      <c r="W34" s="1737">
        <f t="shared" si="14"/>
        <v>100</v>
      </c>
      <c r="X34" s="1738"/>
      <c r="Y34" s="3634"/>
      <c r="Z34" s="1739" t="str">
        <f t="shared" si="15"/>
        <v>项目建筑规模</v>
      </c>
      <c r="AA34" s="2038">
        <f t="shared" si="3"/>
        <v>1</v>
      </c>
      <c r="AB34" s="2038">
        <f t="shared" si="4"/>
        <v>1</v>
      </c>
      <c r="AC34" s="2038">
        <f t="shared" si="5"/>
        <v>1</v>
      </c>
    </row>
    <row r="35" spans="1:29" ht="15">
      <c r="A35" s="1741"/>
      <c r="B35" s="1664" t="s">
        <v>2220</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4"/>
      <c r="Q35" s="2883" t="str">
        <f t="shared" si="11"/>
        <v>建筑结构</v>
      </c>
      <c r="R35" s="1694" t="s">
        <v>25</v>
      </c>
      <c r="S35" s="1695">
        <f t="shared" si="12"/>
        <v>100</v>
      </c>
      <c r="T35" s="1694" t="s">
        <v>25</v>
      </c>
      <c r="U35" s="1695">
        <f t="shared" si="13"/>
        <v>100</v>
      </c>
      <c r="V35" s="1694" t="s">
        <v>25</v>
      </c>
      <c r="W35" s="1695">
        <f t="shared" si="14"/>
        <v>100</v>
      </c>
      <c r="X35" s="2043"/>
      <c r="Y35" s="3634"/>
      <c r="Z35" s="2047" t="str">
        <f t="shared" si="15"/>
        <v>建筑结构</v>
      </c>
      <c r="AA35" s="2038">
        <f t="shared" si="3"/>
        <v>1</v>
      </c>
      <c r="AB35" s="2038">
        <f t="shared" si="4"/>
        <v>1</v>
      </c>
      <c r="AC35" s="2038">
        <f t="shared" si="5"/>
        <v>1</v>
      </c>
    </row>
    <row r="36" spans="1:29" ht="15">
      <c r="A36" s="1741"/>
      <c r="B36" s="1664" t="s">
        <v>2305</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4"/>
      <c r="Q36" s="2883" t="str">
        <f t="shared" si="11"/>
        <v>公共部分装修</v>
      </c>
      <c r="R36" s="1694" t="s">
        <v>25</v>
      </c>
      <c r="S36" s="1695">
        <f t="shared" si="12"/>
        <v>100</v>
      </c>
      <c r="T36" s="1694" t="s">
        <v>25</v>
      </c>
      <c r="U36" s="1695">
        <f t="shared" si="13"/>
        <v>100</v>
      </c>
      <c r="V36" s="1694" t="s">
        <v>25</v>
      </c>
      <c r="W36" s="1695">
        <f t="shared" si="14"/>
        <v>100</v>
      </c>
      <c r="X36" s="2043"/>
      <c r="Y36" s="3634"/>
      <c r="Z36" s="2047" t="str">
        <f t="shared" si="15"/>
        <v>公共部分装修</v>
      </c>
      <c r="AA36" s="2038">
        <f t="shared" si="3"/>
        <v>1</v>
      </c>
      <c r="AB36" s="2038">
        <f t="shared" si="4"/>
        <v>1</v>
      </c>
      <c r="AC36" s="2038">
        <f t="shared" si="5"/>
        <v>1</v>
      </c>
    </row>
    <row r="37" spans="1:29" ht="15">
      <c r="A37" s="1741"/>
      <c r="B37" s="1664" t="s">
        <v>2306</v>
      </c>
      <c r="C37" s="1745">
        <f>'数据-取费表'!E20</f>
        <v>0.95</v>
      </c>
      <c r="D37" s="1680">
        <v>100</v>
      </c>
      <c r="E37" s="1745">
        <v>0.97</v>
      </c>
      <c r="F37" s="1723">
        <f>LOOKUP(E37,111:111,112:112)-LOOKUP(C37,111:111,112:112)+100</f>
        <v>100</v>
      </c>
      <c r="G37" s="1745">
        <v>0.92</v>
      </c>
      <c r="H37" s="1723">
        <f>LOOKUP(G37,111:111,112:112)-LOOKUP(C37,111:111,112:112)+100</f>
        <v>100</v>
      </c>
      <c r="I37" s="1745">
        <v>0.93</v>
      </c>
      <c r="J37" s="1680">
        <f>LOOKUP(I37,111:111,112:112)-LOOKUP(C37,111:111,112:112)+100</f>
        <v>100</v>
      </c>
      <c r="K37" s="1961"/>
      <c r="L37" s="2969"/>
      <c r="M37" s="2965"/>
      <c r="N37" s="2965"/>
      <c r="O37" s="2965"/>
      <c r="P37" s="3634"/>
      <c r="Q37" s="2883" t="str">
        <f t="shared" si="11"/>
        <v>成新度</v>
      </c>
      <c r="R37" s="1694" t="s">
        <v>25</v>
      </c>
      <c r="S37" s="1695">
        <f t="shared" si="12"/>
        <v>100</v>
      </c>
      <c r="T37" s="1694" t="s">
        <v>25</v>
      </c>
      <c r="U37" s="1695">
        <f t="shared" si="13"/>
        <v>100</v>
      </c>
      <c r="V37" s="1694" t="s">
        <v>25</v>
      </c>
      <c r="W37" s="1695">
        <f t="shared" si="14"/>
        <v>100</v>
      </c>
      <c r="X37" s="2043"/>
      <c r="Y37" s="3634"/>
      <c r="Z37" s="2047" t="str">
        <f t="shared" si="15"/>
        <v>成新度</v>
      </c>
      <c r="AA37" s="2038">
        <f t="shared" si="3"/>
        <v>1</v>
      </c>
      <c r="AB37" s="2038">
        <f t="shared" si="4"/>
        <v>1</v>
      </c>
      <c r="AC37" s="2038">
        <f t="shared" si="5"/>
        <v>1</v>
      </c>
    </row>
    <row r="38" spans="1:29" s="1653" customFormat="1" ht="15">
      <c r="A38" s="1744"/>
      <c r="B38" s="1664" t="s">
        <v>2333</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4"/>
      <c r="Q38" s="2882" t="str">
        <f t="shared" si="11"/>
        <v>写字楼等级</v>
      </c>
      <c r="R38" s="1649" t="s">
        <v>25</v>
      </c>
      <c r="S38" s="1650">
        <f t="shared" si="12"/>
        <v>100</v>
      </c>
      <c r="T38" s="1649" t="s">
        <v>25</v>
      </c>
      <c r="U38" s="1650">
        <f t="shared" si="13"/>
        <v>100</v>
      </c>
      <c r="V38" s="1649" t="s">
        <v>25</v>
      </c>
      <c r="W38" s="1650">
        <f t="shared" si="14"/>
        <v>100</v>
      </c>
      <c r="X38" s="1651"/>
      <c r="Y38" s="3634"/>
      <c r="Z38" s="1662" t="str">
        <f t="shared" si="15"/>
        <v>写字楼等级</v>
      </c>
      <c r="AA38" s="1652">
        <f t="shared" si="3"/>
        <v>1</v>
      </c>
      <c r="AB38" s="1652">
        <f t="shared" si="4"/>
        <v>1</v>
      </c>
      <c r="AC38" s="1652">
        <f t="shared" si="5"/>
        <v>1</v>
      </c>
    </row>
    <row r="39" spans="1:29" ht="15">
      <c r="A39" s="1741"/>
      <c r="B39" s="1664" t="s">
        <v>2334</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4" t="s">
        <v>2218</v>
      </c>
      <c r="Q39" s="2883" t="str">
        <f t="shared" si="11"/>
        <v>物业管理</v>
      </c>
      <c r="R39" s="1694" t="s">
        <v>25</v>
      </c>
      <c r="S39" s="1695">
        <f t="shared" si="12"/>
        <v>100</v>
      </c>
      <c r="T39" s="1694" t="s">
        <v>25</v>
      </c>
      <c r="U39" s="1695">
        <f t="shared" si="13"/>
        <v>100</v>
      </c>
      <c r="V39" s="1694" t="s">
        <v>25</v>
      </c>
      <c r="W39" s="1695">
        <f t="shared" si="14"/>
        <v>100</v>
      </c>
      <c r="X39" s="2043"/>
      <c r="Y39" s="3634" t="s">
        <v>2218</v>
      </c>
      <c r="Z39" s="2047" t="str">
        <f t="shared" si="15"/>
        <v>物业管理</v>
      </c>
      <c r="AA39" s="2038">
        <f t="shared" si="3"/>
        <v>1</v>
      </c>
      <c r="AB39" s="2038">
        <f t="shared" si="4"/>
        <v>1</v>
      </c>
      <c r="AC39" s="2038">
        <f t="shared" si="5"/>
        <v>1</v>
      </c>
    </row>
    <row r="40" spans="1:29" ht="15">
      <c r="A40" s="1741"/>
      <c r="B40" s="1664" t="s">
        <v>2307</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34"/>
      <c r="Q40" s="2883" t="str">
        <f t="shared" si="11"/>
        <v>市政基础设施</v>
      </c>
      <c r="R40" s="1694" t="s">
        <v>25</v>
      </c>
      <c r="S40" s="1695">
        <f t="shared" si="12"/>
        <v>100</v>
      </c>
      <c r="T40" s="1694" t="s">
        <v>25</v>
      </c>
      <c r="U40" s="1695">
        <f t="shared" si="13"/>
        <v>100</v>
      </c>
      <c r="V40" s="1694" t="s">
        <v>25</v>
      </c>
      <c r="W40" s="1695">
        <f t="shared" si="14"/>
        <v>100</v>
      </c>
      <c r="X40" s="2043"/>
      <c r="Y40" s="3634"/>
      <c r="Z40" s="2047" t="str">
        <f t="shared" si="15"/>
        <v>市政基础设施</v>
      </c>
      <c r="AA40" s="2038">
        <f t="shared" si="3"/>
        <v>1</v>
      </c>
      <c r="AB40" s="2038">
        <f t="shared" si="4"/>
        <v>1</v>
      </c>
      <c r="AC40" s="2038">
        <f t="shared" si="5"/>
        <v>1</v>
      </c>
    </row>
    <row r="41" spans="1:29" ht="15">
      <c r="A41" s="1741"/>
      <c r="B41" s="1664" t="s">
        <v>2309</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34"/>
      <c r="Q41" s="2883" t="str">
        <f t="shared" si="11"/>
        <v>层高</v>
      </c>
      <c r="R41" s="1694" t="s">
        <v>25</v>
      </c>
      <c r="S41" s="1695">
        <f t="shared" si="12"/>
        <v>100</v>
      </c>
      <c r="T41" s="1694" t="s">
        <v>25</v>
      </c>
      <c r="U41" s="1695">
        <f t="shared" si="13"/>
        <v>100</v>
      </c>
      <c r="V41" s="1694" t="s">
        <v>25</v>
      </c>
      <c r="W41" s="1695">
        <f t="shared" si="14"/>
        <v>100</v>
      </c>
      <c r="X41" s="2043"/>
      <c r="Y41" s="3634"/>
      <c r="Z41" s="2047" t="str">
        <f t="shared" si="15"/>
        <v>层高</v>
      </c>
      <c r="AA41" s="2038">
        <f t="shared" si="3"/>
        <v>1</v>
      </c>
      <c r="AB41" s="2038">
        <f t="shared" si="4"/>
        <v>1</v>
      </c>
      <c r="AC41" s="2038">
        <f t="shared" si="5"/>
        <v>1</v>
      </c>
    </row>
    <row r="42" spans="1:29" s="1740" customFormat="1" ht="15">
      <c r="A42" s="1733"/>
      <c r="B42" s="2039"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4"/>
      <c r="Q42" s="1735" t="str">
        <f t="shared" si="11"/>
        <v>单套建筑面积</v>
      </c>
      <c r="R42" s="1736" t="s">
        <v>25</v>
      </c>
      <c r="S42" s="1737">
        <f t="shared" si="12"/>
        <v>100</v>
      </c>
      <c r="T42" s="1736" t="s">
        <v>25</v>
      </c>
      <c r="U42" s="1737">
        <f t="shared" si="13"/>
        <v>100</v>
      </c>
      <c r="V42" s="1736" t="s">
        <v>25</v>
      </c>
      <c r="W42" s="1737">
        <f t="shared" si="14"/>
        <v>100</v>
      </c>
      <c r="X42" s="1738"/>
      <c r="Y42" s="3634"/>
      <c r="Z42" s="1739" t="str">
        <f t="shared" si="15"/>
        <v>单套建筑面积</v>
      </c>
      <c r="AA42" s="2038">
        <f t="shared" si="3"/>
        <v>1</v>
      </c>
      <c r="AB42" s="2038">
        <f t="shared" si="4"/>
        <v>1</v>
      </c>
      <c r="AC42" s="2038">
        <f t="shared" si="5"/>
        <v>1</v>
      </c>
    </row>
    <row r="43" spans="1:29" ht="15">
      <c r="A43" s="1741"/>
      <c r="B43" s="1664" t="s">
        <v>2312</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9"/>
      <c r="M43" s="2965"/>
      <c r="N43" s="2965"/>
      <c r="O43" s="2965"/>
      <c r="P43" s="3634"/>
      <c r="Q43" s="2883" t="str">
        <f t="shared" si="11"/>
        <v>内部装修</v>
      </c>
      <c r="R43" s="1694" t="s">
        <v>25</v>
      </c>
      <c r="S43" s="1695">
        <f t="shared" si="12"/>
        <v>100</v>
      </c>
      <c r="T43" s="1694" t="s">
        <v>25</v>
      </c>
      <c r="U43" s="1695">
        <f t="shared" si="13"/>
        <v>100</v>
      </c>
      <c r="V43" s="1694" t="s">
        <v>25</v>
      </c>
      <c r="W43" s="1695">
        <f t="shared" si="14"/>
        <v>100</v>
      </c>
      <c r="X43" s="2043"/>
      <c r="Y43" s="3634"/>
      <c r="Z43" s="2047" t="str">
        <f t="shared" si="15"/>
        <v>内部装修</v>
      </c>
      <c r="AA43" s="2038">
        <f t="shared" si="3"/>
        <v>1</v>
      </c>
      <c r="AB43" s="2038">
        <f t="shared" si="4"/>
        <v>1</v>
      </c>
      <c r="AC43" s="2038">
        <f t="shared" si="5"/>
        <v>1</v>
      </c>
    </row>
    <row r="44" spans="1:29" ht="15.75" thickBot="1">
      <c r="A44" s="1741"/>
      <c r="B44" s="1664" t="s">
        <v>2229</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34"/>
      <c r="Q44" s="2883" t="str">
        <f t="shared" si="11"/>
        <v>内部装修维护情况</v>
      </c>
      <c r="R44" s="1694" t="s">
        <v>25</v>
      </c>
      <c r="S44" s="1695">
        <f t="shared" si="12"/>
        <v>100</v>
      </c>
      <c r="T44" s="1694" t="s">
        <v>25</v>
      </c>
      <c r="U44" s="1695">
        <f t="shared" si="13"/>
        <v>100</v>
      </c>
      <c r="V44" s="1694" t="s">
        <v>25</v>
      </c>
      <c r="W44" s="1695">
        <f t="shared" si="14"/>
        <v>100</v>
      </c>
      <c r="X44" s="2043"/>
      <c r="Y44" s="3634"/>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4"/>
      <c r="Q45" s="2882">
        <f t="shared" si="11"/>
        <v>111</v>
      </c>
      <c r="R45" s="1649" t="s">
        <v>25</v>
      </c>
      <c r="S45" s="1650">
        <f t="shared" si="12"/>
        <v>100</v>
      </c>
      <c r="T45" s="1649" t="s">
        <v>25</v>
      </c>
      <c r="U45" s="1650">
        <f t="shared" si="13"/>
        <v>100</v>
      </c>
      <c r="V45" s="1649" t="s">
        <v>25</v>
      </c>
      <c r="W45" s="1650">
        <f t="shared" si="14"/>
        <v>100</v>
      </c>
      <c r="X45" s="1651"/>
      <c r="Y45" s="3634"/>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4"/>
      <c r="Q46" s="2883">
        <f t="shared" si="11"/>
        <v>111</v>
      </c>
      <c r="R46" s="1694" t="s">
        <v>25</v>
      </c>
      <c r="S46" s="1695">
        <f t="shared" si="12"/>
        <v>100</v>
      </c>
      <c r="T46" s="1694" t="s">
        <v>25</v>
      </c>
      <c r="U46" s="1695">
        <f t="shared" si="13"/>
        <v>100</v>
      </c>
      <c r="V46" s="1694" t="s">
        <v>25</v>
      </c>
      <c r="W46" s="1695">
        <f t="shared" si="14"/>
        <v>100</v>
      </c>
      <c r="X46" s="2043"/>
      <c r="Y46" s="3634"/>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35"/>
      <c r="Q47" s="2883">
        <f t="shared" si="11"/>
        <v>111</v>
      </c>
      <c r="R47" s="1694" t="s">
        <v>25</v>
      </c>
      <c r="S47" s="1695">
        <f t="shared" si="12"/>
        <v>100</v>
      </c>
      <c r="T47" s="1694" t="s">
        <v>25</v>
      </c>
      <c r="U47" s="1695">
        <f t="shared" si="13"/>
        <v>100</v>
      </c>
      <c r="V47" s="1694" t="s">
        <v>25</v>
      </c>
      <c r="W47" s="1695">
        <f t="shared" si="14"/>
        <v>100</v>
      </c>
      <c r="X47" s="2043"/>
      <c r="Y47" s="3635"/>
      <c r="Z47" s="2047">
        <f t="shared" si="15"/>
        <v>111</v>
      </c>
      <c r="AA47" s="2038">
        <f t="shared" si="3"/>
        <v>1</v>
      </c>
      <c r="AB47" s="2038">
        <f t="shared" si="4"/>
        <v>1</v>
      </c>
      <c r="AC47" s="2038">
        <f t="shared" si="5"/>
        <v>1</v>
      </c>
    </row>
    <row r="48" spans="1:29" ht="15">
      <c r="A48" s="1750" t="s">
        <v>2230</v>
      </c>
      <c r="B48" s="1751"/>
      <c r="C48" s="1752" t="s">
        <v>1</v>
      </c>
      <c r="D48" s="1753"/>
      <c r="E48" s="1754">
        <v>27160</v>
      </c>
      <c r="F48" s="1755"/>
      <c r="G48" s="1756">
        <v>30330</v>
      </c>
      <c r="H48" s="1757"/>
      <c r="I48" s="1754">
        <v>27078</v>
      </c>
      <c r="J48" s="1757"/>
      <c r="K48" s="1982"/>
      <c r="L48" s="2970"/>
      <c r="M48" s="2965"/>
      <c r="N48" s="2965"/>
      <c r="O48" s="2965"/>
      <c r="P48" s="3626" t="str">
        <f>A48</f>
        <v>成交单价（元/平方米）</v>
      </c>
      <c r="Q48" s="3626"/>
      <c r="R48" s="3622">
        <f>E48</f>
        <v>27160</v>
      </c>
      <c r="S48" s="3622"/>
      <c r="T48" s="3622">
        <f>G48</f>
        <v>30330</v>
      </c>
      <c r="U48" s="3622"/>
      <c r="V48" s="3622">
        <f>I48</f>
        <v>27078</v>
      </c>
      <c r="W48" s="3622"/>
      <c r="X48" s="1760"/>
      <c r="Y48" s="2042"/>
      <c r="Z48" s="1760"/>
      <c r="AA48" s="1760"/>
      <c r="AB48" s="1760"/>
      <c r="AC48" s="1760"/>
    </row>
    <row r="49" spans="1:29" ht="15.75" thickBot="1">
      <c r="A49" s="1762" t="s">
        <v>2313</v>
      </c>
      <c r="B49" s="1763"/>
      <c r="C49" s="1764">
        <f>R50</f>
        <v>28189</v>
      </c>
      <c r="D49" s="1765" t="s">
        <v>2687</v>
      </c>
      <c r="E49" s="1766">
        <f>R49</f>
        <v>27160</v>
      </c>
      <c r="F49" s="1767"/>
      <c r="G49" s="1764">
        <f>T49</f>
        <v>30330</v>
      </c>
      <c r="H49" s="1767"/>
      <c r="I49" s="1766">
        <f>V49</f>
        <v>27078</v>
      </c>
      <c r="J49" s="1767"/>
      <c r="K49" s="2479">
        <f>F49+H49+J49</f>
        <v>0</v>
      </c>
      <c r="L49" s="2970"/>
      <c r="M49" s="2965"/>
      <c r="N49" s="2965"/>
      <c r="O49" s="2965"/>
      <c r="P49" s="3626" t="str">
        <f>A49</f>
        <v>比较价值（元/平方米）</v>
      </c>
      <c r="Q49" s="3626"/>
      <c r="R49" s="3622">
        <f>IF(E1="售价",ROUND(PRODUCT(R48,AA7:AA47),0),ROUND(PRODUCT(R48,AA7:AA47),1))</f>
        <v>27160</v>
      </c>
      <c r="S49" s="3622"/>
      <c r="T49" s="3622">
        <f>IF(E1="售价",ROUND(PRODUCT(T48,AB7:AB47),0),ROUND(PRODUCT(T48,AB7:AB47),1))</f>
        <v>30330</v>
      </c>
      <c r="U49" s="3622"/>
      <c r="V49" s="3622">
        <f>IF(E1="售价",ROUND(PRODUCT(V48,AC7:AC47),0),ROUND(PRODUCT(V48,AC7:AC47),1))</f>
        <v>27078</v>
      </c>
      <c r="W49" s="3622"/>
      <c r="X49" s="1760"/>
      <c r="Y49" s="1760"/>
      <c r="Z49" s="1760"/>
      <c r="AA49" s="1760"/>
      <c r="AB49" s="1760"/>
      <c r="AC49" s="1760"/>
    </row>
    <row r="50" spans="1:29" ht="15.75" thickBot="1">
      <c r="A50" s="1768" t="s">
        <v>2336</v>
      </c>
      <c r="B50" s="1769"/>
      <c r="C50" s="1771">
        <f>R50</f>
        <v>28189</v>
      </c>
      <c r="D50" s="1771"/>
      <c r="E50" s="1771"/>
      <c r="F50" s="1771"/>
      <c r="G50" s="1771"/>
      <c r="H50" s="1771"/>
      <c r="I50" s="1771"/>
      <c r="J50" s="1771"/>
      <c r="K50" s="1987"/>
      <c r="L50" s="2970"/>
      <c r="M50" s="2965"/>
      <c r="N50" s="2965"/>
      <c r="O50" s="2965"/>
      <c r="P50" s="3623" t="str">
        <f>A50</f>
        <v>估价对象XX用房的比较价值（楼面单价，元/平方米）</v>
      </c>
      <c r="Q50" s="3624"/>
      <c r="R50" s="3625">
        <f>IF(E1="售价",ROUND(IF(D49="简单平均",AVERAGE(R49:V49),R49*F49+T49*H49+V49*J49),0),ROUND(IF(D49="简单平均",AVERAGE(R49:V49),R49*F49+T49*H49+V49*J49),1))</f>
        <v>28189</v>
      </c>
      <c r="S50" s="3625"/>
      <c r="T50" s="3625"/>
      <c r="U50" s="3625"/>
      <c r="V50" s="3625"/>
      <c r="W50" s="3625"/>
      <c r="X50" s="1760"/>
      <c r="Y50" s="1760"/>
      <c r="Z50" s="1760"/>
      <c r="AA50" s="1760"/>
      <c r="AB50" s="1760"/>
      <c r="AC50" s="1760"/>
    </row>
    <row r="51" spans="1:29">
      <c r="G51" s="2974"/>
    </row>
    <row r="53" spans="1:29" ht="13.5" customHeight="1">
      <c r="C53" s="383" t="s">
        <v>2315</v>
      </c>
      <c r="D53" s="1776"/>
      <c r="E53" s="1777">
        <f>IF(E48&lt;E49,E49/E48-1,E48/E49-1)</f>
        <v>0</v>
      </c>
      <c r="F53" s="1778" t="str">
        <f>IF(OR(E53&gt;=0.3,E53&lt;=-0.3),"超过30%","")</f>
        <v/>
      </c>
      <c r="G53" s="1777">
        <f>IF(G48&lt;G49,G49/G48-1,G48/G49-1)</f>
        <v>0</v>
      </c>
      <c r="H53" s="1778" t="str">
        <f>IF(OR(G53&gt;=0.3,G53&lt;=-0.3),"超过30%","")</f>
        <v/>
      </c>
      <c r="I53" s="1777">
        <f>IF(I48&lt;I49,I49/I48-1,I48/I49-1)</f>
        <v>0</v>
      </c>
      <c r="J53" s="1778" t="str">
        <f>IF(OR(I53&gt;=0.3,I53&lt;=-0.3),"超过30%","")</f>
        <v/>
      </c>
    </row>
    <row r="54" spans="1:29" ht="13.5" customHeight="1">
      <c r="C54" s="383" t="s">
        <v>2316</v>
      </c>
      <c r="D54" s="1779"/>
      <c r="E54" s="1777">
        <f>IF(E49&lt;G49,G49/E49-1,E49/G49-1)</f>
        <v>0.11671575846833582</v>
      </c>
      <c r="F54" s="1778" t="str">
        <f>IF(OR(E54&gt;=0.2,E54&lt;=-0.2),"超过20%","")</f>
        <v/>
      </c>
      <c r="G54" s="1777">
        <f>IF(G49&lt;I49,I49/G49-1,G49/I49-1)</f>
        <v>0.12009749612231335</v>
      </c>
      <c r="H54" s="1778" t="str">
        <f>IF(OR(G54&gt;=0.2,G54&lt;=-0.2),"超过20%","")</f>
        <v/>
      </c>
      <c r="I54" s="1777">
        <f>IF(I49&lt;E49,E49/I49-1,I49/E49-1)</f>
        <v>3.0282886476105109E-3</v>
      </c>
      <c r="J54" s="1778" t="str">
        <f>IF(OR(I54&gt;=0.2,I54&lt;=-0.2),"超过20%","")</f>
        <v/>
      </c>
    </row>
    <row r="55" spans="1:29" s="1782" customFormat="1" ht="13.5" customHeight="1">
      <c r="C55" s="383" t="s">
        <v>2317</v>
      </c>
      <c r="D55" s="1779"/>
      <c r="E55" s="1777">
        <f>IF(E48&lt;G48,G48/E48-1,E48/G48-1)</f>
        <v>0.11671575846833582</v>
      </c>
      <c r="F55" s="1778" t="str">
        <f>IF(OR(E55&gt;=0.3,E55&lt;=-0.3),"超过30%","")</f>
        <v/>
      </c>
      <c r="G55" s="1777">
        <f>IF(G48&lt;I48,I48/G48-1,G48/I48-1)</f>
        <v>0.12009749612231335</v>
      </c>
      <c r="H55" s="1778" t="str">
        <f>IF(OR(G55&gt;=0.3,G55&lt;=-0.3),"超过30%","")</f>
        <v/>
      </c>
      <c r="I55" s="1777">
        <f>IF(I48&lt;E48,E48/I48-1,I48/E48-1)</f>
        <v>3.0282886476105109E-3</v>
      </c>
      <c r="J55" s="1778" t="str">
        <f>IF(OR(I55&gt;=0.3,I55&lt;=-0.3),"超过30%","")</f>
        <v/>
      </c>
      <c r="K55" s="2977"/>
      <c r="L55" s="2971"/>
    </row>
    <row r="56" spans="1:29" s="1782" customFormat="1">
      <c r="B56" s="2975"/>
      <c r="C56" s="2976"/>
      <c r="K56" s="2977"/>
      <c r="L56" s="2971"/>
    </row>
    <row r="57" spans="1:29">
      <c r="B57" s="2975"/>
      <c r="C57" s="2976"/>
    </row>
    <row r="58" spans="1:29" ht="21.75" thickBot="1">
      <c r="A58" s="1785" t="s">
        <v>2318</v>
      </c>
      <c r="B58" s="1760"/>
      <c r="C58" s="1786"/>
      <c r="D58" s="1786"/>
      <c r="E58" s="1786"/>
      <c r="F58" s="1786"/>
      <c r="G58" s="1786"/>
      <c r="H58" s="1786"/>
      <c r="I58" s="1786"/>
      <c r="J58" s="1786"/>
      <c r="K58" s="1787"/>
      <c r="L58" s="1788"/>
      <c r="M58" s="1786"/>
      <c r="N58" s="2973"/>
      <c r="O58" s="2973"/>
      <c r="P58" s="2014"/>
      <c r="Q58" s="1790"/>
    </row>
    <row r="59" spans="1:29" s="1796" customFormat="1" ht="15">
      <c r="A59" s="1791" t="s">
        <v>2200</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2241</v>
      </c>
      <c r="B64" s="1816" t="s">
        <v>2206</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2210</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2339</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3017</v>
      </c>
      <c r="D93" s="3325" t="s">
        <v>3018</v>
      </c>
      <c r="E93" s="3325" t="s">
        <v>3019</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2216</v>
      </c>
      <c r="B101" s="1816" t="s">
        <v>2265</v>
      </c>
      <c r="C101" s="3326" t="s">
        <v>3021</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2266</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2267</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2269</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2340</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2271</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2272</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2341</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2274</v>
      </c>
      <c r="C123" s="468"/>
      <c r="D123" s="468"/>
      <c r="E123" s="468"/>
      <c r="F123" s="1546"/>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4"/>
      <c r="O124" s="2984"/>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2183</v>
      </c>
      <c r="B1" s="1195" t="s">
        <v>2342</v>
      </c>
      <c r="C1" s="1187"/>
      <c r="D1" s="1200"/>
      <c r="E1" s="1527"/>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2186</v>
      </c>
      <c r="D3" s="292">
        <f>IF(C1="仅计算典型户型",'数据-取费表'!E5,'数据-取费表'!B5)</f>
        <v>58.79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94" t="s">
        <v>2188</v>
      </c>
      <c r="D4" s="3695"/>
      <c r="E4" s="3696" t="s">
        <v>2189</v>
      </c>
      <c r="F4" s="3697"/>
      <c r="G4" s="3694" t="s">
        <v>2190</v>
      </c>
      <c r="H4" s="3695"/>
      <c r="I4" s="3694" t="s">
        <v>2191</v>
      </c>
      <c r="J4" s="3695"/>
      <c r="K4" s="496" t="s">
        <v>2192</v>
      </c>
      <c r="L4" s="2992"/>
      <c r="M4" s="2993"/>
      <c r="N4" s="2993"/>
      <c r="O4" s="2993"/>
      <c r="P4" s="3698" t="s">
        <v>2193</v>
      </c>
      <c r="Q4" s="3699"/>
      <c r="R4" s="3681" t="s">
        <v>2189</v>
      </c>
      <c r="S4" s="3682"/>
      <c r="T4" s="3681" t="s">
        <v>2190</v>
      </c>
      <c r="U4" s="3682"/>
      <c r="V4" s="3704" t="s">
        <v>2191</v>
      </c>
      <c r="W4" s="3704"/>
      <c r="X4" s="1303"/>
      <c r="Y4" s="3681" t="s">
        <v>2193</v>
      </c>
      <c r="Z4" s="3682"/>
      <c r="AA4" s="3691" t="s">
        <v>2189</v>
      </c>
      <c r="AB4" s="3692" t="s">
        <v>2190</v>
      </c>
      <c r="AC4" s="3691" t="s">
        <v>2191</v>
      </c>
    </row>
    <row r="5" spans="1:29" ht="15">
      <c r="A5" s="297"/>
      <c r="B5" s="298"/>
      <c r="C5" s="3707" t="s">
        <v>2194</v>
      </c>
      <c r="D5" s="3708"/>
      <c r="E5" s="3705" t="s">
        <v>2195</v>
      </c>
      <c r="F5" s="3706"/>
      <c r="G5" s="3707" t="s">
        <v>2196</v>
      </c>
      <c r="H5" s="3708"/>
      <c r="I5" s="3707" t="s">
        <v>2197</v>
      </c>
      <c r="J5" s="3708"/>
      <c r="K5" s="496"/>
      <c r="L5" s="2992"/>
      <c r="M5" s="2993"/>
      <c r="N5" s="2993"/>
      <c r="O5" s="2993"/>
      <c r="P5" s="3700"/>
      <c r="Q5" s="3701"/>
      <c r="R5" s="3683"/>
      <c r="S5" s="3684"/>
      <c r="T5" s="3683"/>
      <c r="U5" s="3684"/>
      <c r="V5" s="3704"/>
      <c r="W5" s="3704"/>
      <c r="X5" s="1303"/>
      <c r="Y5" s="3683"/>
      <c r="Z5" s="3684"/>
      <c r="AA5" s="3692"/>
      <c r="AB5" s="3692"/>
      <c r="AC5" s="3692"/>
    </row>
    <row r="6" spans="1:29" ht="15.75" thickBot="1">
      <c r="A6" s="299"/>
      <c r="B6" s="300"/>
      <c r="C6" s="3709" t="s">
        <v>2198</v>
      </c>
      <c r="D6" s="3710"/>
      <c r="E6" s="3711" t="s">
        <v>2198</v>
      </c>
      <c r="F6" s="3712"/>
      <c r="G6" s="3709" t="s">
        <v>2198</v>
      </c>
      <c r="H6" s="3710"/>
      <c r="I6" s="3709" t="s">
        <v>2198</v>
      </c>
      <c r="J6" s="3710"/>
      <c r="K6" s="496" t="s">
        <v>2199</v>
      </c>
      <c r="L6" s="2992"/>
      <c r="M6" s="2993"/>
      <c r="N6" s="2993"/>
      <c r="O6" s="2993"/>
      <c r="P6" s="3702"/>
      <c r="Q6" s="3703"/>
      <c r="R6" s="3683"/>
      <c r="S6" s="3684"/>
      <c r="T6" s="3685"/>
      <c r="U6" s="3686"/>
      <c r="V6" s="3704"/>
      <c r="W6" s="3704"/>
      <c r="X6" s="1303"/>
      <c r="Y6" s="3685"/>
      <c r="Z6" s="3686"/>
      <c r="AA6" s="3693"/>
      <c r="AB6" s="3693"/>
      <c r="AC6" s="3693"/>
    </row>
    <row r="7" spans="1:29" s="25" customFormat="1" ht="15.75" thickBot="1">
      <c r="A7" s="301" t="s">
        <v>2200</v>
      </c>
      <c r="B7" s="302"/>
      <c r="C7" s="303">
        <f>'数据-取费表'!B2</f>
        <v>44545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79" t="s">
        <v>2201</v>
      </c>
      <c r="Q7" s="3687"/>
      <c r="R7" s="626" t="s">
        <v>25</v>
      </c>
      <c r="S7" s="627">
        <f t="shared" ref="S7:S15" si="0">F7</f>
        <v>0</v>
      </c>
      <c r="T7" s="626" t="s">
        <v>25</v>
      </c>
      <c r="U7" s="627">
        <f t="shared" ref="U7:U15" si="1">H7</f>
        <v>0</v>
      </c>
      <c r="V7" s="626" t="s">
        <v>25</v>
      </c>
      <c r="W7" s="627">
        <f t="shared" ref="W7:W15" si="2">J7</f>
        <v>0</v>
      </c>
      <c r="X7" s="628"/>
      <c r="Y7" s="3679" t="s">
        <v>2201</v>
      </c>
      <c r="Z7" s="3680"/>
      <c r="AA7" s="629" t="e">
        <f>D7/F7</f>
        <v>#DIV/0!</v>
      </c>
      <c r="AB7" s="629" t="e">
        <f>D7/H7</f>
        <v>#DIV/0!</v>
      </c>
      <c r="AC7" s="629"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79" t="s">
        <v>2204</v>
      </c>
      <c r="Q8" s="3680"/>
      <c r="R8" s="626" t="s">
        <v>25</v>
      </c>
      <c r="S8" s="627">
        <f t="shared" si="0"/>
        <v>0</v>
      </c>
      <c r="T8" s="626" t="s">
        <v>25</v>
      </c>
      <c r="U8" s="627">
        <f t="shared" si="1"/>
        <v>0</v>
      </c>
      <c r="V8" s="626" t="s">
        <v>25</v>
      </c>
      <c r="W8" s="627">
        <f t="shared" si="2"/>
        <v>0</v>
      </c>
      <c r="X8" s="628"/>
      <c r="Y8" s="3679" t="s">
        <v>2204</v>
      </c>
      <c r="Z8" s="3680"/>
      <c r="AA8" s="629" t="e">
        <f t="shared" ref="AA8:AA40" si="3">D8/F8</f>
        <v>#DIV/0!</v>
      </c>
      <c r="AB8" s="629" t="e">
        <f t="shared" ref="AB8:AB40" si="4">D8/H8</f>
        <v>#DIV/0!</v>
      </c>
      <c r="AC8" s="629"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1" t="s">
        <v>2207</v>
      </c>
      <c r="Q9" s="1295" t="str">
        <f t="shared" ref="Q9:Q15" si="6">B9</f>
        <v>用途</v>
      </c>
      <c r="R9" s="626" t="s">
        <v>25</v>
      </c>
      <c r="S9" s="627">
        <f t="shared" si="0"/>
        <v>100</v>
      </c>
      <c r="T9" s="626" t="s">
        <v>25</v>
      </c>
      <c r="U9" s="627">
        <f t="shared" si="1"/>
        <v>100</v>
      </c>
      <c r="V9" s="626" t="s">
        <v>25</v>
      </c>
      <c r="W9" s="627">
        <f t="shared" si="2"/>
        <v>100</v>
      </c>
      <c r="X9" s="628"/>
      <c r="Y9" s="3690" t="s">
        <v>2208</v>
      </c>
      <c r="Z9" s="19" t="str">
        <f t="shared" ref="Z9:Z15" si="7">Q9</f>
        <v>用途</v>
      </c>
      <c r="AA9" s="629">
        <f t="shared" si="3"/>
        <v>1</v>
      </c>
      <c r="AB9" s="629">
        <f t="shared" si="4"/>
        <v>1</v>
      </c>
      <c r="AC9" s="629">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1"/>
      <c r="Q10" s="1295" t="str">
        <f t="shared" si="6"/>
        <v>土地使用年限（年）</v>
      </c>
      <c r="R10" s="626" t="s">
        <v>25</v>
      </c>
      <c r="S10" s="627">
        <f t="shared" si="0"/>
        <v>100</v>
      </c>
      <c r="T10" s="626" t="s">
        <v>25</v>
      </c>
      <c r="U10" s="627">
        <f t="shared" si="1"/>
        <v>100</v>
      </c>
      <c r="V10" s="626" t="s">
        <v>25</v>
      </c>
      <c r="W10" s="627">
        <f t="shared" si="2"/>
        <v>100</v>
      </c>
      <c r="X10" s="628"/>
      <c r="Y10" s="3690"/>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1"/>
      <c r="Q11" s="1295" t="str">
        <f t="shared" si="6"/>
        <v>容积率</v>
      </c>
      <c r="R11" s="626" t="s">
        <v>25</v>
      </c>
      <c r="S11" s="627" t="e">
        <f t="shared" si="0"/>
        <v>#N/A</v>
      </c>
      <c r="T11" s="626" t="s">
        <v>25</v>
      </c>
      <c r="U11" s="627" t="e">
        <f t="shared" si="1"/>
        <v>#N/A</v>
      </c>
      <c r="V11" s="626" t="s">
        <v>25</v>
      </c>
      <c r="W11" s="627" t="e">
        <f t="shared" si="2"/>
        <v>#N/A</v>
      </c>
      <c r="X11" s="628"/>
      <c r="Y11" s="3690"/>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690"/>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690"/>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1"/>
      <c r="Q14" s="1295">
        <f t="shared" si="6"/>
        <v>111</v>
      </c>
      <c r="R14" s="626" t="s">
        <v>25</v>
      </c>
      <c r="S14" s="627">
        <f t="shared" si="0"/>
        <v>100</v>
      </c>
      <c r="T14" s="626" t="s">
        <v>25</v>
      </c>
      <c r="U14" s="627">
        <f t="shared" si="1"/>
        <v>100</v>
      </c>
      <c r="V14" s="626" t="s">
        <v>25</v>
      </c>
      <c r="W14" s="627">
        <f t="shared" si="2"/>
        <v>100</v>
      </c>
      <c r="X14" s="628"/>
      <c r="Y14" s="3690"/>
      <c r="Z14" s="19">
        <f t="shared" si="7"/>
        <v>111</v>
      </c>
      <c r="AA14" s="629">
        <f t="shared" si="3"/>
        <v>1</v>
      </c>
      <c r="AB14" s="629">
        <f t="shared" si="4"/>
        <v>1</v>
      </c>
      <c r="AC14" s="629">
        <f t="shared" si="5"/>
        <v>1</v>
      </c>
    </row>
    <row r="15" spans="1:29" ht="57">
      <c r="A15" s="329" t="s">
        <v>2211</v>
      </c>
      <c r="B15" s="22" t="s">
        <v>2343</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88" t="s">
        <v>2212</v>
      </c>
      <c r="Q15" s="1302" t="str">
        <f t="shared" si="6"/>
        <v>产业集聚程度</v>
      </c>
      <c r="R15" s="630" t="s">
        <v>25</v>
      </c>
      <c r="S15" s="631">
        <f t="shared" si="0"/>
        <v>100</v>
      </c>
      <c r="T15" s="630" t="s">
        <v>25</v>
      </c>
      <c r="U15" s="631">
        <f t="shared" si="1"/>
        <v>100</v>
      </c>
      <c r="V15" s="630" t="s">
        <v>25</v>
      </c>
      <c r="W15" s="631">
        <f t="shared" si="2"/>
        <v>100</v>
      </c>
      <c r="X15" s="1303"/>
      <c r="Y15" s="3688" t="s">
        <v>2212</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689"/>
      <c r="Q16" s="1302"/>
      <c r="R16" s="630"/>
      <c r="S16" s="631"/>
      <c r="T16" s="630"/>
      <c r="U16" s="631"/>
      <c r="V16" s="630"/>
      <c r="W16" s="631"/>
      <c r="X16" s="1303"/>
      <c r="Y16" s="3689"/>
      <c r="Z16" s="1304"/>
      <c r="AA16" s="1305">
        <v>1</v>
      </c>
      <c r="AB16" s="1305">
        <v>1</v>
      </c>
      <c r="AC16" s="1305">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89"/>
      <c r="Q17" s="1302" t="str">
        <f>B17</f>
        <v>交通便捷度</v>
      </c>
      <c r="R17" s="630" t="s">
        <v>25</v>
      </c>
      <c r="S17" s="631">
        <f>F17</f>
        <v>100</v>
      </c>
      <c r="T17" s="630" t="s">
        <v>25</v>
      </c>
      <c r="U17" s="631">
        <f>H17</f>
        <v>100</v>
      </c>
      <c r="V17" s="630" t="s">
        <v>25</v>
      </c>
      <c r="W17" s="631">
        <f>J17</f>
        <v>100</v>
      </c>
      <c r="X17" s="1303"/>
      <c r="Y17" s="3689"/>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689"/>
      <c r="Q18" s="1302"/>
      <c r="R18" s="630"/>
      <c r="S18" s="631"/>
      <c r="T18" s="630"/>
      <c r="U18" s="631"/>
      <c r="V18" s="630"/>
      <c r="W18" s="631"/>
      <c r="X18" s="1303"/>
      <c r="Y18" s="3689"/>
      <c r="Z18" s="1304"/>
      <c r="AA18" s="1305">
        <v>1</v>
      </c>
      <c r="AB18" s="1305">
        <v>1</v>
      </c>
      <c r="AC18" s="1305">
        <v>1</v>
      </c>
    </row>
    <row r="19" spans="1:29" ht="42.75">
      <c r="A19" s="318"/>
      <c r="B19" s="513" t="s">
        <v>2327</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89"/>
      <c r="Q19" s="1302" t="str">
        <f>B19</f>
        <v>公共配套设施</v>
      </c>
      <c r="R19" s="630" t="s">
        <v>25</v>
      </c>
      <c r="S19" s="631">
        <f>F19</f>
        <v>100</v>
      </c>
      <c r="T19" s="630" t="s">
        <v>25</v>
      </c>
      <c r="U19" s="631">
        <f>H19</f>
        <v>100</v>
      </c>
      <c r="V19" s="630" t="s">
        <v>25</v>
      </c>
      <c r="W19" s="631">
        <f>J19</f>
        <v>100</v>
      </c>
      <c r="X19" s="1303"/>
      <c r="Y19" s="3689"/>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689"/>
      <c r="Q20" s="1302"/>
      <c r="R20" s="630"/>
      <c r="S20" s="631"/>
      <c r="T20" s="630"/>
      <c r="U20" s="631"/>
      <c r="V20" s="630"/>
      <c r="W20" s="631"/>
      <c r="X20" s="1303"/>
      <c r="Y20" s="3689"/>
      <c r="Z20" s="1304"/>
      <c r="AA20" s="1305">
        <v>1</v>
      </c>
      <c r="AB20" s="1305">
        <v>1</v>
      </c>
      <c r="AC20" s="1305">
        <v>1</v>
      </c>
    </row>
    <row r="21" spans="1:29" ht="28.5">
      <c r="A21" s="318"/>
      <c r="B21" s="515" t="s">
        <v>2328</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89"/>
      <c r="Q21" s="1302" t="str">
        <f>B21</f>
        <v>基础设施水平</v>
      </c>
      <c r="R21" s="630" t="s">
        <v>25</v>
      </c>
      <c r="S21" s="631">
        <f>F21</f>
        <v>100</v>
      </c>
      <c r="T21" s="630" t="s">
        <v>25</v>
      </c>
      <c r="U21" s="631">
        <f>H21</f>
        <v>100</v>
      </c>
      <c r="V21" s="630" t="s">
        <v>25</v>
      </c>
      <c r="W21" s="631">
        <f>J21</f>
        <v>100</v>
      </c>
      <c r="X21" s="1303"/>
      <c r="Y21" s="3689"/>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689"/>
      <c r="Q22" s="1302"/>
      <c r="R22" s="630"/>
      <c r="S22" s="631"/>
      <c r="T22" s="630"/>
      <c r="U22" s="631"/>
      <c r="V22" s="630"/>
      <c r="W22" s="631"/>
      <c r="X22" s="1303"/>
      <c r="Y22" s="3689"/>
      <c r="Z22" s="1304"/>
      <c r="AA22" s="1305">
        <v>1</v>
      </c>
      <c r="AB22" s="1305">
        <v>1</v>
      </c>
      <c r="AC22" s="1305">
        <v>1</v>
      </c>
    </row>
    <row r="23" spans="1:29" ht="71.25">
      <c r="A23" s="318"/>
      <c r="B23" s="340" t="s">
        <v>2329</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89"/>
      <c r="Q23" s="1302" t="str">
        <f>B23</f>
        <v>环境质量</v>
      </c>
      <c r="R23" s="630" t="s">
        <v>25</v>
      </c>
      <c r="S23" s="631">
        <f>F23</f>
        <v>100</v>
      </c>
      <c r="T23" s="630" t="s">
        <v>25</v>
      </c>
      <c r="U23" s="631">
        <f>H23</f>
        <v>100</v>
      </c>
      <c r="V23" s="630" t="s">
        <v>25</v>
      </c>
      <c r="W23" s="631">
        <f>J23</f>
        <v>100</v>
      </c>
      <c r="X23" s="1303"/>
      <c r="Y23" s="3689"/>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689"/>
      <c r="Q24" s="1302"/>
      <c r="R24" s="630"/>
      <c r="S24" s="631"/>
      <c r="T24" s="630"/>
      <c r="U24" s="631"/>
      <c r="V24" s="630"/>
      <c r="W24" s="631"/>
      <c r="X24" s="1303"/>
      <c r="Y24" s="3689"/>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89"/>
      <c r="Q25" s="1302">
        <f>B25</f>
        <v>111</v>
      </c>
      <c r="R25" s="630" t="s">
        <v>25</v>
      </c>
      <c r="S25" s="631">
        <f>F25</f>
        <v>100</v>
      </c>
      <c r="T25" s="630" t="s">
        <v>25</v>
      </c>
      <c r="U25" s="631">
        <f>H25</f>
        <v>100</v>
      </c>
      <c r="V25" s="630" t="s">
        <v>25</v>
      </c>
      <c r="W25" s="631">
        <f>J25</f>
        <v>100</v>
      </c>
      <c r="X25" s="1303"/>
      <c r="Y25" s="3689"/>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89"/>
      <c r="Q26" s="1302">
        <f t="shared" ref="Q26:Q40" si="11">B26</f>
        <v>111</v>
      </c>
      <c r="R26" s="630" t="s">
        <v>25</v>
      </c>
      <c r="S26" s="631">
        <f>F26</f>
        <v>100</v>
      </c>
      <c r="T26" s="630" t="s">
        <v>25</v>
      </c>
      <c r="U26" s="631">
        <f>H26</f>
        <v>100</v>
      </c>
      <c r="V26" s="630" t="s">
        <v>25</v>
      </c>
      <c r="W26" s="631">
        <f>J26</f>
        <v>100</v>
      </c>
      <c r="X26" s="1303"/>
      <c r="Y26" s="3689"/>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89"/>
      <c r="Q27" s="1295">
        <f t="shared" si="11"/>
        <v>111</v>
      </c>
      <c r="R27" s="626" t="s">
        <v>25</v>
      </c>
      <c r="S27" s="627">
        <f>F27</f>
        <v>100</v>
      </c>
      <c r="T27" s="626" t="s">
        <v>25</v>
      </c>
      <c r="U27" s="627">
        <f>H27</f>
        <v>100</v>
      </c>
      <c r="V27" s="626" t="s">
        <v>25</v>
      </c>
      <c r="W27" s="627">
        <f>J27</f>
        <v>100</v>
      </c>
      <c r="X27" s="628"/>
      <c r="Y27" s="3689"/>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89"/>
      <c r="Q28" s="1302">
        <f t="shared" si="11"/>
        <v>111</v>
      </c>
      <c r="R28" s="630" t="s">
        <v>25</v>
      </c>
      <c r="S28" s="631">
        <f t="shared" ref="S28:S40" si="12">F28</f>
        <v>100</v>
      </c>
      <c r="T28" s="630" t="s">
        <v>25</v>
      </c>
      <c r="U28" s="631">
        <f t="shared" ref="U28:U40" si="13">H28</f>
        <v>100</v>
      </c>
      <c r="V28" s="630" t="s">
        <v>25</v>
      </c>
      <c r="W28" s="631">
        <f t="shared" ref="W28:W40" si="14">J28</f>
        <v>100</v>
      </c>
      <c r="X28" s="1303"/>
      <c r="Y28" s="3689"/>
      <c r="Z28" s="1304">
        <f t="shared" ref="Z28:Z40" si="15">Q28</f>
        <v>111</v>
      </c>
      <c r="AA28" s="1305">
        <f t="shared" si="3"/>
        <v>1</v>
      </c>
      <c r="AB28" s="1305">
        <f t="shared" si="4"/>
        <v>1</v>
      </c>
      <c r="AC28" s="1305">
        <f t="shared" si="5"/>
        <v>1</v>
      </c>
    </row>
    <row r="29" spans="1:29" ht="28.5">
      <c r="A29" s="354" t="s">
        <v>2216</v>
      </c>
      <c r="B29" s="24" t="s">
        <v>2332</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76" t="s">
        <v>2218</v>
      </c>
      <c r="Q29" s="1302" t="str">
        <f t="shared" si="11"/>
        <v>建筑类型</v>
      </c>
      <c r="R29" s="630" t="s">
        <v>25</v>
      </c>
      <c r="S29" s="631">
        <f t="shared" si="12"/>
        <v>100</v>
      </c>
      <c r="T29" s="630" t="s">
        <v>25</v>
      </c>
      <c r="U29" s="631">
        <f t="shared" si="13"/>
        <v>100</v>
      </c>
      <c r="V29" s="630" t="s">
        <v>25</v>
      </c>
      <c r="W29" s="631">
        <f t="shared" si="14"/>
        <v>100</v>
      </c>
      <c r="X29" s="1303"/>
      <c r="Y29" s="3677" t="s">
        <v>2218</v>
      </c>
      <c r="Z29" s="1304" t="str">
        <f t="shared" si="15"/>
        <v>建筑类型</v>
      </c>
      <c r="AA29" s="1305">
        <f t="shared" si="3"/>
        <v>1</v>
      </c>
      <c r="AB29" s="1305">
        <f t="shared" si="4"/>
        <v>1</v>
      </c>
      <c r="AC29" s="1305">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77"/>
      <c r="Q30" s="632" t="str">
        <f t="shared" si="11"/>
        <v>项目建筑规模</v>
      </c>
      <c r="R30" s="633" t="s">
        <v>25</v>
      </c>
      <c r="S30" s="634" t="e">
        <f t="shared" si="12"/>
        <v>#N/A</v>
      </c>
      <c r="T30" s="633" t="s">
        <v>25</v>
      </c>
      <c r="U30" s="634" t="e">
        <f t="shared" si="13"/>
        <v>#N/A</v>
      </c>
      <c r="V30" s="633" t="s">
        <v>25</v>
      </c>
      <c r="W30" s="634" t="e">
        <f t="shared" si="14"/>
        <v>#N/A</v>
      </c>
      <c r="X30" s="635"/>
      <c r="Y30" s="3677"/>
      <c r="Z30" s="636" t="str">
        <f t="shared" si="15"/>
        <v>项目建筑规模</v>
      </c>
      <c r="AA30" s="1305" t="e">
        <f t="shared" si="3"/>
        <v>#N/A</v>
      </c>
      <c r="AB30" s="1305" t="e">
        <f t="shared" si="4"/>
        <v>#N/A</v>
      </c>
      <c r="AC30" s="1305"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77"/>
      <c r="Q31" s="1302" t="str">
        <f t="shared" si="11"/>
        <v>建筑结构</v>
      </c>
      <c r="R31" s="630" t="s">
        <v>25</v>
      </c>
      <c r="S31" s="631">
        <f t="shared" si="12"/>
        <v>100</v>
      </c>
      <c r="T31" s="630" t="s">
        <v>25</v>
      </c>
      <c r="U31" s="631">
        <f t="shared" si="13"/>
        <v>100</v>
      </c>
      <c r="V31" s="630" t="s">
        <v>25</v>
      </c>
      <c r="W31" s="631">
        <f t="shared" si="14"/>
        <v>100</v>
      </c>
      <c r="X31" s="1303"/>
      <c r="Y31" s="3677"/>
      <c r="Z31" s="1304" t="str">
        <f t="shared" si="15"/>
        <v>建筑结构</v>
      </c>
      <c r="AA31" s="1305">
        <f t="shared" si="3"/>
        <v>1</v>
      </c>
      <c r="AB31" s="1305">
        <f t="shared" si="4"/>
        <v>1</v>
      </c>
      <c r="AC31" s="1305">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77"/>
      <c r="Q32" s="1302" t="str">
        <f t="shared" si="11"/>
        <v>公共部分装修</v>
      </c>
      <c r="R32" s="630" t="s">
        <v>25</v>
      </c>
      <c r="S32" s="631">
        <f t="shared" si="12"/>
        <v>100</v>
      </c>
      <c r="T32" s="630" t="s">
        <v>25</v>
      </c>
      <c r="U32" s="631">
        <f t="shared" si="13"/>
        <v>100</v>
      </c>
      <c r="V32" s="630" t="s">
        <v>25</v>
      </c>
      <c r="W32" s="631">
        <f t="shared" si="14"/>
        <v>100</v>
      </c>
      <c r="X32" s="1303"/>
      <c r="Y32" s="3677"/>
      <c r="Z32" s="1304" t="str">
        <f t="shared" si="15"/>
        <v>公共部分装修</v>
      </c>
      <c r="AA32" s="1305">
        <f t="shared" si="3"/>
        <v>1</v>
      </c>
      <c r="AB32" s="1305">
        <f t="shared" si="4"/>
        <v>1</v>
      </c>
      <c r="AC32" s="1305">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77"/>
      <c r="Q33" s="1302" t="str">
        <f t="shared" si="11"/>
        <v>成新度</v>
      </c>
      <c r="R33" s="630" t="s">
        <v>25</v>
      </c>
      <c r="S33" s="631" t="e">
        <f t="shared" si="12"/>
        <v>#N/A</v>
      </c>
      <c r="T33" s="630" t="s">
        <v>25</v>
      </c>
      <c r="U33" s="631" t="e">
        <f t="shared" si="13"/>
        <v>#N/A</v>
      </c>
      <c r="V33" s="630" t="s">
        <v>25</v>
      </c>
      <c r="W33" s="631" t="e">
        <f t="shared" si="14"/>
        <v>#N/A</v>
      </c>
      <c r="X33" s="1303"/>
      <c r="Y33" s="3677"/>
      <c r="Z33" s="1304" t="str">
        <f t="shared" si="15"/>
        <v>成新度</v>
      </c>
      <c r="AA33" s="1305" t="e">
        <f t="shared" si="3"/>
        <v>#N/A</v>
      </c>
      <c r="AB33" s="1305" t="e">
        <f t="shared" si="4"/>
        <v>#N/A</v>
      </c>
      <c r="AC33" s="1305"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77"/>
      <c r="Q34" s="1295" t="str">
        <f t="shared" si="11"/>
        <v>物业管理</v>
      </c>
      <c r="R34" s="626" t="s">
        <v>25</v>
      </c>
      <c r="S34" s="627">
        <f t="shared" si="12"/>
        <v>100</v>
      </c>
      <c r="T34" s="626" t="s">
        <v>25</v>
      </c>
      <c r="U34" s="627">
        <f t="shared" si="13"/>
        <v>100</v>
      </c>
      <c r="V34" s="626" t="s">
        <v>25</v>
      </c>
      <c r="W34" s="627">
        <f t="shared" si="14"/>
        <v>100</v>
      </c>
      <c r="X34" s="628"/>
      <c r="Y34" s="3677"/>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77" t="s">
        <v>2218</v>
      </c>
      <c r="Q35" s="1302" t="str">
        <f t="shared" si="11"/>
        <v>市政基础设施</v>
      </c>
      <c r="R35" s="630" t="s">
        <v>25</v>
      </c>
      <c r="S35" s="631">
        <f t="shared" si="12"/>
        <v>100</v>
      </c>
      <c r="T35" s="630" t="s">
        <v>25</v>
      </c>
      <c r="U35" s="631">
        <f t="shared" si="13"/>
        <v>100</v>
      </c>
      <c r="V35" s="630" t="s">
        <v>25</v>
      </c>
      <c r="W35" s="631">
        <f t="shared" si="14"/>
        <v>100</v>
      </c>
      <c r="X35" s="1303"/>
      <c r="Y35" s="3677" t="s">
        <v>2218</v>
      </c>
      <c r="Z35" s="1304" t="str">
        <f t="shared" si="15"/>
        <v>市政基础设施</v>
      </c>
      <c r="AA35" s="1305">
        <f t="shared" si="3"/>
        <v>1</v>
      </c>
      <c r="AB35" s="1305">
        <f t="shared" si="4"/>
        <v>1</v>
      </c>
      <c r="AC35" s="1305">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77"/>
      <c r="Q36" s="1302" t="str">
        <f t="shared" si="11"/>
        <v>内部装修</v>
      </c>
      <c r="R36" s="630" t="s">
        <v>25</v>
      </c>
      <c r="S36" s="631">
        <f t="shared" si="12"/>
        <v>100</v>
      </c>
      <c r="T36" s="630" t="s">
        <v>25</v>
      </c>
      <c r="U36" s="631">
        <f t="shared" si="13"/>
        <v>100</v>
      </c>
      <c r="V36" s="630" t="s">
        <v>25</v>
      </c>
      <c r="W36" s="631">
        <f t="shared" si="14"/>
        <v>100</v>
      </c>
      <c r="X36" s="1303"/>
      <c r="Y36" s="3677"/>
      <c r="Z36" s="1304" t="str">
        <f t="shared" si="15"/>
        <v>内部装修</v>
      </c>
      <c r="AA36" s="1305">
        <f t="shared" si="3"/>
        <v>1</v>
      </c>
      <c r="AB36" s="1305">
        <f t="shared" si="4"/>
        <v>1</v>
      </c>
      <c r="AC36" s="1305">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77"/>
      <c r="Q37" s="1302" t="str">
        <f t="shared" si="11"/>
        <v>内部装修状况</v>
      </c>
      <c r="R37" s="630" t="s">
        <v>25</v>
      </c>
      <c r="S37" s="631">
        <f t="shared" si="12"/>
        <v>100</v>
      </c>
      <c r="T37" s="630" t="s">
        <v>25</v>
      </c>
      <c r="U37" s="631">
        <f t="shared" si="13"/>
        <v>100</v>
      </c>
      <c r="V37" s="630" t="s">
        <v>25</v>
      </c>
      <c r="W37" s="631">
        <f t="shared" si="14"/>
        <v>100</v>
      </c>
      <c r="X37" s="1303"/>
      <c r="Y37" s="3677"/>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77"/>
      <c r="Q38" s="632">
        <f t="shared" si="11"/>
        <v>111</v>
      </c>
      <c r="R38" s="633" t="s">
        <v>25</v>
      </c>
      <c r="S38" s="634">
        <f t="shared" si="12"/>
        <v>100</v>
      </c>
      <c r="T38" s="633" t="s">
        <v>25</v>
      </c>
      <c r="U38" s="634">
        <f t="shared" si="13"/>
        <v>100</v>
      </c>
      <c r="V38" s="633" t="s">
        <v>25</v>
      </c>
      <c r="W38" s="634">
        <f t="shared" si="14"/>
        <v>100</v>
      </c>
      <c r="X38" s="635"/>
      <c r="Y38" s="3677"/>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77"/>
      <c r="Q39" s="1302">
        <f t="shared" si="11"/>
        <v>111</v>
      </c>
      <c r="R39" s="630" t="s">
        <v>25</v>
      </c>
      <c r="S39" s="631">
        <f t="shared" si="12"/>
        <v>100</v>
      </c>
      <c r="T39" s="630" t="s">
        <v>25</v>
      </c>
      <c r="U39" s="631">
        <f t="shared" si="13"/>
        <v>100</v>
      </c>
      <c r="V39" s="630" t="s">
        <v>25</v>
      </c>
      <c r="W39" s="631">
        <f t="shared" si="14"/>
        <v>100</v>
      </c>
      <c r="X39" s="1303"/>
      <c r="Y39" s="3677"/>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78"/>
      <c r="Q40" s="1302">
        <f t="shared" si="11"/>
        <v>111</v>
      </c>
      <c r="R40" s="630" t="s">
        <v>25</v>
      </c>
      <c r="S40" s="631">
        <f t="shared" si="12"/>
        <v>100</v>
      </c>
      <c r="T40" s="630" t="s">
        <v>25</v>
      </c>
      <c r="U40" s="631">
        <f t="shared" si="13"/>
        <v>100</v>
      </c>
      <c r="V40" s="630" t="s">
        <v>25</v>
      </c>
      <c r="W40" s="631">
        <f t="shared" si="14"/>
        <v>100</v>
      </c>
      <c r="X40" s="1303"/>
      <c r="Y40" s="3678"/>
      <c r="Z40" s="1304">
        <f t="shared" si="15"/>
        <v>111</v>
      </c>
      <c r="AA40" s="1305">
        <f t="shared" si="3"/>
        <v>1</v>
      </c>
      <c r="AB40" s="1305">
        <f t="shared" si="4"/>
        <v>1</v>
      </c>
      <c r="AC40" s="1305">
        <f t="shared" si="5"/>
        <v>1</v>
      </c>
    </row>
    <row r="41" spans="1:29" ht="15">
      <c r="A41" s="367" t="s">
        <v>2230</v>
      </c>
      <c r="B41" s="368"/>
      <c r="C41" s="1122" t="s">
        <v>1</v>
      </c>
      <c r="D41" s="1123"/>
      <c r="E41" s="1124"/>
      <c r="F41" s="1125"/>
      <c r="G41" s="1126"/>
      <c r="H41" s="1127"/>
      <c r="I41" s="1124"/>
      <c r="J41" s="1127"/>
      <c r="K41" s="639"/>
      <c r="L41" s="3004"/>
      <c r="N41" s="2993"/>
      <c r="P41" s="3671" t="str">
        <f>A41</f>
        <v>成交单价（元/平方米）</v>
      </c>
      <c r="Q41" s="3671"/>
      <c r="R41" s="3672">
        <f>E41</f>
        <v>0</v>
      </c>
      <c r="S41" s="3672"/>
      <c r="T41" s="3672">
        <f>G41</f>
        <v>0</v>
      </c>
      <c r="U41" s="3672"/>
      <c r="V41" s="3672">
        <f>I41</f>
        <v>0</v>
      </c>
      <c r="W41" s="3672"/>
      <c r="X41" s="617"/>
      <c r="Y41" s="637"/>
      <c r="Z41" s="617"/>
      <c r="AA41" s="617"/>
      <c r="AB41" s="617"/>
      <c r="AC41" s="617"/>
    </row>
    <row r="42" spans="1:29" ht="15.75" thickBot="1">
      <c r="A42" s="374" t="s">
        <v>2313</v>
      </c>
      <c r="B42" s="375"/>
      <c r="C42" s="1128" t="e">
        <f>R43</f>
        <v>#DIV/0!</v>
      </c>
      <c r="D42" s="1765" t="s">
        <v>2687</v>
      </c>
      <c r="E42" s="1129" t="e">
        <f>R42</f>
        <v>#DIV/0!</v>
      </c>
      <c r="F42" s="1767"/>
      <c r="G42" s="1128" t="e">
        <f>T42</f>
        <v>#DIV/0!</v>
      </c>
      <c r="H42" s="1767"/>
      <c r="I42" s="1129" t="e">
        <f>V42</f>
        <v>#DIV/0!</v>
      </c>
      <c r="J42" s="1767"/>
      <c r="K42" s="2479">
        <f>F42+H42+J42</f>
        <v>0</v>
      </c>
      <c r="L42" s="3004"/>
      <c r="N42" s="2993"/>
      <c r="P42" s="3671" t="str">
        <f>A42</f>
        <v>比较价值（元/平方米）</v>
      </c>
      <c r="Q42" s="3671"/>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7"/>
      <c r="Y42" s="617"/>
      <c r="Z42" s="617"/>
      <c r="AA42" s="617"/>
      <c r="AB42" s="617"/>
      <c r="AC42" s="617"/>
    </row>
    <row r="43" spans="1:29" ht="15.75" thickBot="1">
      <c r="A43" s="378" t="s">
        <v>2336</v>
      </c>
      <c r="B43" s="379"/>
      <c r="C43" s="1130" t="e">
        <f>R43</f>
        <v>#DIV/0!</v>
      </c>
      <c r="D43" s="1130"/>
      <c r="E43" s="1130"/>
      <c r="F43" s="1130"/>
      <c r="G43" s="1130"/>
      <c r="H43" s="1130"/>
      <c r="I43" s="1130"/>
      <c r="J43" s="1130"/>
      <c r="K43" s="640"/>
      <c r="L43" s="3004"/>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7"/>
      <c r="Y43" s="617"/>
      <c r="Z43" s="617"/>
      <c r="AA43" s="617"/>
      <c r="AB43" s="617"/>
      <c r="AC43" s="617"/>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2318</v>
      </c>
      <c r="B51" s="617"/>
      <c r="C51" s="620"/>
      <c r="D51" s="620"/>
      <c r="E51" s="620"/>
      <c r="F51" s="621"/>
      <c r="G51" s="621"/>
      <c r="H51" s="620"/>
      <c r="I51" s="620"/>
      <c r="J51" s="620"/>
      <c r="K51" s="622"/>
      <c r="L51" s="623"/>
      <c r="M51" s="620"/>
      <c r="N51" s="3010"/>
      <c r="O51" s="3010"/>
      <c r="P51" s="389"/>
      <c r="Q51" s="390"/>
    </row>
    <row r="52" spans="1:17" s="394" customFormat="1" ht="15">
      <c r="A52" s="391" t="s">
        <v>2200</v>
      </c>
      <c r="B52" s="392"/>
      <c r="C52" s="1156" t="str">
        <f>YEAR(C7)&amp;"-"&amp;MONTH(C7)</f>
        <v>2021-12</v>
      </c>
      <c r="D52" s="1157">
        <f>EDATE(C52,-1)</f>
        <v>44501</v>
      </c>
      <c r="E52" s="1158">
        <f t="shared" ref="E52:O52" si="16">EDATE(D52,-1)</f>
        <v>44470</v>
      </c>
      <c r="F52" s="1158">
        <f t="shared" si="16"/>
        <v>44440</v>
      </c>
      <c r="G52" s="1158">
        <f t="shared" si="16"/>
        <v>44409</v>
      </c>
      <c r="H52" s="1158">
        <f t="shared" si="16"/>
        <v>44378</v>
      </c>
      <c r="I52" s="1158">
        <f t="shared" si="16"/>
        <v>44348</v>
      </c>
      <c r="J52" s="1158">
        <f t="shared" si="16"/>
        <v>44317</v>
      </c>
      <c r="K52" s="1158">
        <f t="shared" si="16"/>
        <v>44287</v>
      </c>
      <c r="L52" s="1158">
        <f t="shared" si="16"/>
        <v>44256</v>
      </c>
      <c r="M52" s="1158">
        <f t="shared" si="16"/>
        <v>44228</v>
      </c>
      <c r="N52" s="1158">
        <f t="shared" si="16"/>
        <v>44197</v>
      </c>
      <c r="O52" s="1158">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191"/>
      <c r="E1" s="1527"/>
      <c r="F1" s="1192" t="s">
        <v>2185</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2186</v>
      </c>
      <c r="D3" s="292">
        <f>IF(C1="仅计算典型户型",'数据-取费表'!E5,'数据-取费表'!B5)</f>
        <v>58.79</v>
      </c>
      <c r="E3" s="838" t="s">
        <v>2348</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94" t="s">
        <v>2188</v>
      </c>
      <c r="D4" s="3695"/>
      <c r="E4" s="3696" t="s">
        <v>2189</v>
      </c>
      <c r="F4" s="3697"/>
      <c r="G4" s="3694" t="s">
        <v>2190</v>
      </c>
      <c r="H4" s="3695"/>
      <c r="I4" s="3694" t="s">
        <v>2191</v>
      </c>
      <c r="J4" s="3695"/>
      <c r="K4" s="496" t="s">
        <v>2192</v>
      </c>
      <c r="L4" s="2992"/>
      <c r="M4" s="2993"/>
      <c r="N4" s="2993"/>
      <c r="O4" s="2993"/>
      <c r="P4" s="3698" t="s">
        <v>2193</v>
      </c>
      <c r="Q4" s="3699"/>
      <c r="R4" s="3681" t="s">
        <v>2189</v>
      </c>
      <c r="S4" s="3682"/>
      <c r="T4" s="3681" t="s">
        <v>2190</v>
      </c>
      <c r="U4" s="3682"/>
      <c r="V4" s="3704" t="s">
        <v>2191</v>
      </c>
      <c r="W4" s="3704"/>
      <c r="X4" s="1303"/>
      <c r="Y4" s="3681" t="s">
        <v>2193</v>
      </c>
      <c r="Z4" s="3682"/>
      <c r="AA4" s="3691" t="s">
        <v>2189</v>
      </c>
      <c r="AB4" s="3692" t="s">
        <v>2190</v>
      </c>
      <c r="AC4" s="3691" t="s">
        <v>2191</v>
      </c>
    </row>
    <row r="5" spans="1:29" ht="15">
      <c r="A5" s="297"/>
      <c r="B5" s="298"/>
      <c r="C5" s="3707" t="s">
        <v>2194</v>
      </c>
      <c r="D5" s="3708"/>
      <c r="E5" s="3705" t="s">
        <v>2195</v>
      </c>
      <c r="F5" s="3706"/>
      <c r="G5" s="3707" t="s">
        <v>2196</v>
      </c>
      <c r="H5" s="3708"/>
      <c r="I5" s="3707" t="s">
        <v>2197</v>
      </c>
      <c r="J5" s="3708"/>
      <c r="K5" s="496"/>
      <c r="L5" s="2992"/>
      <c r="M5" s="2993"/>
      <c r="N5" s="2993"/>
      <c r="O5" s="2993"/>
      <c r="P5" s="3700"/>
      <c r="Q5" s="3701"/>
      <c r="R5" s="3683"/>
      <c r="S5" s="3684"/>
      <c r="T5" s="3683"/>
      <c r="U5" s="3684"/>
      <c r="V5" s="3704"/>
      <c r="W5" s="3704"/>
      <c r="X5" s="1303"/>
      <c r="Y5" s="3683"/>
      <c r="Z5" s="3684"/>
      <c r="AA5" s="3692"/>
      <c r="AB5" s="3692"/>
      <c r="AC5" s="3692"/>
    </row>
    <row r="6" spans="1:29" ht="15.75" thickBot="1">
      <c r="A6" s="299"/>
      <c r="B6" s="300"/>
      <c r="C6" s="3709" t="s">
        <v>2198</v>
      </c>
      <c r="D6" s="3710"/>
      <c r="E6" s="3711" t="s">
        <v>2198</v>
      </c>
      <c r="F6" s="3712"/>
      <c r="G6" s="3709" t="s">
        <v>2198</v>
      </c>
      <c r="H6" s="3710"/>
      <c r="I6" s="3709" t="s">
        <v>2198</v>
      </c>
      <c r="J6" s="3710"/>
      <c r="K6" s="496" t="s">
        <v>2199</v>
      </c>
      <c r="L6" s="2992"/>
      <c r="M6" s="2993"/>
      <c r="N6" s="2993"/>
      <c r="O6" s="2993"/>
      <c r="P6" s="3702"/>
      <c r="Q6" s="3703"/>
      <c r="R6" s="3683"/>
      <c r="S6" s="3684"/>
      <c r="T6" s="3685"/>
      <c r="U6" s="3686"/>
      <c r="V6" s="3704"/>
      <c r="W6" s="3704"/>
      <c r="X6" s="1303"/>
      <c r="Y6" s="3685"/>
      <c r="Z6" s="3686"/>
      <c r="AA6" s="3693"/>
      <c r="AB6" s="3693"/>
      <c r="AC6" s="3693"/>
    </row>
    <row r="7" spans="1:29" s="25" customFormat="1" ht="15.75" thickBot="1">
      <c r="A7" s="301" t="s">
        <v>2200</v>
      </c>
      <c r="B7" s="302"/>
      <c r="C7" s="303">
        <f>'数据-取费表'!B2</f>
        <v>44545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79" t="s">
        <v>2201</v>
      </c>
      <c r="Q7" s="3687"/>
      <c r="R7" s="626" t="s">
        <v>25</v>
      </c>
      <c r="S7" s="627">
        <f t="shared" ref="S7:S14" si="0">F7</f>
        <v>0</v>
      </c>
      <c r="T7" s="626" t="s">
        <v>25</v>
      </c>
      <c r="U7" s="627">
        <f t="shared" ref="U7:U14" si="1">H7</f>
        <v>0</v>
      </c>
      <c r="V7" s="626" t="s">
        <v>25</v>
      </c>
      <c r="W7" s="627">
        <f t="shared" ref="W7:W14" si="2">J7</f>
        <v>0</v>
      </c>
      <c r="X7" s="628"/>
      <c r="Y7" s="3679" t="s">
        <v>2201</v>
      </c>
      <c r="Z7" s="3680"/>
      <c r="AA7" s="629" t="e">
        <f>D7/F7</f>
        <v>#DIV/0!</v>
      </c>
      <c r="AB7" s="629" t="e">
        <f>D7/H7</f>
        <v>#DIV/0!</v>
      </c>
      <c r="AC7" s="629"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79" t="s">
        <v>2204</v>
      </c>
      <c r="Q8" s="3680"/>
      <c r="R8" s="626" t="s">
        <v>25</v>
      </c>
      <c r="S8" s="627">
        <f t="shared" si="0"/>
        <v>0</v>
      </c>
      <c r="T8" s="626" t="s">
        <v>25</v>
      </c>
      <c r="U8" s="627">
        <f t="shared" si="1"/>
        <v>0</v>
      </c>
      <c r="V8" s="626" t="s">
        <v>25</v>
      </c>
      <c r="W8" s="627">
        <f t="shared" si="2"/>
        <v>0</v>
      </c>
      <c r="X8" s="628"/>
      <c r="Y8" s="3679" t="s">
        <v>2204</v>
      </c>
      <c r="Z8" s="3680"/>
      <c r="AA8" s="629" t="e">
        <f t="shared" ref="AA8:AA36" si="3">D8/F8</f>
        <v>#DIV/0!</v>
      </c>
      <c r="AB8" s="629" t="e">
        <f t="shared" ref="AB8:AB36" si="4">D8/H8</f>
        <v>#DIV/0!</v>
      </c>
      <c r="AC8" s="629"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1" t="s">
        <v>2207</v>
      </c>
      <c r="Q9" s="1295" t="str">
        <f t="shared" ref="Q9:Q14" si="6">B9</f>
        <v>用途</v>
      </c>
      <c r="R9" s="626" t="s">
        <v>25</v>
      </c>
      <c r="S9" s="627">
        <f t="shared" si="0"/>
        <v>100</v>
      </c>
      <c r="T9" s="626" t="s">
        <v>25</v>
      </c>
      <c r="U9" s="627">
        <f t="shared" si="1"/>
        <v>100</v>
      </c>
      <c r="V9" s="626" t="s">
        <v>25</v>
      </c>
      <c r="W9" s="627">
        <f t="shared" si="2"/>
        <v>100</v>
      </c>
      <c r="X9" s="628"/>
      <c r="Y9" s="3690" t="s">
        <v>2208</v>
      </c>
      <c r="Z9" s="19" t="str">
        <f t="shared" ref="Z9:Z14" si="7">Q9</f>
        <v>用途</v>
      </c>
      <c r="AA9" s="629">
        <f t="shared" si="3"/>
        <v>1</v>
      </c>
      <c r="AB9" s="629">
        <f t="shared" si="4"/>
        <v>1</v>
      </c>
      <c r="AC9" s="629">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1"/>
      <c r="Q10" s="1295" t="str">
        <f t="shared" si="6"/>
        <v>土地使用年限（年）</v>
      </c>
      <c r="R10" s="626" t="s">
        <v>25</v>
      </c>
      <c r="S10" s="627">
        <f t="shared" si="0"/>
        <v>100</v>
      </c>
      <c r="T10" s="626" t="s">
        <v>25</v>
      </c>
      <c r="U10" s="627">
        <f t="shared" si="1"/>
        <v>100</v>
      </c>
      <c r="V10" s="626" t="s">
        <v>25</v>
      </c>
      <c r="W10" s="627">
        <f t="shared" si="2"/>
        <v>100</v>
      </c>
      <c r="X10" s="628"/>
      <c r="Y10" s="369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1"/>
      <c r="Q11" s="1295">
        <f t="shared" si="6"/>
        <v>111</v>
      </c>
      <c r="R11" s="626" t="s">
        <v>25</v>
      </c>
      <c r="S11" s="627">
        <f t="shared" si="0"/>
        <v>100</v>
      </c>
      <c r="T11" s="626" t="s">
        <v>25</v>
      </c>
      <c r="U11" s="627">
        <f t="shared" si="1"/>
        <v>100</v>
      </c>
      <c r="V11" s="626" t="s">
        <v>25</v>
      </c>
      <c r="W11" s="627">
        <f t="shared" si="2"/>
        <v>100</v>
      </c>
      <c r="X11" s="628"/>
      <c r="Y11" s="369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69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690"/>
      <c r="Z13" s="19">
        <f t="shared" si="7"/>
        <v>111</v>
      </c>
      <c r="AA13" s="629">
        <f t="shared" si="3"/>
        <v>1</v>
      </c>
      <c r="AB13" s="629">
        <f t="shared" si="4"/>
        <v>1</v>
      </c>
      <c r="AC13" s="629">
        <f t="shared" si="5"/>
        <v>1</v>
      </c>
    </row>
    <row r="14" spans="1:29" ht="85.5">
      <c r="A14" s="294" t="s">
        <v>2211</v>
      </c>
      <c r="B14" s="511" t="s">
        <v>2349</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88" t="s">
        <v>2212</v>
      </c>
      <c r="Q14" s="1302" t="str">
        <f t="shared" si="6"/>
        <v>交通便捷度</v>
      </c>
      <c r="R14" s="630" t="s">
        <v>25</v>
      </c>
      <c r="S14" s="631">
        <f t="shared" si="0"/>
        <v>100</v>
      </c>
      <c r="T14" s="630" t="s">
        <v>25</v>
      </c>
      <c r="U14" s="631">
        <f t="shared" si="1"/>
        <v>100</v>
      </c>
      <c r="V14" s="630" t="s">
        <v>25</v>
      </c>
      <c r="W14" s="631">
        <f t="shared" si="2"/>
        <v>100</v>
      </c>
      <c r="X14" s="1303"/>
      <c r="Y14" s="3688" t="s">
        <v>2212</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689"/>
      <c r="Q15" s="1302"/>
      <c r="R15" s="630"/>
      <c r="S15" s="631"/>
      <c r="T15" s="630"/>
      <c r="U15" s="631"/>
      <c r="V15" s="630"/>
      <c r="W15" s="631"/>
      <c r="X15" s="1303"/>
      <c r="Y15" s="3689"/>
      <c r="Z15" s="1304"/>
      <c r="AA15" s="1305">
        <v>1</v>
      </c>
      <c r="AB15" s="1305">
        <v>1</v>
      </c>
      <c r="AC15" s="1305">
        <v>1</v>
      </c>
    </row>
    <row r="16" spans="1:29" ht="42.75">
      <c r="A16" s="297"/>
      <c r="B16" s="513" t="s">
        <v>2327</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89"/>
      <c r="Q16" s="1302" t="str">
        <f>B16</f>
        <v>公共配套设施</v>
      </c>
      <c r="R16" s="630" t="s">
        <v>25</v>
      </c>
      <c r="S16" s="631">
        <f>F16</f>
        <v>100</v>
      </c>
      <c r="T16" s="630" t="s">
        <v>25</v>
      </c>
      <c r="U16" s="631">
        <f>H16</f>
        <v>100</v>
      </c>
      <c r="V16" s="630" t="s">
        <v>25</v>
      </c>
      <c r="W16" s="631">
        <f>J16</f>
        <v>100</v>
      </c>
      <c r="X16" s="1303"/>
      <c r="Y16" s="3689"/>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689"/>
      <c r="Q17" s="1302"/>
      <c r="R17" s="630"/>
      <c r="S17" s="631"/>
      <c r="T17" s="630"/>
      <c r="U17" s="631"/>
      <c r="V17" s="630"/>
      <c r="W17" s="631"/>
      <c r="X17" s="1303"/>
      <c r="Y17" s="3689"/>
      <c r="Z17" s="1304"/>
      <c r="AA17" s="1305">
        <v>1</v>
      </c>
      <c r="AB17" s="1305">
        <v>1</v>
      </c>
      <c r="AC17" s="1305">
        <v>1</v>
      </c>
    </row>
    <row r="18" spans="1:29" ht="28.5">
      <c r="A18" s="297"/>
      <c r="B18" s="515" t="s">
        <v>2328</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89"/>
      <c r="Q18" s="1302" t="str">
        <f>B18</f>
        <v>基础设施水平</v>
      </c>
      <c r="R18" s="630" t="s">
        <v>25</v>
      </c>
      <c r="S18" s="631">
        <f>F18</f>
        <v>100</v>
      </c>
      <c r="T18" s="630" t="s">
        <v>25</v>
      </c>
      <c r="U18" s="631">
        <f>H18</f>
        <v>100</v>
      </c>
      <c r="V18" s="630" t="s">
        <v>25</v>
      </c>
      <c r="W18" s="631">
        <f>J18</f>
        <v>100</v>
      </c>
      <c r="X18" s="1303"/>
      <c r="Y18" s="3689"/>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689"/>
      <c r="Q19" s="1302"/>
      <c r="R19" s="630"/>
      <c r="S19" s="631"/>
      <c r="T19" s="630"/>
      <c r="U19" s="631"/>
      <c r="V19" s="630"/>
      <c r="W19" s="631"/>
      <c r="X19" s="1303"/>
      <c r="Y19" s="3689"/>
      <c r="Z19" s="1304"/>
      <c r="AA19" s="1305">
        <v>1</v>
      </c>
      <c r="AB19" s="1305">
        <v>1</v>
      </c>
      <c r="AC19" s="1305">
        <v>1</v>
      </c>
    </row>
    <row r="20" spans="1:29" ht="57">
      <c r="A20" s="297"/>
      <c r="B20" s="513" t="s">
        <v>2350</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89"/>
      <c r="Q20" s="1302" t="str">
        <f>B20</f>
        <v>自然及人文环境</v>
      </c>
      <c r="R20" s="630" t="s">
        <v>25</v>
      </c>
      <c r="S20" s="631">
        <f>F20</f>
        <v>100</v>
      </c>
      <c r="T20" s="630" t="s">
        <v>25</v>
      </c>
      <c r="U20" s="631">
        <f>H20</f>
        <v>100</v>
      </c>
      <c r="V20" s="630" t="s">
        <v>25</v>
      </c>
      <c r="W20" s="631">
        <f>J20</f>
        <v>100</v>
      </c>
      <c r="X20" s="1303"/>
      <c r="Y20" s="3689"/>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689"/>
      <c r="Q21" s="1302"/>
      <c r="R21" s="630"/>
      <c r="S21" s="631"/>
      <c r="T21" s="630"/>
      <c r="U21" s="631"/>
      <c r="V21" s="630"/>
      <c r="W21" s="631"/>
      <c r="X21" s="1303"/>
      <c r="Y21" s="3689"/>
      <c r="Z21" s="1304"/>
      <c r="AA21" s="1305">
        <v>1</v>
      </c>
      <c r="AB21" s="1305">
        <v>1</v>
      </c>
      <c r="AC21" s="1305">
        <v>1</v>
      </c>
    </row>
    <row r="22" spans="1:29" ht="15">
      <c r="A22" s="297"/>
      <c r="B22" s="513" t="s">
        <v>2351</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89"/>
      <c r="Q22" s="1302" t="str">
        <f>B22</f>
        <v>楼层</v>
      </c>
      <c r="R22" s="630" t="s">
        <v>25</v>
      </c>
      <c r="S22" s="631">
        <f>F22</f>
        <v>100</v>
      </c>
      <c r="T22" s="630" t="s">
        <v>25</v>
      </c>
      <c r="U22" s="631">
        <f>H22</f>
        <v>100</v>
      </c>
      <c r="V22" s="630" t="s">
        <v>25</v>
      </c>
      <c r="W22" s="631">
        <f>J22</f>
        <v>100</v>
      </c>
      <c r="X22" s="1303"/>
      <c r="Y22" s="3689"/>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689"/>
      <c r="Q23" s="1302">
        <f>B23</f>
        <v>111</v>
      </c>
      <c r="R23" s="630" t="s">
        <v>25</v>
      </c>
      <c r="S23" s="631">
        <f>F23</f>
        <v>100</v>
      </c>
      <c r="T23" s="630" t="s">
        <v>25</v>
      </c>
      <c r="U23" s="631">
        <f>H23</f>
        <v>100</v>
      </c>
      <c r="V23" s="630" t="s">
        <v>25</v>
      </c>
      <c r="W23" s="631">
        <f>J23</f>
        <v>100</v>
      </c>
      <c r="X23" s="1303"/>
      <c r="Y23" s="3689"/>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689"/>
      <c r="Q24" s="1302">
        <f t="shared" ref="Q24:Q36" si="11">B24</f>
        <v>111</v>
      </c>
      <c r="R24" s="630" t="s">
        <v>25</v>
      </c>
      <c r="S24" s="631">
        <f>F24</f>
        <v>100</v>
      </c>
      <c r="T24" s="630" t="s">
        <v>25</v>
      </c>
      <c r="U24" s="631">
        <f>H24</f>
        <v>100</v>
      </c>
      <c r="V24" s="630" t="s">
        <v>25</v>
      </c>
      <c r="W24" s="631">
        <f>J24</f>
        <v>100</v>
      </c>
      <c r="X24" s="1303"/>
      <c r="Y24" s="3689"/>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89"/>
      <c r="Q25" s="1295">
        <f t="shared" si="11"/>
        <v>111</v>
      </c>
      <c r="R25" s="626" t="s">
        <v>25</v>
      </c>
      <c r="S25" s="627">
        <f>F25</f>
        <v>100</v>
      </c>
      <c r="T25" s="626" t="s">
        <v>25</v>
      </c>
      <c r="U25" s="627">
        <f>H25</f>
        <v>100</v>
      </c>
      <c r="V25" s="626" t="s">
        <v>25</v>
      </c>
      <c r="W25" s="627">
        <f>J25</f>
        <v>100</v>
      </c>
      <c r="X25" s="628"/>
      <c r="Y25" s="3689"/>
      <c r="Z25" s="19">
        <f>Q25</f>
        <v>111</v>
      </c>
      <c r="AA25" s="1305">
        <f>D25/F25</f>
        <v>1</v>
      </c>
      <c r="AB25" s="1305">
        <f>D25/H25</f>
        <v>1</v>
      </c>
      <c r="AC25" s="1305">
        <f>D25/J25</f>
        <v>1</v>
      </c>
    </row>
    <row r="26" spans="1:29" ht="28.5">
      <c r="A26" s="533" t="s">
        <v>2216</v>
      </c>
      <c r="B26" s="23" t="s">
        <v>2352</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76" t="s">
        <v>2218</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77" t="s">
        <v>2218</v>
      </c>
      <c r="Z26" s="1304" t="str">
        <f t="shared" ref="Z26:Z36" si="15">Q26</f>
        <v>配套类型</v>
      </c>
      <c r="AA26" s="1305">
        <f t="shared" si="3"/>
        <v>1</v>
      </c>
      <c r="AB26" s="1305">
        <f t="shared" si="4"/>
        <v>1</v>
      </c>
      <c r="AC26" s="1305">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77"/>
      <c r="Q27" s="632" t="str">
        <f t="shared" si="11"/>
        <v>项目停车位配比</v>
      </c>
      <c r="R27" s="633" t="s">
        <v>25</v>
      </c>
      <c r="S27" s="634">
        <f t="shared" si="12"/>
        <v>100</v>
      </c>
      <c r="T27" s="633" t="s">
        <v>25</v>
      </c>
      <c r="U27" s="634">
        <f t="shared" si="13"/>
        <v>100</v>
      </c>
      <c r="V27" s="633" t="s">
        <v>25</v>
      </c>
      <c r="W27" s="634">
        <f t="shared" si="14"/>
        <v>100</v>
      </c>
      <c r="X27" s="635"/>
      <c r="Y27" s="3677"/>
      <c r="Z27" s="636" t="str">
        <f t="shared" si="15"/>
        <v>项目停车位配比</v>
      </c>
      <c r="AA27" s="1305">
        <f t="shared" si="3"/>
        <v>1</v>
      </c>
      <c r="AB27" s="1305">
        <f t="shared" si="4"/>
        <v>1</v>
      </c>
      <c r="AC27" s="1305">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77"/>
      <c r="Q28" s="1302" t="str">
        <f t="shared" si="11"/>
        <v>公共部分装修</v>
      </c>
      <c r="R28" s="630" t="s">
        <v>25</v>
      </c>
      <c r="S28" s="631">
        <f t="shared" si="12"/>
        <v>100</v>
      </c>
      <c r="T28" s="630" t="s">
        <v>25</v>
      </c>
      <c r="U28" s="631">
        <f t="shared" si="13"/>
        <v>100</v>
      </c>
      <c r="V28" s="630" t="s">
        <v>25</v>
      </c>
      <c r="W28" s="631">
        <f t="shared" si="14"/>
        <v>100</v>
      </c>
      <c r="X28" s="1303"/>
      <c r="Y28" s="3677"/>
      <c r="Z28" s="1304" t="str">
        <f t="shared" si="15"/>
        <v>公共部分装修</v>
      </c>
      <c r="AA28" s="1305">
        <f t="shared" si="3"/>
        <v>1</v>
      </c>
      <c r="AB28" s="1305">
        <f t="shared" si="4"/>
        <v>1</v>
      </c>
      <c r="AC28" s="1305">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77"/>
      <c r="Q29" s="1302" t="str">
        <f t="shared" si="11"/>
        <v>成新率</v>
      </c>
      <c r="R29" s="630" t="s">
        <v>25</v>
      </c>
      <c r="S29" s="631" t="e">
        <f t="shared" si="12"/>
        <v>#N/A</v>
      </c>
      <c r="T29" s="630" t="s">
        <v>25</v>
      </c>
      <c r="U29" s="631" t="e">
        <f t="shared" si="13"/>
        <v>#N/A</v>
      </c>
      <c r="V29" s="630" t="s">
        <v>25</v>
      </c>
      <c r="W29" s="631" t="e">
        <f t="shared" si="14"/>
        <v>#N/A</v>
      </c>
      <c r="X29" s="1303"/>
      <c r="Y29" s="3677"/>
      <c r="Z29" s="1304" t="str">
        <f t="shared" si="15"/>
        <v>成新率</v>
      </c>
      <c r="AA29" s="1305" t="e">
        <f t="shared" si="3"/>
        <v>#N/A</v>
      </c>
      <c r="AB29" s="1305" t="e">
        <f t="shared" si="4"/>
        <v>#N/A</v>
      </c>
      <c r="AC29" s="1305"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77"/>
      <c r="Q30" s="1302" t="str">
        <f t="shared" si="11"/>
        <v>物业等级</v>
      </c>
      <c r="R30" s="630" t="s">
        <v>25</v>
      </c>
      <c r="S30" s="631">
        <f t="shared" si="12"/>
        <v>100</v>
      </c>
      <c r="T30" s="630" t="s">
        <v>25</v>
      </c>
      <c r="U30" s="631">
        <f t="shared" si="13"/>
        <v>100</v>
      </c>
      <c r="V30" s="630" t="s">
        <v>25</v>
      </c>
      <c r="W30" s="631">
        <f t="shared" si="14"/>
        <v>100</v>
      </c>
      <c r="X30" s="1303"/>
      <c r="Y30" s="3677"/>
      <c r="Z30" s="1304" t="str">
        <f t="shared" si="15"/>
        <v>物业等级</v>
      </c>
      <c r="AA30" s="1305">
        <f t="shared" si="3"/>
        <v>1</v>
      </c>
      <c r="AB30" s="1305">
        <f t="shared" si="4"/>
        <v>1</v>
      </c>
      <c r="AC30" s="1305">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77"/>
      <c r="Q31" s="1295" t="str">
        <f t="shared" si="11"/>
        <v>停车位面积</v>
      </c>
      <c r="R31" s="626" t="s">
        <v>25</v>
      </c>
      <c r="S31" s="627" t="e">
        <f t="shared" si="12"/>
        <v>#N/A</v>
      </c>
      <c r="T31" s="626" t="s">
        <v>25</v>
      </c>
      <c r="U31" s="627" t="e">
        <f t="shared" si="13"/>
        <v>#N/A</v>
      </c>
      <c r="V31" s="626" t="s">
        <v>25</v>
      </c>
      <c r="W31" s="627" t="e">
        <f t="shared" si="14"/>
        <v>#N/A</v>
      </c>
      <c r="X31" s="628"/>
      <c r="Y31" s="3677"/>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77" t="s">
        <v>2218</v>
      </c>
      <c r="Q32" s="1302" t="str">
        <f t="shared" si="11"/>
        <v>车位类型</v>
      </c>
      <c r="R32" s="630" t="s">
        <v>25</v>
      </c>
      <c r="S32" s="631">
        <f t="shared" si="12"/>
        <v>100</v>
      </c>
      <c r="T32" s="630" t="s">
        <v>25</v>
      </c>
      <c r="U32" s="631">
        <f t="shared" si="13"/>
        <v>100</v>
      </c>
      <c r="V32" s="630" t="s">
        <v>25</v>
      </c>
      <c r="W32" s="631">
        <f t="shared" si="14"/>
        <v>100</v>
      </c>
      <c r="X32" s="1303"/>
      <c r="Y32" s="3677" t="s">
        <v>2218</v>
      </c>
      <c r="Z32" s="1304" t="str">
        <f t="shared" si="15"/>
        <v>车位类型</v>
      </c>
      <c r="AA32" s="1305">
        <f t="shared" si="3"/>
        <v>1</v>
      </c>
      <c r="AB32" s="1305">
        <f t="shared" si="4"/>
        <v>1</v>
      </c>
      <c r="AC32" s="1305">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77"/>
      <c r="Q33" s="1302" t="str">
        <f t="shared" si="11"/>
        <v>是否直接入户</v>
      </c>
      <c r="R33" s="630" t="s">
        <v>25</v>
      </c>
      <c r="S33" s="631">
        <f t="shared" si="12"/>
        <v>100</v>
      </c>
      <c r="T33" s="630" t="s">
        <v>25</v>
      </c>
      <c r="U33" s="631">
        <f t="shared" si="13"/>
        <v>100</v>
      </c>
      <c r="V33" s="630" t="s">
        <v>25</v>
      </c>
      <c r="W33" s="631">
        <f t="shared" si="14"/>
        <v>100</v>
      </c>
      <c r="X33" s="1303"/>
      <c r="Y33" s="3677"/>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77"/>
      <c r="Q34" s="1302">
        <f t="shared" si="11"/>
        <v>111</v>
      </c>
      <c r="R34" s="630" t="s">
        <v>25</v>
      </c>
      <c r="S34" s="631">
        <f t="shared" si="12"/>
        <v>100</v>
      </c>
      <c r="T34" s="630" t="s">
        <v>25</v>
      </c>
      <c r="U34" s="631">
        <f t="shared" si="13"/>
        <v>100</v>
      </c>
      <c r="V34" s="630" t="s">
        <v>25</v>
      </c>
      <c r="W34" s="631">
        <f t="shared" si="14"/>
        <v>100</v>
      </c>
      <c r="X34" s="1303"/>
      <c r="Y34" s="3677"/>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77"/>
      <c r="Q35" s="632">
        <f t="shared" si="11"/>
        <v>111</v>
      </c>
      <c r="R35" s="633" t="s">
        <v>25</v>
      </c>
      <c r="S35" s="634">
        <f t="shared" si="12"/>
        <v>100</v>
      </c>
      <c r="T35" s="633" t="s">
        <v>25</v>
      </c>
      <c r="U35" s="634">
        <f t="shared" si="13"/>
        <v>100</v>
      </c>
      <c r="V35" s="633" t="s">
        <v>25</v>
      </c>
      <c r="W35" s="634">
        <f t="shared" si="14"/>
        <v>100</v>
      </c>
      <c r="X35" s="635"/>
      <c r="Y35" s="3677"/>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77"/>
      <c r="Q36" s="1302">
        <f t="shared" si="11"/>
        <v>111</v>
      </c>
      <c r="R36" s="630" t="s">
        <v>25</v>
      </c>
      <c r="S36" s="631">
        <f t="shared" si="12"/>
        <v>100</v>
      </c>
      <c r="T36" s="630" t="s">
        <v>25</v>
      </c>
      <c r="U36" s="631">
        <f t="shared" si="13"/>
        <v>100</v>
      </c>
      <c r="V36" s="630" t="s">
        <v>25</v>
      </c>
      <c r="W36" s="631">
        <f t="shared" si="14"/>
        <v>100</v>
      </c>
      <c r="X36" s="1303"/>
      <c r="Y36" s="3677"/>
      <c r="Z36" s="1304">
        <f t="shared" si="15"/>
        <v>111</v>
      </c>
      <c r="AA36" s="1305">
        <f t="shared" si="3"/>
        <v>1</v>
      </c>
      <c r="AB36" s="1305">
        <f t="shared" si="4"/>
        <v>1</v>
      </c>
      <c r="AC36" s="1305">
        <f t="shared" si="5"/>
        <v>1</v>
      </c>
    </row>
    <row r="37" spans="1:29" ht="15">
      <c r="A37" s="367" t="s">
        <v>2360</v>
      </c>
      <c r="B37" s="839" t="s">
        <v>2361</v>
      </c>
      <c r="C37" s="1122" t="s">
        <v>1</v>
      </c>
      <c r="D37" s="1123"/>
      <c r="E37" s="1124"/>
      <c r="F37" s="1125"/>
      <c r="G37" s="1126"/>
      <c r="H37" s="1127"/>
      <c r="I37" s="1124"/>
      <c r="J37" s="1127"/>
      <c r="K37" s="503"/>
      <c r="L37" s="3004"/>
      <c r="N37" s="2993"/>
      <c r="P37" s="3671" t="str">
        <f>A37</f>
        <v>成交单价</v>
      </c>
      <c r="Q37" s="3671"/>
      <c r="R37" s="3672">
        <f>E37</f>
        <v>0</v>
      </c>
      <c r="S37" s="3672"/>
      <c r="T37" s="3672">
        <f>G37</f>
        <v>0</v>
      </c>
      <c r="U37" s="3672"/>
      <c r="V37" s="3672">
        <f>I37</f>
        <v>0</v>
      </c>
      <c r="W37" s="3672"/>
      <c r="X37" s="617"/>
      <c r="Y37" s="637"/>
      <c r="Z37" s="617"/>
      <c r="AA37" s="617"/>
      <c r="AB37" s="617"/>
      <c r="AC37" s="617"/>
    </row>
    <row r="38" spans="1:29" ht="15.75" thickBot="1">
      <c r="A38" s="374" t="s">
        <v>2362</v>
      </c>
      <c r="B38" s="375" t="str">
        <f>B37</f>
        <v>元/平方米</v>
      </c>
      <c r="C38" s="1128" t="e">
        <f>R39</f>
        <v>#DIV/0!</v>
      </c>
      <c r="D38" s="1765" t="s">
        <v>2687</v>
      </c>
      <c r="E38" s="1129" t="e">
        <f>R38</f>
        <v>#DIV/0!</v>
      </c>
      <c r="F38" s="1767"/>
      <c r="G38" s="1128" t="e">
        <f>T38</f>
        <v>#DIV/0!</v>
      </c>
      <c r="H38" s="1767"/>
      <c r="I38" s="1129" t="e">
        <f>V38</f>
        <v>#DIV/0!</v>
      </c>
      <c r="J38" s="1767"/>
      <c r="K38" s="2479">
        <f>F38+H38+J38</f>
        <v>0</v>
      </c>
      <c r="L38" s="3004"/>
      <c r="P38" s="3671" t="str">
        <f>A38</f>
        <v>比较价值</v>
      </c>
      <c r="Q38" s="3671"/>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7"/>
      <c r="Y38" s="617"/>
      <c r="Z38" s="617"/>
      <c r="AA38" s="617"/>
      <c r="AB38" s="617"/>
      <c r="AC38" s="617"/>
    </row>
    <row r="39" spans="1:29" ht="15.75" thickBot="1">
      <c r="A39" s="378" t="s">
        <v>2363</v>
      </c>
      <c r="B39" s="379"/>
      <c r="C39" s="1130" t="e">
        <f>R39</f>
        <v>#DIV/0!</v>
      </c>
      <c r="D39" s="1130"/>
      <c r="E39" s="1130"/>
      <c r="F39" s="1130"/>
      <c r="G39" s="1130"/>
      <c r="H39" s="1130"/>
      <c r="I39" s="1130"/>
      <c r="J39" s="1130"/>
      <c r="K39" s="504"/>
      <c r="L39" s="3004"/>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2367</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2368</v>
      </c>
      <c r="B48" s="392"/>
      <c r="C48" s="1156" t="str">
        <f>YEAR(C7)&amp;"-"&amp;MONTH(C7)</f>
        <v>2021-12</v>
      </c>
      <c r="D48" s="1157">
        <f>EDATE(C48,-1)</f>
        <v>44501</v>
      </c>
      <c r="E48" s="1157">
        <f t="shared" ref="E48:O48" si="16">EDATE(D48,-1)</f>
        <v>44470</v>
      </c>
      <c r="F48" s="1157">
        <f t="shared" si="16"/>
        <v>44440</v>
      </c>
      <c r="G48" s="1157">
        <f t="shared" si="16"/>
        <v>44409</v>
      </c>
      <c r="H48" s="1157">
        <f t="shared" si="16"/>
        <v>44378</v>
      </c>
      <c r="I48" s="1157">
        <f t="shared" si="16"/>
        <v>44348</v>
      </c>
      <c r="J48" s="1157">
        <f t="shared" si="16"/>
        <v>44317</v>
      </c>
      <c r="K48" s="1157">
        <f t="shared" si="16"/>
        <v>44287</v>
      </c>
      <c r="L48" s="1157">
        <f t="shared" si="16"/>
        <v>44256</v>
      </c>
      <c r="M48" s="1157">
        <f t="shared" si="16"/>
        <v>44228</v>
      </c>
      <c r="N48" s="1157">
        <f t="shared" si="16"/>
        <v>44197</v>
      </c>
      <c r="O48" s="1157">
        <f t="shared" si="16"/>
        <v>44166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2347</v>
      </c>
      <c r="B1" s="1550"/>
      <c r="C1" s="1190"/>
      <c r="D1" s="1200"/>
      <c r="E1" s="1527" t="s">
        <v>2688</v>
      </c>
      <c r="F1" s="1201" t="s">
        <v>2185</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2186</v>
      </c>
      <c r="D3" s="292">
        <f>IF(C1="仅计算典型户型",'数据-取费表'!E5,'数据-取费表'!B5)</f>
        <v>58.79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94" t="s">
        <v>2188</v>
      </c>
      <c r="D4" s="3695"/>
      <c r="E4" s="3696" t="s">
        <v>2189</v>
      </c>
      <c r="F4" s="3697"/>
      <c r="G4" s="3694" t="s">
        <v>2190</v>
      </c>
      <c r="H4" s="3695"/>
      <c r="I4" s="3694" t="s">
        <v>2191</v>
      </c>
      <c r="J4" s="3695"/>
      <c r="K4" s="496" t="s">
        <v>2192</v>
      </c>
      <c r="L4" s="2992"/>
      <c r="M4" s="2993"/>
      <c r="N4" s="2993"/>
      <c r="O4" s="2993"/>
      <c r="P4" s="3698" t="s">
        <v>2193</v>
      </c>
      <c r="Q4" s="3699"/>
      <c r="R4" s="3681" t="s">
        <v>2189</v>
      </c>
      <c r="S4" s="3682"/>
      <c r="T4" s="3681" t="s">
        <v>2190</v>
      </c>
      <c r="U4" s="3682"/>
      <c r="V4" s="3704" t="s">
        <v>2191</v>
      </c>
      <c r="W4" s="3704"/>
      <c r="X4" s="1303"/>
      <c r="Y4" s="3681" t="s">
        <v>2193</v>
      </c>
      <c r="Z4" s="3682"/>
      <c r="AA4" s="3691" t="s">
        <v>2189</v>
      </c>
      <c r="AB4" s="3692" t="s">
        <v>2190</v>
      </c>
      <c r="AC4" s="3691" t="s">
        <v>2191</v>
      </c>
    </row>
    <row r="5" spans="1:29" ht="15">
      <c r="A5" s="297"/>
      <c r="B5" s="298"/>
      <c r="C5" s="3707" t="s">
        <v>2194</v>
      </c>
      <c r="D5" s="3708"/>
      <c r="E5" s="3705" t="s">
        <v>2195</v>
      </c>
      <c r="F5" s="3706"/>
      <c r="G5" s="3707" t="s">
        <v>2196</v>
      </c>
      <c r="H5" s="3708"/>
      <c r="I5" s="3707" t="s">
        <v>2197</v>
      </c>
      <c r="J5" s="3708"/>
      <c r="K5" s="496"/>
      <c r="L5" s="2992"/>
      <c r="M5" s="2993"/>
      <c r="N5" s="2993"/>
      <c r="O5" s="2993"/>
      <c r="P5" s="3700"/>
      <c r="Q5" s="3701"/>
      <c r="R5" s="3683"/>
      <c r="S5" s="3684"/>
      <c r="T5" s="3683"/>
      <c r="U5" s="3684"/>
      <c r="V5" s="3704"/>
      <c r="W5" s="3704"/>
      <c r="X5" s="1303"/>
      <c r="Y5" s="3683"/>
      <c r="Z5" s="3684"/>
      <c r="AA5" s="3692"/>
      <c r="AB5" s="3692"/>
      <c r="AC5" s="3692"/>
    </row>
    <row r="6" spans="1:29" ht="15.75" thickBot="1">
      <c r="A6" s="299"/>
      <c r="B6" s="300"/>
      <c r="C6" s="3709" t="s">
        <v>2198</v>
      </c>
      <c r="D6" s="3710"/>
      <c r="E6" s="3711" t="s">
        <v>2198</v>
      </c>
      <c r="F6" s="3712"/>
      <c r="G6" s="3709" t="s">
        <v>2198</v>
      </c>
      <c r="H6" s="3710"/>
      <c r="I6" s="3709" t="s">
        <v>2198</v>
      </c>
      <c r="J6" s="3710"/>
      <c r="K6" s="496" t="s">
        <v>2199</v>
      </c>
      <c r="L6" s="2992"/>
      <c r="M6" s="2993"/>
      <c r="N6" s="2993"/>
      <c r="O6" s="2993"/>
      <c r="P6" s="3702"/>
      <c r="Q6" s="3703"/>
      <c r="R6" s="3683"/>
      <c r="S6" s="3684"/>
      <c r="T6" s="3685"/>
      <c r="U6" s="3686"/>
      <c r="V6" s="3704"/>
      <c r="W6" s="3704"/>
      <c r="X6" s="1303"/>
      <c r="Y6" s="3685"/>
      <c r="Z6" s="3686"/>
      <c r="AA6" s="3693"/>
      <c r="AB6" s="3693"/>
      <c r="AC6" s="3693"/>
    </row>
    <row r="7" spans="1:29" s="25" customFormat="1" ht="15.75" thickBot="1">
      <c r="A7" s="301" t="s">
        <v>2200</v>
      </c>
      <c r="B7" s="302"/>
      <c r="C7" s="303">
        <f>'数据-取费表'!B2</f>
        <v>44545</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79" t="s">
        <v>2201</v>
      </c>
      <c r="Q7" s="3687"/>
      <c r="R7" s="626" t="s">
        <v>25</v>
      </c>
      <c r="S7" s="627">
        <f t="shared" ref="S7:S14" si="0">F7</f>
        <v>0</v>
      </c>
      <c r="T7" s="626" t="s">
        <v>25</v>
      </c>
      <c r="U7" s="627">
        <f t="shared" ref="U7:U14" si="1">H7</f>
        <v>0</v>
      </c>
      <c r="V7" s="626" t="s">
        <v>25</v>
      </c>
      <c r="W7" s="627">
        <f t="shared" ref="W7:W14" si="2">J7</f>
        <v>0</v>
      </c>
      <c r="X7" s="628"/>
      <c r="Y7" s="3679" t="s">
        <v>2201</v>
      </c>
      <c r="Z7" s="3680"/>
      <c r="AA7" s="629" t="e">
        <f>D7/F7</f>
        <v>#DIV/0!</v>
      </c>
      <c r="AB7" s="629" t="e">
        <f>D7/H7</f>
        <v>#DIV/0!</v>
      </c>
      <c r="AC7" s="629"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79" t="s">
        <v>2204</v>
      </c>
      <c r="Q8" s="3680"/>
      <c r="R8" s="626" t="s">
        <v>25</v>
      </c>
      <c r="S8" s="627">
        <f t="shared" si="0"/>
        <v>0</v>
      </c>
      <c r="T8" s="626" t="s">
        <v>25</v>
      </c>
      <c r="U8" s="627">
        <f t="shared" si="1"/>
        <v>0</v>
      </c>
      <c r="V8" s="626" t="s">
        <v>25</v>
      </c>
      <c r="W8" s="627">
        <f t="shared" si="2"/>
        <v>0</v>
      </c>
      <c r="X8" s="628"/>
      <c r="Y8" s="3679" t="s">
        <v>2204</v>
      </c>
      <c r="Z8" s="3680"/>
      <c r="AA8" s="629" t="e">
        <f t="shared" ref="AA8:AA34" si="3">D8/F8</f>
        <v>#DIV/0!</v>
      </c>
      <c r="AB8" s="629" t="e">
        <f t="shared" ref="AB8:AB34" si="4">D8/H8</f>
        <v>#DIV/0!</v>
      </c>
      <c r="AC8" s="629"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1" t="s">
        <v>2207</v>
      </c>
      <c r="Q9" s="1295" t="str">
        <f t="shared" ref="Q9:Q14" si="6">B9</f>
        <v>用途</v>
      </c>
      <c r="R9" s="626" t="s">
        <v>25</v>
      </c>
      <c r="S9" s="627">
        <f t="shared" si="0"/>
        <v>100</v>
      </c>
      <c r="T9" s="626" t="s">
        <v>25</v>
      </c>
      <c r="U9" s="627">
        <f t="shared" si="1"/>
        <v>100</v>
      </c>
      <c r="V9" s="626" t="s">
        <v>25</v>
      </c>
      <c r="W9" s="627">
        <f t="shared" si="2"/>
        <v>100</v>
      </c>
      <c r="X9" s="628"/>
      <c r="Y9" s="3690" t="s">
        <v>2208</v>
      </c>
      <c r="Z9" s="19" t="str">
        <f t="shared" ref="Z9:Z14" si="7">Q9</f>
        <v>用途</v>
      </c>
      <c r="AA9" s="629">
        <f t="shared" si="3"/>
        <v>1</v>
      </c>
      <c r="AB9" s="629">
        <f t="shared" si="4"/>
        <v>1</v>
      </c>
      <c r="AC9" s="629">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1"/>
      <c r="Q10" s="1295" t="str">
        <f t="shared" si="6"/>
        <v>土地使用年限（年）</v>
      </c>
      <c r="R10" s="626" t="s">
        <v>25</v>
      </c>
      <c r="S10" s="627">
        <f t="shared" si="0"/>
        <v>100</v>
      </c>
      <c r="T10" s="626" t="s">
        <v>25</v>
      </c>
      <c r="U10" s="627">
        <f t="shared" si="1"/>
        <v>100</v>
      </c>
      <c r="V10" s="626" t="s">
        <v>25</v>
      </c>
      <c r="W10" s="627">
        <f t="shared" si="2"/>
        <v>100</v>
      </c>
      <c r="X10" s="628"/>
      <c r="Y10" s="3690"/>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1"/>
      <c r="Q11" s="1295">
        <f t="shared" si="6"/>
        <v>111</v>
      </c>
      <c r="R11" s="626" t="s">
        <v>25</v>
      </c>
      <c r="S11" s="627">
        <f t="shared" si="0"/>
        <v>100</v>
      </c>
      <c r="T11" s="626" t="s">
        <v>25</v>
      </c>
      <c r="U11" s="627">
        <f t="shared" si="1"/>
        <v>100</v>
      </c>
      <c r="V11" s="626" t="s">
        <v>25</v>
      </c>
      <c r="W11" s="627">
        <f t="shared" si="2"/>
        <v>100</v>
      </c>
      <c r="X11" s="628"/>
      <c r="Y11" s="3690"/>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690"/>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690"/>
      <c r="Z13" s="19">
        <f t="shared" si="7"/>
        <v>111</v>
      </c>
      <c r="AA13" s="629">
        <f t="shared" si="3"/>
        <v>1</v>
      </c>
      <c r="AB13" s="629">
        <f t="shared" si="4"/>
        <v>1</v>
      </c>
      <c r="AC13" s="629">
        <f t="shared" si="5"/>
        <v>1</v>
      </c>
    </row>
    <row r="14" spans="1:29" ht="85.5">
      <c r="A14" s="329" t="s">
        <v>2211</v>
      </c>
      <c r="B14" s="22" t="s">
        <v>2349</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88" t="s">
        <v>2212</v>
      </c>
      <c r="Q14" s="1302" t="str">
        <f t="shared" si="6"/>
        <v>交通便捷度</v>
      </c>
      <c r="R14" s="630" t="s">
        <v>25</v>
      </c>
      <c r="S14" s="631">
        <f t="shared" si="0"/>
        <v>100</v>
      </c>
      <c r="T14" s="630" t="s">
        <v>25</v>
      </c>
      <c r="U14" s="631">
        <f t="shared" si="1"/>
        <v>100</v>
      </c>
      <c r="V14" s="630" t="s">
        <v>25</v>
      </c>
      <c r="W14" s="631">
        <f t="shared" si="2"/>
        <v>100</v>
      </c>
      <c r="X14" s="1303"/>
      <c r="Y14" s="3688" t="s">
        <v>2212</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689"/>
      <c r="Q15" s="1302"/>
      <c r="R15" s="630"/>
      <c r="S15" s="631"/>
      <c r="T15" s="630"/>
      <c r="U15" s="631"/>
      <c r="V15" s="630"/>
      <c r="W15" s="631"/>
      <c r="X15" s="1303"/>
      <c r="Y15" s="3689"/>
      <c r="Z15" s="1304"/>
      <c r="AA15" s="1305">
        <v>1</v>
      </c>
      <c r="AB15" s="1305">
        <v>1</v>
      </c>
      <c r="AC15" s="1305">
        <v>1</v>
      </c>
    </row>
    <row r="16" spans="1:29" ht="42.75">
      <c r="A16" s="318"/>
      <c r="B16" s="513" t="s">
        <v>2327</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89"/>
      <c r="Q16" s="1302" t="str">
        <f>B16</f>
        <v>公共配套设施</v>
      </c>
      <c r="R16" s="630" t="s">
        <v>25</v>
      </c>
      <c r="S16" s="631">
        <f>F16</f>
        <v>100</v>
      </c>
      <c r="T16" s="630" t="s">
        <v>25</v>
      </c>
      <c r="U16" s="631">
        <f>H16</f>
        <v>100</v>
      </c>
      <c r="V16" s="630" t="s">
        <v>25</v>
      </c>
      <c r="W16" s="631">
        <f>J16</f>
        <v>100</v>
      </c>
      <c r="X16" s="1303"/>
      <c r="Y16" s="3689"/>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689"/>
      <c r="Q17" s="1302"/>
      <c r="R17" s="630"/>
      <c r="S17" s="631"/>
      <c r="T17" s="630"/>
      <c r="U17" s="631"/>
      <c r="V17" s="630"/>
      <c r="W17" s="631"/>
      <c r="X17" s="1303"/>
      <c r="Y17" s="3689"/>
      <c r="Z17" s="1304"/>
      <c r="AA17" s="1305">
        <v>1</v>
      </c>
      <c r="AB17" s="1305">
        <v>1</v>
      </c>
      <c r="AC17" s="1305">
        <v>1</v>
      </c>
    </row>
    <row r="18" spans="1:29" ht="28.5">
      <c r="A18" s="318"/>
      <c r="B18" s="515" t="s">
        <v>2328</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89"/>
      <c r="Q18" s="1302" t="str">
        <f>B18</f>
        <v>基础设施水平</v>
      </c>
      <c r="R18" s="630" t="s">
        <v>25</v>
      </c>
      <c r="S18" s="631">
        <f>F18</f>
        <v>100</v>
      </c>
      <c r="T18" s="630" t="s">
        <v>25</v>
      </c>
      <c r="U18" s="631">
        <f>H18</f>
        <v>100</v>
      </c>
      <c r="V18" s="630" t="s">
        <v>25</v>
      </c>
      <c r="W18" s="631">
        <f>J18</f>
        <v>100</v>
      </c>
      <c r="X18" s="1303"/>
      <c r="Y18" s="3689"/>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689"/>
      <c r="Q19" s="1302"/>
      <c r="R19" s="630"/>
      <c r="S19" s="631"/>
      <c r="T19" s="630"/>
      <c r="U19" s="631"/>
      <c r="V19" s="630"/>
      <c r="W19" s="631"/>
      <c r="X19" s="1303"/>
      <c r="Y19" s="3689"/>
      <c r="Z19" s="1304"/>
      <c r="AA19" s="1305">
        <v>1</v>
      </c>
      <c r="AB19" s="1305">
        <v>1</v>
      </c>
      <c r="AC19" s="1305">
        <v>1</v>
      </c>
    </row>
    <row r="20" spans="1:29" ht="57">
      <c r="A20" s="318"/>
      <c r="B20" s="340" t="s">
        <v>2350</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89"/>
      <c r="Q20" s="1302" t="str">
        <f>B20</f>
        <v>自然及人文环境</v>
      </c>
      <c r="R20" s="630" t="s">
        <v>25</v>
      </c>
      <c r="S20" s="631">
        <f>F20</f>
        <v>100</v>
      </c>
      <c r="T20" s="630" t="s">
        <v>25</v>
      </c>
      <c r="U20" s="631">
        <f>H20</f>
        <v>100</v>
      </c>
      <c r="V20" s="630" t="s">
        <v>25</v>
      </c>
      <c r="W20" s="631">
        <f>J20</f>
        <v>100</v>
      </c>
      <c r="X20" s="1303"/>
      <c r="Y20" s="3689"/>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689"/>
      <c r="Q21" s="1302"/>
      <c r="R21" s="630"/>
      <c r="S21" s="631"/>
      <c r="T21" s="630"/>
      <c r="U21" s="631"/>
      <c r="V21" s="630"/>
      <c r="W21" s="631"/>
      <c r="X21" s="1303"/>
      <c r="Y21" s="3689"/>
      <c r="Z21" s="1304"/>
      <c r="AA21" s="1305">
        <v>1</v>
      </c>
      <c r="AB21" s="1305">
        <v>1</v>
      </c>
      <c r="AC21" s="1305">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89"/>
      <c r="Q22" s="1302" t="str">
        <f>B22</f>
        <v>楼层</v>
      </c>
      <c r="R22" s="630" t="s">
        <v>25</v>
      </c>
      <c r="S22" s="631">
        <f>F22</f>
        <v>100</v>
      </c>
      <c r="T22" s="630" t="s">
        <v>25</v>
      </c>
      <c r="U22" s="631">
        <f>H22</f>
        <v>100</v>
      </c>
      <c r="V22" s="630" t="s">
        <v>25</v>
      </c>
      <c r="W22" s="631">
        <f>J22</f>
        <v>100</v>
      </c>
      <c r="X22" s="1303"/>
      <c r="Y22" s="3689"/>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89"/>
      <c r="Q23" s="1302">
        <f>B23</f>
        <v>111</v>
      </c>
      <c r="R23" s="630" t="s">
        <v>25</v>
      </c>
      <c r="S23" s="631">
        <f>F23</f>
        <v>100</v>
      </c>
      <c r="T23" s="630" t="s">
        <v>25</v>
      </c>
      <c r="U23" s="631">
        <f>H23</f>
        <v>100</v>
      </c>
      <c r="V23" s="630" t="s">
        <v>25</v>
      </c>
      <c r="W23" s="631">
        <f>J23</f>
        <v>100</v>
      </c>
      <c r="X23" s="1303"/>
      <c r="Y23" s="3689"/>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89"/>
      <c r="Q24" s="1302">
        <f t="shared" ref="Q24:Q34" si="11">B24</f>
        <v>111</v>
      </c>
      <c r="R24" s="630" t="s">
        <v>25</v>
      </c>
      <c r="S24" s="631">
        <f>F24</f>
        <v>100</v>
      </c>
      <c r="T24" s="630" t="s">
        <v>25</v>
      </c>
      <c r="U24" s="631">
        <f>H24</f>
        <v>100</v>
      </c>
      <c r="V24" s="630" t="s">
        <v>25</v>
      </c>
      <c r="W24" s="631">
        <f>J24</f>
        <v>100</v>
      </c>
      <c r="X24" s="1303"/>
      <c r="Y24" s="3689"/>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89"/>
      <c r="Q25" s="1295">
        <f t="shared" si="11"/>
        <v>111</v>
      </c>
      <c r="R25" s="626" t="s">
        <v>25</v>
      </c>
      <c r="S25" s="627">
        <f>F25</f>
        <v>100</v>
      </c>
      <c r="T25" s="626" t="s">
        <v>25</v>
      </c>
      <c r="U25" s="627">
        <f>H25</f>
        <v>100</v>
      </c>
      <c r="V25" s="626" t="s">
        <v>25</v>
      </c>
      <c r="W25" s="627">
        <f>J25</f>
        <v>100</v>
      </c>
      <c r="X25" s="628"/>
      <c r="Y25" s="3689"/>
      <c r="Z25" s="19">
        <f>Q25</f>
        <v>111</v>
      </c>
      <c r="AA25" s="1305">
        <f>D25/F25</f>
        <v>1</v>
      </c>
      <c r="AB25" s="1305">
        <f>D25/H25</f>
        <v>1</v>
      </c>
      <c r="AC25" s="1305">
        <f>D25/J25</f>
        <v>1</v>
      </c>
    </row>
    <row r="26" spans="1:29" ht="28.5">
      <c r="A26" s="354" t="s">
        <v>2216</v>
      </c>
      <c r="B26" s="24" t="s">
        <v>2354</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76" t="s">
        <v>2218</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77" t="s">
        <v>2218</v>
      </c>
      <c r="Z26" s="1304" t="str">
        <f t="shared" ref="Z26:Z34" si="15">Q26</f>
        <v>公共部分装修</v>
      </c>
      <c r="AA26" s="1305">
        <f t="shared" si="3"/>
        <v>1</v>
      </c>
      <c r="AB26" s="1305">
        <f t="shared" si="4"/>
        <v>1</v>
      </c>
      <c r="AC26" s="1305">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77"/>
      <c r="Q27" s="632" t="str">
        <f t="shared" si="11"/>
        <v>成新率</v>
      </c>
      <c r="R27" s="633" t="s">
        <v>25</v>
      </c>
      <c r="S27" s="634" t="e">
        <f t="shared" si="12"/>
        <v>#N/A</v>
      </c>
      <c r="T27" s="633" t="s">
        <v>25</v>
      </c>
      <c r="U27" s="634" t="e">
        <f t="shared" si="13"/>
        <v>#N/A</v>
      </c>
      <c r="V27" s="633" t="s">
        <v>25</v>
      </c>
      <c r="W27" s="634" t="e">
        <f t="shared" si="14"/>
        <v>#N/A</v>
      </c>
      <c r="X27" s="635"/>
      <c r="Y27" s="3677"/>
      <c r="Z27" s="636" t="str">
        <f t="shared" si="15"/>
        <v>成新率</v>
      </c>
      <c r="AA27" s="1305" t="e">
        <f t="shared" si="3"/>
        <v>#N/A</v>
      </c>
      <c r="AB27" s="1305" t="e">
        <f t="shared" si="4"/>
        <v>#N/A</v>
      </c>
      <c r="AC27" s="1305"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77"/>
      <c r="Q28" s="1302" t="str">
        <f t="shared" si="11"/>
        <v>物业等级</v>
      </c>
      <c r="R28" s="630" t="s">
        <v>25</v>
      </c>
      <c r="S28" s="631">
        <f t="shared" si="12"/>
        <v>100</v>
      </c>
      <c r="T28" s="630" t="s">
        <v>25</v>
      </c>
      <c r="U28" s="631">
        <f t="shared" si="13"/>
        <v>100</v>
      </c>
      <c r="V28" s="630" t="s">
        <v>25</v>
      </c>
      <c r="W28" s="631">
        <f t="shared" si="14"/>
        <v>100</v>
      </c>
      <c r="X28" s="1303"/>
      <c r="Y28" s="3677"/>
      <c r="Z28" s="1304" t="str">
        <f t="shared" si="15"/>
        <v>物业等级</v>
      </c>
      <c r="AA28" s="1305">
        <f t="shared" si="3"/>
        <v>1</v>
      </c>
      <c r="AB28" s="1305">
        <f t="shared" si="4"/>
        <v>1</v>
      </c>
      <c r="AC28" s="1305">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77"/>
      <c r="Q29" s="1302" t="str">
        <f t="shared" si="11"/>
        <v>有无电梯</v>
      </c>
      <c r="R29" s="630" t="s">
        <v>25</v>
      </c>
      <c r="S29" s="631">
        <f t="shared" si="12"/>
        <v>100</v>
      </c>
      <c r="T29" s="630" t="s">
        <v>25</v>
      </c>
      <c r="U29" s="631">
        <f t="shared" si="13"/>
        <v>100</v>
      </c>
      <c r="V29" s="630" t="s">
        <v>25</v>
      </c>
      <c r="W29" s="631">
        <f t="shared" si="14"/>
        <v>100</v>
      </c>
      <c r="X29" s="1303"/>
      <c r="Y29" s="3677"/>
      <c r="Z29" s="1304" t="str">
        <f t="shared" si="15"/>
        <v>有无电梯</v>
      </c>
      <c r="AA29" s="1305">
        <f t="shared" si="3"/>
        <v>1</v>
      </c>
      <c r="AB29" s="1305">
        <f t="shared" si="4"/>
        <v>1</v>
      </c>
      <c r="AC29" s="1305">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77"/>
      <c r="Q30" s="1302" t="str">
        <f t="shared" si="11"/>
        <v>建筑面积</v>
      </c>
      <c r="R30" s="630" t="s">
        <v>25</v>
      </c>
      <c r="S30" s="631" t="e">
        <f t="shared" si="12"/>
        <v>#N/A</v>
      </c>
      <c r="T30" s="630" t="s">
        <v>25</v>
      </c>
      <c r="U30" s="631" t="e">
        <f t="shared" si="13"/>
        <v>#N/A</v>
      </c>
      <c r="V30" s="630" t="s">
        <v>25</v>
      </c>
      <c r="W30" s="631" t="e">
        <f t="shared" si="14"/>
        <v>#N/A</v>
      </c>
      <c r="X30" s="1303"/>
      <c r="Y30" s="3677"/>
      <c r="Z30" s="1304" t="str">
        <f t="shared" si="15"/>
        <v>建筑面积</v>
      </c>
      <c r="AA30" s="1305" t="e">
        <f t="shared" si="3"/>
        <v>#N/A</v>
      </c>
      <c r="AB30" s="1305" t="e">
        <f t="shared" si="4"/>
        <v>#N/A</v>
      </c>
      <c r="AC30" s="1305"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77"/>
      <c r="Q31" s="1295" t="str">
        <f t="shared" si="11"/>
        <v>是否封闭</v>
      </c>
      <c r="R31" s="626" t="s">
        <v>25</v>
      </c>
      <c r="S31" s="627">
        <f t="shared" si="12"/>
        <v>100</v>
      </c>
      <c r="T31" s="626" t="s">
        <v>25</v>
      </c>
      <c r="U31" s="627">
        <f t="shared" si="13"/>
        <v>100</v>
      </c>
      <c r="V31" s="626" t="s">
        <v>25</v>
      </c>
      <c r="W31" s="627">
        <f t="shared" si="14"/>
        <v>100</v>
      </c>
      <c r="X31" s="628"/>
      <c r="Y31" s="3677"/>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77" t="s">
        <v>2218</v>
      </c>
      <c r="Q32" s="1302">
        <f t="shared" si="11"/>
        <v>111</v>
      </c>
      <c r="R32" s="630" t="s">
        <v>25</v>
      </c>
      <c r="S32" s="631">
        <f t="shared" si="12"/>
        <v>100</v>
      </c>
      <c r="T32" s="630" t="s">
        <v>25</v>
      </c>
      <c r="U32" s="631">
        <f t="shared" si="13"/>
        <v>100</v>
      </c>
      <c r="V32" s="630" t="s">
        <v>25</v>
      </c>
      <c r="W32" s="631">
        <f t="shared" si="14"/>
        <v>100</v>
      </c>
      <c r="X32" s="1303"/>
      <c r="Y32" s="3677" t="s">
        <v>2218</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77"/>
      <c r="Q33" s="1302">
        <f t="shared" si="11"/>
        <v>111</v>
      </c>
      <c r="R33" s="630" t="s">
        <v>25</v>
      </c>
      <c r="S33" s="631">
        <f t="shared" si="12"/>
        <v>100</v>
      </c>
      <c r="T33" s="630" t="s">
        <v>25</v>
      </c>
      <c r="U33" s="631">
        <f t="shared" si="13"/>
        <v>100</v>
      </c>
      <c r="V33" s="630" t="s">
        <v>25</v>
      </c>
      <c r="W33" s="631">
        <f t="shared" si="14"/>
        <v>100</v>
      </c>
      <c r="X33" s="1303"/>
      <c r="Y33" s="3677"/>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77"/>
      <c r="Q34" s="1302">
        <f t="shared" si="11"/>
        <v>111</v>
      </c>
      <c r="R34" s="630" t="s">
        <v>25</v>
      </c>
      <c r="S34" s="631">
        <f t="shared" si="12"/>
        <v>100</v>
      </c>
      <c r="T34" s="630" t="s">
        <v>25</v>
      </c>
      <c r="U34" s="631">
        <f t="shared" si="13"/>
        <v>100</v>
      </c>
      <c r="V34" s="630" t="s">
        <v>25</v>
      </c>
      <c r="W34" s="631">
        <f t="shared" si="14"/>
        <v>100</v>
      </c>
      <c r="X34" s="1303"/>
      <c r="Y34" s="3677"/>
      <c r="Z34" s="1304">
        <f t="shared" si="15"/>
        <v>111</v>
      </c>
      <c r="AA34" s="1305">
        <f t="shared" si="3"/>
        <v>1</v>
      </c>
      <c r="AB34" s="1305">
        <f t="shared" si="4"/>
        <v>1</v>
      </c>
      <c r="AC34" s="1305">
        <f t="shared" si="5"/>
        <v>1</v>
      </c>
    </row>
    <row r="35" spans="1:29" ht="15">
      <c r="A35" s="367" t="s">
        <v>2230</v>
      </c>
      <c r="B35" s="368"/>
      <c r="C35" s="1122" t="s">
        <v>1</v>
      </c>
      <c r="D35" s="1123"/>
      <c r="E35" s="1124"/>
      <c r="F35" s="1125"/>
      <c r="G35" s="1126"/>
      <c r="H35" s="1127"/>
      <c r="I35" s="1124"/>
      <c r="J35" s="1127"/>
      <c r="K35" s="639"/>
      <c r="L35" s="3004"/>
      <c r="N35" s="2993"/>
      <c r="P35" s="3671" t="str">
        <f>A35</f>
        <v>成交单价（元/平方米）</v>
      </c>
      <c r="Q35" s="3671"/>
      <c r="R35" s="3672">
        <f>E35</f>
        <v>0</v>
      </c>
      <c r="S35" s="3672"/>
      <c r="T35" s="3672">
        <f>G35</f>
        <v>0</v>
      </c>
      <c r="U35" s="3672"/>
      <c r="V35" s="3672">
        <f>I35</f>
        <v>0</v>
      </c>
      <c r="W35" s="3672"/>
      <c r="X35" s="617"/>
      <c r="Y35" s="637"/>
      <c r="Z35" s="617"/>
      <c r="AA35" s="617"/>
      <c r="AB35" s="617"/>
      <c r="AC35" s="617"/>
    </row>
    <row r="36" spans="1:29" ht="15.75" thickBot="1">
      <c r="A36" s="374" t="s">
        <v>2313</v>
      </c>
      <c r="B36" s="375"/>
      <c r="C36" s="1128" t="e">
        <f>R37</f>
        <v>#DIV/0!</v>
      </c>
      <c r="D36" s="1765" t="s">
        <v>2687</v>
      </c>
      <c r="E36" s="1129" t="e">
        <f>R36</f>
        <v>#DIV/0!</v>
      </c>
      <c r="F36" s="1767"/>
      <c r="G36" s="1128" t="e">
        <f>T36</f>
        <v>#DIV/0!</v>
      </c>
      <c r="H36" s="1767"/>
      <c r="I36" s="1129" t="e">
        <f>V36</f>
        <v>#DIV/0!</v>
      </c>
      <c r="J36" s="1767"/>
      <c r="K36" s="2479">
        <f>F36+H36+J36</f>
        <v>0</v>
      </c>
      <c r="L36" s="3004"/>
      <c r="N36" s="2993"/>
      <c r="P36" s="3671" t="str">
        <f>A36</f>
        <v>比较价值（元/平方米）</v>
      </c>
      <c r="Q36" s="3671"/>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7"/>
      <c r="Y36" s="617"/>
      <c r="Z36" s="617"/>
      <c r="AA36" s="617"/>
      <c r="AB36" s="617"/>
      <c r="AC36" s="617"/>
    </row>
    <row r="37" spans="1:29" ht="15.75" thickBot="1">
      <c r="A37" s="378" t="s">
        <v>2336</v>
      </c>
      <c r="B37" s="379"/>
      <c r="C37" s="1130" t="e">
        <f>R37</f>
        <v>#DIV/0!</v>
      </c>
      <c r="D37" s="1130"/>
      <c r="E37" s="1130"/>
      <c r="F37" s="1130"/>
      <c r="G37" s="1130"/>
      <c r="H37" s="1130"/>
      <c r="I37" s="1130"/>
      <c r="J37" s="1130"/>
      <c r="K37" s="640"/>
      <c r="L37" s="3004"/>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7"/>
      <c r="Y37" s="617"/>
      <c r="Z37" s="617"/>
      <c r="AA37" s="617"/>
      <c r="AB37" s="617"/>
      <c r="AC37" s="617"/>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2318</v>
      </c>
      <c r="B45" s="617"/>
      <c r="C45" s="620"/>
      <c r="D45" s="620"/>
      <c r="E45" s="620"/>
      <c r="F45" s="621"/>
      <c r="G45" s="621"/>
      <c r="H45" s="620"/>
      <c r="I45" s="620"/>
      <c r="J45" s="620"/>
      <c r="K45" s="622"/>
      <c r="L45" s="623"/>
      <c r="M45" s="620"/>
      <c r="N45" s="3010"/>
      <c r="O45" s="3010"/>
      <c r="P45" s="389"/>
      <c r="Q45" s="390"/>
    </row>
    <row r="46" spans="1:29" s="394" customFormat="1" ht="15">
      <c r="A46" s="391" t="s">
        <v>2200</v>
      </c>
      <c r="B46" s="392"/>
      <c r="C46" s="1156" t="str">
        <f>YEAR(C7)&amp;"-"&amp;MONTH(C7)</f>
        <v>2021-12</v>
      </c>
      <c r="D46" s="1157">
        <f>EDATE(C46,-1)</f>
        <v>44501</v>
      </c>
      <c r="E46" s="1157">
        <f t="shared" ref="E46:O46" si="16">EDATE(D46,-1)</f>
        <v>44470</v>
      </c>
      <c r="F46" s="1157">
        <f t="shared" si="16"/>
        <v>44440</v>
      </c>
      <c r="G46" s="1157">
        <f t="shared" si="16"/>
        <v>44409</v>
      </c>
      <c r="H46" s="1157">
        <f t="shared" si="16"/>
        <v>44378</v>
      </c>
      <c r="I46" s="1157">
        <f t="shared" si="16"/>
        <v>44348</v>
      </c>
      <c r="J46" s="1157">
        <f t="shared" si="16"/>
        <v>44317</v>
      </c>
      <c r="K46" s="1157">
        <f t="shared" si="16"/>
        <v>44287</v>
      </c>
      <c r="L46" s="1157">
        <f t="shared" si="16"/>
        <v>44256</v>
      </c>
      <c r="M46" s="1157">
        <f t="shared" si="16"/>
        <v>44228</v>
      </c>
      <c r="N46" s="1157">
        <f t="shared" si="16"/>
        <v>44197</v>
      </c>
      <c r="O46" s="1157">
        <f t="shared" si="16"/>
        <v>44166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2383</v>
      </c>
      <c r="B1" s="1920"/>
      <c r="C1" s="1921" t="s">
        <v>2384</v>
      </c>
      <c r="D1" s="1920"/>
      <c r="E1" s="1920"/>
      <c r="F1" s="1922" t="s">
        <v>2185</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2385</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2386</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2187</v>
      </c>
      <c r="B4" s="1632"/>
      <c r="C4" s="3653" t="s">
        <v>2188</v>
      </c>
      <c r="D4" s="3654"/>
      <c r="E4" s="3655" t="s">
        <v>2189</v>
      </c>
      <c r="F4" s="3656"/>
      <c r="G4" s="3653" t="s">
        <v>2190</v>
      </c>
      <c r="H4" s="3654"/>
      <c r="I4" s="3653" t="s">
        <v>2191</v>
      </c>
      <c r="J4" s="3654"/>
      <c r="K4" s="1934" t="s">
        <v>2192</v>
      </c>
      <c r="L4" s="2964"/>
      <c r="M4" s="2965"/>
      <c r="N4" s="2965"/>
      <c r="O4" s="2965"/>
      <c r="P4" s="3657" t="s">
        <v>2193</v>
      </c>
      <c r="Q4" s="3658"/>
      <c r="R4" s="3642" t="s">
        <v>2189</v>
      </c>
      <c r="S4" s="3643"/>
      <c r="T4" s="3642" t="s">
        <v>2190</v>
      </c>
      <c r="U4" s="3643"/>
      <c r="V4" s="3663" t="s">
        <v>2191</v>
      </c>
      <c r="W4" s="3663"/>
      <c r="X4" s="1634"/>
      <c r="Y4" s="3642" t="s">
        <v>2193</v>
      </c>
      <c r="Z4" s="3643"/>
      <c r="AA4" s="3650" t="s">
        <v>2189</v>
      </c>
      <c r="AB4" s="3651" t="s">
        <v>2190</v>
      </c>
      <c r="AC4" s="3650" t="s">
        <v>2191</v>
      </c>
    </row>
    <row r="5" spans="1:30" ht="15">
      <c r="A5" s="1636"/>
      <c r="B5" s="1637"/>
      <c r="C5" s="3638" t="s">
        <v>2194</v>
      </c>
      <c r="D5" s="3639"/>
      <c r="E5" s="3664" t="s">
        <v>2195</v>
      </c>
      <c r="F5" s="3665"/>
      <c r="G5" s="3638" t="s">
        <v>2196</v>
      </c>
      <c r="H5" s="3639"/>
      <c r="I5" s="3638" t="s">
        <v>2197</v>
      </c>
      <c r="J5" s="3639"/>
      <c r="K5" s="1934"/>
      <c r="L5" s="2964"/>
      <c r="M5" s="2965"/>
      <c r="N5" s="2965"/>
      <c r="O5" s="2965"/>
      <c r="P5" s="3659"/>
      <c r="Q5" s="3660"/>
      <c r="R5" s="3644"/>
      <c r="S5" s="3645"/>
      <c r="T5" s="3644"/>
      <c r="U5" s="3645"/>
      <c r="V5" s="3663"/>
      <c r="W5" s="3663"/>
      <c r="X5" s="1634"/>
      <c r="Y5" s="3644"/>
      <c r="Z5" s="3645"/>
      <c r="AA5" s="3651"/>
      <c r="AB5" s="3651"/>
      <c r="AC5" s="3651"/>
    </row>
    <row r="6" spans="1:30" ht="15.75" thickBot="1">
      <c r="A6" s="1639"/>
      <c r="B6" s="1640"/>
      <c r="C6" s="3636" t="s">
        <v>2198</v>
      </c>
      <c r="D6" s="3637"/>
      <c r="E6" s="3666" t="s">
        <v>2198</v>
      </c>
      <c r="F6" s="3667"/>
      <c r="G6" s="3636" t="s">
        <v>2198</v>
      </c>
      <c r="H6" s="3637"/>
      <c r="I6" s="3636" t="s">
        <v>2198</v>
      </c>
      <c r="J6" s="3637"/>
      <c r="K6" s="1934" t="s">
        <v>2199</v>
      </c>
      <c r="L6" s="2964"/>
      <c r="M6" s="2965"/>
      <c r="N6" s="2965"/>
      <c r="O6" s="2965"/>
      <c r="P6" s="3661"/>
      <c r="Q6" s="3662"/>
      <c r="R6" s="3644"/>
      <c r="S6" s="3645"/>
      <c r="T6" s="3646"/>
      <c r="U6" s="3647"/>
      <c r="V6" s="3663"/>
      <c r="W6" s="3663"/>
      <c r="X6" s="1634"/>
      <c r="Y6" s="3646"/>
      <c r="Z6" s="3647"/>
      <c r="AA6" s="3652"/>
      <c r="AB6" s="3652"/>
      <c r="AC6" s="3652"/>
    </row>
    <row r="7" spans="1:30" s="1653" customFormat="1" ht="15.75" thickBot="1">
      <c r="A7" s="1641" t="s">
        <v>2200</v>
      </c>
      <c r="B7" s="1642"/>
      <c r="C7" s="1643">
        <f>'数据-取费表'!B2</f>
        <v>44545</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40" t="s">
        <v>2201</v>
      </c>
      <c r="Q7" s="3648"/>
      <c r="R7" s="1649" t="s">
        <v>25</v>
      </c>
      <c r="S7" s="1650">
        <f t="shared" ref="S7:S15" si="0">F7</f>
        <v>0</v>
      </c>
      <c r="T7" s="1649" t="s">
        <v>25</v>
      </c>
      <c r="U7" s="1650">
        <f t="shared" ref="U7:U15" si="1">H7</f>
        <v>0</v>
      </c>
      <c r="V7" s="1649" t="s">
        <v>25</v>
      </c>
      <c r="W7" s="1650">
        <f t="shared" ref="W7:W15" si="2">J7</f>
        <v>0</v>
      </c>
      <c r="X7" s="1651"/>
      <c r="Y7" s="3640" t="s">
        <v>2201</v>
      </c>
      <c r="Z7" s="3641"/>
      <c r="AA7" s="1652" t="e">
        <f>D7/F7</f>
        <v>#DIV/0!</v>
      </c>
      <c r="AB7" s="1652" t="e">
        <f>D7/H7</f>
        <v>#DIV/0!</v>
      </c>
      <c r="AC7" s="1652" t="e">
        <f>D7/J7</f>
        <v>#DIV/0!</v>
      </c>
    </row>
    <row r="8" spans="1:30" s="1653" customFormat="1" ht="15.75" thickBot="1">
      <c r="A8" s="1641" t="s">
        <v>2202</v>
      </c>
      <c r="B8" s="1642"/>
      <c r="C8" s="1654" t="s">
        <v>2387</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40" t="s">
        <v>2204</v>
      </c>
      <c r="Q8" s="3641"/>
      <c r="R8" s="1649" t="s">
        <v>25</v>
      </c>
      <c r="S8" s="1650">
        <f t="shared" si="0"/>
        <v>0</v>
      </c>
      <c r="T8" s="1649" t="s">
        <v>25</v>
      </c>
      <c r="U8" s="1650">
        <f t="shared" si="1"/>
        <v>0</v>
      </c>
      <c r="V8" s="1649" t="s">
        <v>25</v>
      </c>
      <c r="W8" s="1650">
        <f t="shared" si="2"/>
        <v>0</v>
      </c>
      <c r="X8" s="1651"/>
      <c r="Y8" s="3640" t="s">
        <v>2204</v>
      </c>
      <c r="Z8" s="3641"/>
      <c r="AA8" s="1652" t="e">
        <f t="shared" ref="AA8:AA45" si="3">D8/F8</f>
        <v>#DIV/0!</v>
      </c>
      <c r="AB8" s="1652" t="e">
        <f t="shared" ref="AB8:AB45" si="4">D8/H8</f>
        <v>#DIV/0!</v>
      </c>
      <c r="AC8" s="1652" t="e">
        <f t="shared" ref="AC8:AC45" si="5">D8/J8</f>
        <v>#DIV/0!</v>
      </c>
    </row>
    <row r="9" spans="1:30" s="1653" customFormat="1">
      <c r="A9" s="1604" t="s">
        <v>2205</v>
      </c>
      <c r="B9" s="1656" t="s">
        <v>2206</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26" t="s">
        <v>2207</v>
      </c>
      <c r="Q9" s="1603" t="str">
        <f t="shared" ref="Q9:Q15" si="6">B9</f>
        <v>用途</v>
      </c>
      <c r="R9" s="1649" t="s">
        <v>25</v>
      </c>
      <c r="S9" s="1650">
        <f t="shared" si="0"/>
        <v>100</v>
      </c>
      <c r="T9" s="1649" t="s">
        <v>25</v>
      </c>
      <c r="U9" s="1650">
        <f t="shared" si="1"/>
        <v>100</v>
      </c>
      <c r="V9" s="1649" t="s">
        <v>25</v>
      </c>
      <c r="W9" s="1650">
        <f t="shared" si="2"/>
        <v>100</v>
      </c>
      <c r="X9" s="1651"/>
      <c r="Y9" s="3532" t="s">
        <v>2208</v>
      </c>
      <c r="Z9" s="1662" t="str">
        <f t="shared" ref="Z9:Z15" si="7">Q9</f>
        <v>用途</v>
      </c>
      <c r="AA9" s="1652">
        <f t="shared" si="3"/>
        <v>1</v>
      </c>
      <c r="AB9" s="1652">
        <f t="shared" si="4"/>
        <v>1</v>
      </c>
      <c r="AC9" s="1652">
        <f t="shared" si="5"/>
        <v>1</v>
      </c>
    </row>
    <row r="10" spans="1:30" s="1670" customFormat="1" ht="27">
      <c r="A10" s="1663"/>
      <c r="B10" s="1664" t="s">
        <v>2209</v>
      </c>
      <c r="C10" s="1676"/>
      <c r="D10" s="1666">
        <v>100</v>
      </c>
      <c r="E10" s="1728"/>
      <c r="F10" s="1666">
        <f>ROUND(100/'数据-取费表'!B14,0)</f>
        <v>115</v>
      </c>
      <c r="G10" s="1726"/>
      <c r="H10" s="1666">
        <f>ROUND(100/'数据-取费表'!B14,0)</f>
        <v>115</v>
      </c>
      <c r="I10" s="1726"/>
      <c r="J10" s="1666">
        <f>ROUND(100/'数据-取费表'!B14,0)</f>
        <v>115</v>
      </c>
      <c r="K10" s="1938"/>
      <c r="L10" s="2966"/>
      <c r="M10" s="2967"/>
      <c r="N10" s="2967"/>
      <c r="O10" s="3012"/>
      <c r="P10" s="3626"/>
      <c r="Q10" s="1603" t="str">
        <f t="shared" si="6"/>
        <v>土地使用年限（年）</v>
      </c>
      <c r="R10" s="1649" t="s">
        <v>25</v>
      </c>
      <c r="S10" s="1650">
        <f t="shared" si="0"/>
        <v>115</v>
      </c>
      <c r="T10" s="1649" t="s">
        <v>25</v>
      </c>
      <c r="U10" s="1650">
        <f t="shared" si="1"/>
        <v>115</v>
      </c>
      <c r="V10" s="1649" t="s">
        <v>25</v>
      </c>
      <c r="W10" s="1650">
        <f t="shared" si="2"/>
        <v>115</v>
      </c>
      <c r="X10" s="1651"/>
      <c r="Y10" s="3532"/>
      <c r="Z10" s="1662" t="str">
        <f t="shared" si="7"/>
        <v>土地使用年限（年）</v>
      </c>
      <c r="AA10" s="1652">
        <f t="shared" si="3"/>
        <v>0.86956521739130432</v>
      </c>
      <c r="AB10" s="1652">
        <f t="shared" si="4"/>
        <v>0.86956521739130432</v>
      </c>
      <c r="AC10" s="1652">
        <f t="shared" si="5"/>
        <v>0.86956521739130432</v>
      </c>
    </row>
    <row r="11" spans="1:30" ht="15">
      <c r="A11" s="1671"/>
      <c r="B11" s="1664" t="s">
        <v>2210</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26"/>
      <c r="Q11" s="1603" t="str">
        <f t="shared" si="6"/>
        <v>容积率</v>
      </c>
      <c r="R11" s="1649" t="s">
        <v>25</v>
      </c>
      <c r="S11" s="1650" t="e">
        <f t="shared" si="0"/>
        <v>#N/A</v>
      </c>
      <c r="T11" s="1649" t="s">
        <v>25</v>
      </c>
      <c r="U11" s="1650" t="e">
        <f t="shared" si="1"/>
        <v>#N/A</v>
      </c>
      <c r="V11" s="1649" t="s">
        <v>25</v>
      </c>
      <c r="W11" s="1650" t="e">
        <f t="shared" si="2"/>
        <v>#N/A</v>
      </c>
      <c r="X11" s="1651"/>
      <c r="Y11" s="3532"/>
      <c r="Z11" s="1662" t="str">
        <f t="shared" si="7"/>
        <v>容积率</v>
      </c>
      <c r="AA11" s="1652" t="e">
        <f t="shared" si="3"/>
        <v>#N/A</v>
      </c>
      <c r="AB11" s="1652" t="e">
        <f t="shared" si="4"/>
        <v>#N/A</v>
      </c>
      <c r="AC11" s="1652" t="e">
        <f t="shared" si="5"/>
        <v>#N/A</v>
      </c>
    </row>
    <row r="12" spans="1:30" s="1653" customFormat="1" ht="15">
      <c r="A12" s="1674"/>
      <c r="B12" s="1675" t="s">
        <v>2388</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26"/>
      <c r="Q12" s="1603" t="str">
        <f t="shared" si="6"/>
        <v>配建</v>
      </c>
      <c r="R12" s="1649" t="s">
        <v>25</v>
      </c>
      <c r="S12" s="1650">
        <f t="shared" si="0"/>
        <v>100</v>
      </c>
      <c r="T12" s="1649" t="s">
        <v>25</v>
      </c>
      <c r="U12" s="1650">
        <f t="shared" si="1"/>
        <v>100</v>
      </c>
      <c r="V12" s="1649" t="s">
        <v>25</v>
      </c>
      <c r="W12" s="1650">
        <f t="shared" si="2"/>
        <v>100</v>
      </c>
      <c r="X12" s="1651"/>
      <c r="Y12" s="3532"/>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26"/>
      <c r="Q13" s="1603">
        <f t="shared" si="6"/>
        <v>111</v>
      </c>
      <c r="R13" s="1649" t="s">
        <v>25</v>
      </c>
      <c r="S13" s="1650">
        <f t="shared" si="0"/>
        <v>100</v>
      </c>
      <c r="T13" s="1649" t="s">
        <v>25</v>
      </c>
      <c r="U13" s="1650">
        <f t="shared" si="1"/>
        <v>100</v>
      </c>
      <c r="V13" s="1649" t="s">
        <v>25</v>
      </c>
      <c r="W13" s="1650">
        <f t="shared" si="2"/>
        <v>100</v>
      </c>
      <c r="X13" s="1651"/>
      <c r="Y13" s="3532"/>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26"/>
      <c r="Q14" s="1603">
        <f t="shared" si="6"/>
        <v>111</v>
      </c>
      <c r="R14" s="1649" t="s">
        <v>25</v>
      </c>
      <c r="S14" s="1650">
        <f t="shared" si="0"/>
        <v>100</v>
      </c>
      <c r="T14" s="1649" t="s">
        <v>25</v>
      </c>
      <c r="U14" s="1650">
        <f t="shared" si="1"/>
        <v>100</v>
      </c>
      <c r="V14" s="1649" t="s">
        <v>25</v>
      </c>
      <c r="W14" s="1650">
        <f t="shared" si="2"/>
        <v>100</v>
      </c>
      <c r="X14" s="1651"/>
      <c r="Y14" s="3532"/>
      <c r="Z14" s="1662">
        <f t="shared" si="7"/>
        <v>111</v>
      </c>
      <c r="AA14" s="1652">
        <f>D14/F14</f>
        <v>1</v>
      </c>
      <c r="AB14" s="1652">
        <f>D14/H14</f>
        <v>1</v>
      </c>
      <c r="AC14" s="1652">
        <f>D14/J14</f>
        <v>1</v>
      </c>
    </row>
    <row r="15" spans="1:30" ht="99.75">
      <c r="A15" s="1631" t="s">
        <v>2211</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29" t="s">
        <v>2212</v>
      </c>
      <c r="Q15" s="1584" t="str">
        <f t="shared" si="6"/>
        <v>居住社区成熟度</v>
      </c>
      <c r="R15" s="1694" t="s">
        <v>25</v>
      </c>
      <c r="S15" s="1695">
        <f t="shared" si="0"/>
        <v>100</v>
      </c>
      <c r="T15" s="1694" t="s">
        <v>25</v>
      </c>
      <c r="U15" s="1695">
        <f t="shared" si="1"/>
        <v>100</v>
      </c>
      <c r="V15" s="1694" t="s">
        <v>25</v>
      </c>
      <c r="W15" s="1695">
        <f t="shared" si="2"/>
        <v>100</v>
      </c>
      <c r="X15" s="1634"/>
      <c r="Y15" s="3629" t="s">
        <v>2212</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30"/>
      <c r="Q16" s="1584"/>
      <c r="R16" s="1694"/>
      <c r="S16" s="1695"/>
      <c r="T16" s="1694"/>
      <c r="U16" s="1695"/>
      <c r="V16" s="1694"/>
      <c r="W16" s="1695"/>
      <c r="X16" s="1634"/>
      <c r="Y16" s="3630"/>
      <c r="Z16" s="1696"/>
      <c r="AA16" s="1697">
        <v>1</v>
      </c>
      <c r="AB16" s="1697">
        <v>1</v>
      </c>
      <c r="AC16" s="1697">
        <v>1</v>
      </c>
    </row>
    <row r="17" spans="1:29" ht="71.25">
      <c r="A17" s="1636"/>
      <c r="B17" s="1945" t="s">
        <v>2297</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30"/>
      <c r="Q17" s="1584" t="str">
        <f>B17</f>
        <v>商业繁华度</v>
      </c>
      <c r="R17" s="1694" t="s">
        <v>25</v>
      </c>
      <c r="S17" s="1695">
        <f>F17</f>
        <v>100</v>
      </c>
      <c r="T17" s="1694" t="s">
        <v>25</v>
      </c>
      <c r="U17" s="1695">
        <f>H17</f>
        <v>100</v>
      </c>
      <c r="V17" s="1694" t="s">
        <v>25</v>
      </c>
      <c r="W17" s="1695">
        <f>J17</f>
        <v>100</v>
      </c>
      <c r="X17" s="1634"/>
      <c r="Y17" s="3630"/>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30"/>
      <c r="Q18" s="1584"/>
      <c r="R18" s="1694"/>
      <c r="S18" s="1695"/>
      <c r="T18" s="1694"/>
      <c r="U18" s="1695"/>
      <c r="V18" s="1694"/>
      <c r="W18" s="1695"/>
      <c r="X18" s="1634"/>
      <c r="Y18" s="3630"/>
      <c r="Z18" s="1696"/>
      <c r="AA18" s="1697">
        <v>1</v>
      </c>
      <c r="AB18" s="1697">
        <v>1</v>
      </c>
      <c r="AC18" s="1697">
        <v>1</v>
      </c>
    </row>
    <row r="19" spans="1:29" ht="71.25">
      <c r="A19" s="1636"/>
      <c r="B19" s="1945" t="s">
        <v>2326</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30"/>
      <c r="Q19" s="1584" t="str">
        <f>B19</f>
        <v>办公集聚程度</v>
      </c>
      <c r="R19" s="1694" t="s">
        <v>25</v>
      </c>
      <c r="S19" s="1695">
        <f>F19</f>
        <v>100</v>
      </c>
      <c r="T19" s="1694" t="s">
        <v>25</v>
      </c>
      <c r="U19" s="1695">
        <f>H19</f>
        <v>100</v>
      </c>
      <c r="V19" s="1694" t="s">
        <v>25</v>
      </c>
      <c r="W19" s="1695">
        <f>J19</f>
        <v>100</v>
      </c>
      <c r="X19" s="1634"/>
      <c r="Y19" s="3630"/>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30"/>
      <c r="Q20" s="1584"/>
      <c r="R20" s="1694"/>
      <c r="S20" s="1695"/>
      <c r="T20" s="1694"/>
      <c r="U20" s="1695"/>
      <c r="V20" s="1694"/>
      <c r="W20" s="1695"/>
      <c r="X20" s="1634"/>
      <c r="Y20" s="3630"/>
      <c r="Z20" s="1696"/>
      <c r="AA20" s="1697">
        <v>1</v>
      </c>
      <c r="AB20" s="1697">
        <v>1</v>
      </c>
      <c r="AC20" s="1697">
        <v>1</v>
      </c>
    </row>
    <row r="21" spans="1:29" ht="85.5">
      <c r="A21" s="1636"/>
      <c r="B21" s="1945" t="s">
        <v>2349</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30"/>
      <c r="Q21" s="1584" t="str">
        <f>B21</f>
        <v>交通便捷度</v>
      </c>
      <c r="R21" s="1694" t="s">
        <v>25</v>
      </c>
      <c r="S21" s="1695">
        <f>F21</f>
        <v>100</v>
      </c>
      <c r="T21" s="1694" t="s">
        <v>25</v>
      </c>
      <c r="U21" s="1695">
        <f>H21</f>
        <v>100</v>
      </c>
      <c r="V21" s="1694" t="s">
        <v>25</v>
      </c>
      <c r="W21" s="1695">
        <f>J21</f>
        <v>100</v>
      </c>
      <c r="X21" s="1634"/>
      <c r="Y21" s="3630"/>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30"/>
      <c r="Q22" s="1584"/>
      <c r="R22" s="1694"/>
      <c r="S22" s="1695"/>
      <c r="T22" s="1694"/>
      <c r="U22" s="1695"/>
      <c r="V22" s="1694"/>
      <c r="W22" s="1695"/>
      <c r="X22" s="1634"/>
      <c r="Y22" s="3630"/>
      <c r="Z22" s="1696"/>
      <c r="AA22" s="1697">
        <v>1</v>
      </c>
      <c r="AB22" s="1697">
        <v>1</v>
      </c>
      <c r="AC22" s="1697">
        <v>1</v>
      </c>
    </row>
    <row r="23" spans="1:29" ht="15">
      <c r="A23" s="1636"/>
      <c r="B23" s="1426" t="s">
        <v>2389</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30"/>
      <c r="Q23" s="1584" t="str">
        <f t="shared" ref="Q23:Q37" si="8">B23</f>
        <v>区域土地利用方向</v>
      </c>
      <c r="R23" s="1694" t="s">
        <v>25</v>
      </c>
      <c r="S23" s="1695">
        <f>F23</f>
        <v>100</v>
      </c>
      <c r="T23" s="1694" t="s">
        <v>25</v>
      </c>
      <c r="U23" s="1695">
        <f>H23</f>
        <v>100</v>
      </c>
      <c r="V23" s="1694" t="s">
        <v>25</v>
      </c>
      <c r="W23" s="1695">
        <f>J23</f>
        <v>100</v>
      </c>
      <c r="X23" s="1634"/>
      <c r="Y23" s="3630"/>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30"/>
      <c r="Q24" s="1584"/>
      <c r="R24" s="1694"/>
      <c r="S24" s="1695"/>
      <c r="T24" s="1694"/>
      <c r="U24" s="1695"/>
      <c r="V24" s="1694"/>
      <c r="W24" s="1695"/>
      <c r="X24" s="1634"/>
      <c r="Y24" s="3630"/>
      <c r="Z24" s="1696"/>
      <c r="AA24" s="1697"/>
      <c r="AB24" s="1697"/>
      <c r="AC24" s="1697"/>
    </row>
    <row r="25" spans="1:29" ht="57">
      <c r="A25" s="1636"/>
      <c r="B25" s="1950" t="s">
        <v>2390</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30"/>
      <c r="Q25" s="1584" t="str">
        <f t="shared" si="8"/>
        <v>自然及人文环境状况</v>
      </c>
      <c r="R25" s="1694" t="s">
        <v>25</v>
      </c>
      <c r="S25" s="1695">
        <f>F25</f>
        <v>100</v>
      </c>
      <c r="T25" s="1694" t="s">
        <v>25</v>
      </c>
      <c r="U25" s="1695">
        <f>H25</f>
        <v>100</v>
      </c>
      <c r="V25" s="1694" t="s">
        <v>25</v>
      </c>
      <c r="W25" s="1695">
        <f>J25</f>
        <v>100</v>
      </c>
      <c r="X25" s="1634"/>
      <c r="Y25" s="3630"/>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30"/>
      <c r="Q26" s="1584"/>
      <c r="R26" s="1694"/>
      <c r="S26" s="1695"/>
      <c r="T26" s="1694"/>
      <c r="U26" s="1695"/>
      <c r="V26" s="1694"/>
      <c r="W26" s="1695"/>
      <c r="X26" s="1634"/>
      <c r="Y26" s="3630"/>
      <c r="Z26" s="1696"/>
      <c r="AA26" s="1697">
        <v>1</v>
      </c>
      <c r="AB26" s="1697">
        <v>1</v>
      </c>
      <c r="AC26" s="1697">
        <v>1</v>
      </c>
    </row>
    <row r="27" spans="1:29" ht="42.75">
      <c r="A27" s="1636"/>
      <c r="B27" s="1950" t="s">
        <v>2298</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30"/>
      <c r="Q27" s="1603" t="str">
        <f t="shared" ref="Q27" si="9">B27</f>
        <v>公共配套设施</v>
      </c>
      <c r="R27" s="1649" t="s">
        <v>25</v>
      </c>
      <c r="S27" s="1650">
        <f>F27</f>
        <v>100</v>
      </c>
      <c r="T27" s="1649" t="s">
        <v>25</v>
      </c>
      <c r="U27" s="1650">
        <f>H27</f>
        <v>100</v>
      </c>
      <c r="V27" s="1649" t="s">
        <v>25</v>
      </c>
      <c r="W27" s="1650">
        <f>J27</f>
        <v>100</v>
      </c>
      <c r="X27" s="1634"/>
      <c r="Y27" s="3630"/>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30"/>
      <c r="Q28" s="1584"/>
      <c r="R28" s="1694"/>
      <c r="S28" s="1695"/>
      <c r="T28" s="1694"/>
      <c r="U28" s="1695"/>
      <c r="V28" s="1694"/>
      <c r="W28" s="1695"/>
      <c r="X28" s="1634"/>
      <c r="Y28" s="3630"/>
      <c r="Z28" s="1662"/>
      <c r="AA28" s="1697">
        <v>1</v>
      </c>
      <c r="AB28" s="1697">
        <v>1</v>
      </c>
      <c r="AC28" s="1697">
        <v>1</v>
      </c>
    </row>
    <row r="29" spans="1:29" s="1653" customFormat="1" ht="28.5">
      <c r="A29" s="1956"/>
      <c r="B29" s="1950" t="s">
        <v>2299</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30"/>
      <c r="Q29" s="1603" t="str">
        <f t="shared" si="8"/>
        <v>基础设施水平</v>
      </c>
      <c r="R29" s="1649" t="s">
        <v>25</v>
      </c>
      <c r="S29" s="1650">
        <f>F29</f>
        <v>100</v>
      </c>
      <c r="T29" s="1649" t="s">
        <v>25</v>
      </c>
      <c r="U29" s="1650">
        <f>H29</f>
        <v>100</v>
      </c>
      <c r="V29" s="1649" t="s">
        <v>25</v>
      </c>
      <c r="W29" s="1650">
        <f>J29</f>
        <v>100</v>
      </c>
      <c r="X29" s="1651"/>
      <c r="Y29" s="3630"/>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30"/>
      <c r="Q30" s="1603"/>
      <c r="R30" s="1649"/>
      <c r="S30" s="1650"/>
      <c r="T30" s="1649"/>
      <c r="U30" s="1650"/>
      <c r="V30" s="1649"/>
      <c r="W30" s="1650"/>
      <c r="X30" s="1651"/>
      <c r="Y30" s="3630"/>
      <c r="Z30" s="1662"/>
      <c r="AA30" s="1697">
        <v>1</v>
      </c>
      <c r="AB30" s="1697">
        <v>1</v>
      </c>
      <c r="AC30" s="1697">
        <v>1</v>
      </c>
    </row>
    <row r="31" spans="1:29" ht="15">
      <c r="A31" s="1636"/>
      <c r="B31" s="1947" t="s">
        <v>2300</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30"/>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30"/>
      <c r="Z31" s="1696" t="str">
        <f t="shared" ref="Z31:Z45" si="13">Q31</f>
        <v>临街状况</v>
      </c>
      <c r="AA31" s="1697">
        <f t="shared" si="3"/>
        <v>1</v>
      </c>
      <c r="AB31" s="1697">
        <f t="shared" si="4"/>
        <v>1</v>
      </c>
      <c r="AC31" s="1697">
        <f t="shared" si="5"/>
        <v>1</v>
      </c>
    </row>
    <row r="32" spans="1:29" ht="27">
      <c r="A32" s="1636"/>
      <c r="B32" s="1950" t="s">
        <v>2330</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30"/>
      <c r="Q32" s="1584" t="str">
        <f t="shared" si="8"/>
        <v>毗邻道路的类型与等级</v>
      </c>
      <c r="R32" s="1694" t="s">
        <v>25</v>
      </c>
      <c r="S32" s="1695">
        <f t="shared" si="10"/>
        <v>100</v>
      </c>
      <c r="T32" s="1694" t="s">
        <v>25</v>
      </c>
      <c r="U32" s="1695">
        <f t="shared" si="11"/>
        <v>100</v>
      </c>
      <c r="V32" s="1694" t="s">
        <v>25</v>
      </c>
      <c r="W32" s="1695">
        <f t="shared" si="12"/>
        <v>100</v>
      </c>
      <c r="X32" s="1634"/>
      <c r="Y32" s="3630"/>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30"/>
      <c r="Q33" s="1584"/>
      <c r="R33" s="1694"/>
      <c r="S33" s="1695"/>
      <c r="T33" s="1694"/>
      <c r="U33" s="1695"/>
      <c r="V33" s="1694"/>
      <c r="W33" s="1695"/>
      <c r="X33" s="1634"/>
      <c r="Y33" s="3630"/>
      <c r="Z33" s="1696"/>
      <c r="AA33" s="1697">
        <v>1</v>
      </c>
      <c r="AB33" s="1697">
        <v>1</v>
      </c>
      <c r="AC33" s="1697">
        <v>1</v>
      </c>
    </row>
    <row r="34" spans="1:29" ht="15">
      <c r="A34" s="1636"/>
      <c r="B34" s="1959" t="s">
        <v>2391</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30"/>
      <c r="Q34" s="1584" t="str">
        <f t="shared" si="8"/>
        <v>土地级别</v>
      </c>
      <c r="R34" s="1694" t="s">
        <v>25</v>
      </c>
      <c r="S34" s="1695">
        <f t="shared" si="10"/>
        <v>100</v>
      </c>
      <c r="T34" s="1694" t="s">
        <v>25</v>
      </c>
      <c r="U34" s="1695">
        <f t="shared" si="11"/>
        <v>100</v>
      </c>
      <c r="V34" s="1694" t="s">
        <v>25</v>
      </c>
      <c r="W34" s="1695">
        <f t="shared" si="12"/>
        <v>100</v>
      </c>
      <c r="X34" s="1634"/>
      <c r="Y34" s="3630"/>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30"/>
      <c r="Q35" s="1584">
        <f t="shared" si="8"/>
        <v>111</v>
      </c>
      <c r="R35" s="1694" t="s">
        <v>25</v>
      </c>
      <c r="S35" s="1695">
        <f t="shared" si="10"/>
        <v>100</v>
      </c>
      <c r="T35" s="1694" t="s">
        <v>25</v>
      </c>
      <c r="U35" s="1695">
        <f t="shared" si="11"/>
        <v>100</v>
      </c>
      <c r="V35" s="1694" t="s">
        <v>25</v>
      </c>
      <c r="W35" s="1695">
        <f t="shared" si="12"/>
        <v>100</v>
      </c>
      <c r="X35" s="1634"/>
      <c r="Y35" s="3630"/>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68" t="s">
        <v>2218</v>
      </c>
      <c r="Q36" s="1584">
        <f t="shared" si="8"/>
        <v>111</v>
      </c>
      <c r="R36" s="1694" t="s">
        <v>25</v>
      </c>
      <c r="S36" s="1695">
        <f t="shared" si="10"/>
        <v>100</v>
      </c>
      <c r="T36" s="1694" t="s">
        <v>25</v>
      </c>
      <c r="U36" s="1695">
        <f t="shared" si="11"/>
        <v>100</v>
      </c>
      <c r="V36" s="1694" t="s">
        <v>25</v>
      </c>
      <c r="W36" s="1695">
        <f t="shared" si="12"/>
        <v>100</v>
      </c>
      <c r="X36" s="1634"/>
      <c r="Y36" s="3634" t="s">
        <v>2218</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34"/>
      <c r="Q37" s="1584">
        <f t="shared" si="8"/>
        <v>111</v>
      </c>
      <c r="R37" s="1736" t="s">
        <v>25</v>
      </c>
      <c r="S37" s="1737">
        <f t="shared" si="10"/>
        <v>100</v>
      </c>
      <c r="T37" s="1736" t="s">
        <v>25</v>
      </c>
      <c r="U37" s="1737">
        <f t="shared" si="11"/>
        <v>100</v>
      </c>
      <c r="V37" s="1736" t="s">
        <v>25</v>
      </c>
      <c r="W37" s="1737">
        <f t="shared" si="12"/>
        <v>100</v>
      </c>
      <c r="X37" s="1738"/>
      <c r="Y37" s="3634"/>
      <c r="Z37" s="1739">
        <f t="shared" si="13"/>
        <v>111</v>
      </c>
      <c r="AA37" s="1697">
        <f t="shared" si="3"/>
        <v>1</v>
      </c>
      <c r="AB37" s="1697">
        <f t="shared" si="4"/>
        <v>1</v>
      </c>
      <c r="AC37" s="1697">
        <f t="shared" si="5"/>
        <v>1</v>
      </c>
    </row>
    <row r="38" spans="1:29" ht="15">
      <c r="A38" s="1631" t="s">
        <v>2216</v>
      </c>
      <c r="B38" s="1712" t="s">
        <v>2392</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34"/>
      <c r="Q38" s="1584" t="str">
        <f>B38</f>
        <v>宗地面积</v>
      </c>
      <c r="R38" s="1694" t="s">
        <v>25</v>
      </c>
      <c r="S38" s="1695" t="e">
        <f t="shared" si="10"/>
        <v>#N/A</v>
      </c>
      <c r="T38" s="1694" t="s">
        <v>25</v>
      </c>
      <c r="U38" s="1695" t="e">
        <f t="shared" si="11"/>
        <v>#N/A</v>
      </c>
      <c r="V38" s="1694" t="s">
        <v>25</v>
      </c>
      <c r="W38" s="1695" t="e">
        <f t="shared" si="12"/>
        <v>#N/A</v>
      </c>
      <c r="X38" s="1634"/>
      <c r="Y38" s="3634"/>
      <c r="Z38" s="1696" t="str">
        <f t="shared" si="13"/>
        <v>宗地面积</v>
      </c>
      <c r="AA38" s="1697" t="e">
        <f t="shared" si="3"/>
        <v>#N/A</v>
      </c>
      <c r="AB38" s="1697" t="e">
        <f t="shared" si="4"/>
        <v>#N/A</v>
      </c>
      <c r="AC38" s="1697" t="e">
        <f t="shared" si="5"/>
        <v>#N/A</v>
      </c>
    </row>
    <row r="39" spans="1:29" ht="15">
      <c r="A39" s="1741"/>
      <c r="B39" s="1664" t="s">
        <v>2393</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34"/>
      <c r="Q39" s="1584" t="str">
        <f t="shared" ref="Q39:Q45" si="14">B39</f>
        <v>宗地形状</v>
      </c>
      <c r="R39" s="1694" t="s">
        <v>25</v>
      </c>
      <c r="S39" s="1695">
        <f t="shared" si="10"/>
        <v>100</v>
      </c>
      <c r="T39" s="1694" t="s">
        <v>25</v>
      </c>
      <c r="U39" s="1695">
        <f t="shared" si="11"/>
        <v>100</v>
      </c>
      <c r="V39" s="1694" t="s">
        <v>25</v>
      </c>
      <c r="W39" s="1695">
        <f t="shared" si="12"/>
        <v>100</v>
      </c>
      <c r="X39" s="1634"/>
      <c r="Y39" s="3634"/>
      <c r="Z39" s="1696" t="str">
        <f t="shared" si="13"/>
        <v>宗地形状</v>
      </c>
      <c r="AA39" s="1697">
        <f t="shared" si="3"/>
        <v>1</v>
      </c>
      <c r="AB39" s="1697">
        <f t="shared" si="4"/>
        <v>1</v>
      </c>
      <c r="AC39" s="1697">
        <f t="shared" si="5"/>
        <v>1</v>
      </c>
    </row>
    <row r="40" spans="1:29" ht="15">
      <c r="A40" s="1741"/>
      <c r="B40" s="1664" t="s">
        <v>2394</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34"/>
      <c r="Q40" s="1584" t="str">
        <f t="shared" si="14"/>
        <v>临街宽度及深度</v>
      </c>
      <c r="R40" s="1694" t="s">
        <v>25</v>
      </c>
      <c r="S40" s="1695">
        <f t="shared" si="10"/>
        <v>100</v>
      </c>
      <c r="T40" s="1694" t="s">
        <v>25</v>
      </c>
      <c r="U40" s="1695">
        <f t="shared" si="11"/>
        <v>100</v>
      </c>
      <c r="V40" s="1694" t="s">
        <v>25</v>
      </c>
      <c r="W40" s="1695">
        <f t="shared" si="12"/>
        <v>100</v>
      </c>
      <c r="X40" s="1634"/>
      <c r="Y40" s="3634"/>
      <c r="Z40" s="1696" t="str">
        <f t="shared" si="13"/>
        <v>临街宽度及深度</v>
      </c>
      <c r="AA40" s="1697">
        <f t="shared" si="3"/>
        <v>1</v>
      </c>
      <c r="AB40" s="1697">
        <f t="shared" si="4"/>
        <v>1</v>
      </c>
      <c r="AC40" s="1697">
        <f t="shared" si="5"/>
        <v>1</v>
      </c>
    </row>
    <row r="41" spans="1:29" s="1653" customFormat="1" ht="15">
      <c r="A41" s="1744"/>
      <c r="B41" s="1664" t="s">
        <v>2395</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34"/>
      <c r="Q41" s="1584" t="str">
        <f t="shared" si="14"/>
        <v>宗地开发程度</v>
      </c>
      <c r="R41" s="1649" t="s">
        <v>25</v>
      </c>
      <c r="S41" s="1650">
        <f t="shared" si="10"/>
        <v>100</v>
      </c>
      <c r="T41" s="1649" t="s">
        <v>25</v>
      </c>
      <c r="U41" s="1650">
        <f t="shared" si="11"/>
        <v>100</v>
      </c>
      <c r="V41" s="1649" t="s">
        <v>25</v>
      </c>
      <c r="W41" s="1650">
        <f t="shared" si="12"/>
        <v>100</v>
      </c>
      <c r="X41" s="1651"/>
      <c r="Y41" s="3634"/>
      <c r="Z41" s="1662" t="str">
        <f t="shared" si="13"/>
        <v>宗地开发程度</v>
      </c>
      <c r="AA41" s="1652">
        <f t="shared" si="3"/>
        <v>1</v>
      </c>
      <c r="AB41" s="1652">
        <f t="shared" si="4"/>
        <v>1</v>
      </c>
      <c r="AC41" s="1652">
        <f t="shared" si="5"/>
        <v>1</v>
      </c>
    </row>
    <row r="42" spans="1:29" ht="15">
      <c r="A42" s="1741"/>
      <c r="B42" s="1664" t="s">
        <v>2396</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34" t="s">
        <v>2218</v>
      </c>
      <c r="Q42" s="1584" t="str">
        <f t="shared" si="14"/>
        <v>工程地质条件</v>
      </c>
      <c r="R42" s="1694" t="s">
        <v>25</v>
      </c>
      <c r="S42" s="1695">
        <f t="shared" si="10"/>
        <v>100</v>
      </c>
      <c r="T42" s="1694" t="s">
        <v>25</v>
      </c>
      <c r="U42" s="1695">
        <f t="shared" si="11"/>
        <v>100</v>
      </c>
      <c r="V42" s="1694" t="s">
        <v>25</v>
      </c>
      <c r="W42" s="1695">
        <f t="shared" si="12"/>
        <v>100</v>
      </c>
      <c r="X42" s="1634"/>
      <c r="Y42" s="3634" t="s">
        <v>2218</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34"/>
      <c r="Q43" s="1584">
        <f t="shared" si="14"/>
        <v>111</v>
      </c>
      <c r="R43" s="1694" t="s">
        <v>25</v>
      </c>
      <c r="S43" s="1695">
        <f t="shared" si="10"/>
        <v>100</v>
      </c>
      <c r="T43" s="1694" t="s">
        <v>25</v>
      </c>
      <c r="U43" s="1695">
        <f t="shared" si="11"/>
        <v>100</v>
      </c>
      <c r="V43" s="1694" t="s">
        <v>25</v>
      </c>
      <c r="W43" s="1695">
        <f t="shared" si="12"/>
        <v>100</v>
      </c>
      <c r="X43" s="1634"/>
      <c r="Y43" s="3634"/>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34"/>
      <c r="Q44" s="1584">
        <f t="shared" si="14"/>
        <v>111</v>
      </c>
      <c r="R44" s="1694" t="s">
        <v>25</v>
      </c>
      <c r="S44" s="1695">
        <f t="shared" si="10"/>
        <v>100</v>
      </c>
      <c r="T44" s="1694" t="s">
        <v>25</v>
      </c>
      <c r="U44" s="1695">
        <f t="shared" si="11"/>
        <v>100</v>
      </c>
      <c r="V44" s="1694" t="s">
        <v>25</v>
      </c>
      <c r="W44" s="1695">
        <f t="shared" si="12"/>
        <v>100</v>
      </c>
      <c r="X44" s="1634"/>
      <c r="Y44" s="3634"/>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34"/>
      <c r="Q45" s="1584">
        <f t="shared" si="14"/>
        <v>111</v>
      </c>
      <c r="R45" s="1736" t="s">
        <v>25</v>
      </c>
      <c r="S45" s="1737">
        <f t="shared" si="10"/>
        <v>100</v>
      </c>
      <c r="T45" s="1736" t="s">
        <v>25</v>
      </c>
      <c r="U45" s="1737">
        <f t="shared" si="11"/>
        <v>100</v>
      </c>
      <c r="V45" s="1736" t="s">
        <v>25</v>
      </c>
      <c r="W45" s="1737">
        <f t="shared" si="12"/>
        <v>100</v>
      </c>
      <c r="X45" s="1738"/>
      <c r="Y45" s="3634"/>
      <c r="Z45" s="1739">
        <f t="shared" si="13"/>
        <v>111</v>
      </c>
      <c r="AA45" s="1697">
        <f t="shared" si="3"/>
        <v>1</v>
      </c>
      <c r="AB45" s="1697">
        <f t="shared" si="4"/>
        <v>1</v>
      </c>
      <c r="AC45" s="1697">
        <f t="shared" si="5"/>
        <v>1</v>
      </c>
    </row>
    <row r="46" spans="1:29" ht="15">
      <c r="A46" s="1750" t="s">
        <v>2360</v>
      </c>
      <c r="B46" s="1975" t="s">
        <v>2397</v>
      </c>
      <c r="C46" s="1976" t="s">
        <v>1</v>
      </c>
      <c r="D46" s="1977"/>
      <c r="E46" s="1978"/>
      <c r="F46" s="1979"/>
      <c r="G46" s="1980"/>
      <c r="H46" s="1981"/>
      <c r="I46" s="1978"/>
      <c r="J46" s="1981"/>
      <c r="K46" s="1982"/>
      <c r="L46" s="2970"/>
      <c r="N46" s="2965"/>
      <c r="P46" s="3626" t="str">
        <f>A46</f>
        <v>成交单价</v>
      </c>
      <c r="Q46" s="3626"/>
      <c r="R46" s="3663">
        <f>E46</f>
        <v>0</v>
      </c>
      <c r="S46" s="3663"/>
      <c r="T46" s="3663">
        <f>G46</f>
        <v>0</v>
      </c>
      <c r="U46" s="3663"/>
      <c r="V46" s="3663">
        <f>I46</f>
        <v>0</v>
      </c>
      <c r="W46" s="3663"/>
      <c r="X46" s="1760"/>
      <c r="Y46" s="1761"/>
      <c r="Z46" s="1760"/>
      <c r="AA46" s="1760"/>
      <c r="AB46" s="1760"/>
      <c r="AC46" s="1760"/>
    </row>
    <row r="47" spans="1:29" ht="15.75" thickBot="1">
      <c r="A47" s="1762" t="s">
        <v>2313</v>
      </c>
      <c r="B47" s="1983"/>
      <c r="C47" s="1984" t="e">
        <f>R48</f>
        <v>#DIV/0!</v>
      </c>
      <c r="D47" s="1765" t="s">
        <v>2687</v>
      </c>
      <c r="E47" s="1984" t="e">
        <f>R47</f>
        <v>#DIV/0!</v>
      </c>
      <c r="F47" s="1767"/>
      <c r="G47" s="1985" t="e">
        <f>T47</f>
        <v>#DIV/0!</v>
      </c>
      <c r="H47" s="1767"/>
      <c r="I47" s="1984" t="e">
        <f>V47</f>
        <v>#DIV/0!</v>
      </c>
      <c r="J47" s="1767"/>
      <c r="K47" s="2479">
        <f>F47+H47+J47</f>
        <v>0</v>
      </c>
      <c r="L47" s="2970"/>
      <c r="P47" s="3626" t="str">
        <f>A47</f>
        <v>比较价值（元/平方米）</v>
      </c>
      <c r="Q47" s="3626"/>
      <c r="R47" s="3713" t="e">
        <f>ROUND(PRODUCT(R46,AA7:AA45),0)</f>
        <v>#DIV/0!</v>
      </c>
      <c r="S47" s="3713"/>
      <c r="T47" s="3713" t="e">
        <f>ROUND(PRODUCT(T46,AB7:AB45),0)</f>
        <v>#DIV/0!</v>
      </c>
      <c r="U47" s="3713"/>
      <c r="V47" s="3713" t="e">
        <f>ROUND(PRODUCT(V46,AC7:AC45),0)</f>
        <v>#DIV/0!</v>
      </c>
      <c r="W47" s="3713"/>
      <c r="X47" s="1760"/>
      <c r="Y47" s="1760"/>
      <c r="Z47" s="1760"/>
      <c r="AA47" s="1760"/>
      <c r="AB47" s="1760"/>
      <c r="AC47" s="1760"/>
    </row>
    <row r="48" spans="1:29" ht="15.75" thickBot="1">
      <c r="A48" s="1768" t="s">
        <v>2336</v>
      </c>
      <c r="B48" s="1769"/>
      <c r="C48" s="1986" t="e">
        <f>R48</f>
        <v>#DIV/0!</v>
      </c>
      <c r="D48" s="1986"/>
      <c r="E48" s="1986"/>
      <c r="F48" s="1986"/>
      <c r="G48" s="1986"/>
      <c r="H48" s="1986"/>
      <c r="I48" s="1986"/>
      <c r="J48" s="1986"/>
      <c r="K48" s="1987"/>
      <c r="L48" s="2970"/>
      <c r="P48" s="3623" t="str">
        <f>A48</f>
        <v>估价对象XX用房的比较价值（楼面单价，元/平方米）</v>
      </c>
      <c r="Q48" s="3624"/>
      <c r="R48" s="3714" t="e">
        <f>ROUND(IF(D47="简单平均",AVERAGE(R47:W47),R47*F47+T47*H47+V47*J47),0)</f>
        <v>#DIV/0!</v>
      </c>
      <c r="S48" s="3714"/>
      <c r="T48" s="3714"/>
      <c r="U48" s="3714"/>
      <c r="V48" s="3714"/>
      <c r="W48" s="3714"/>
      <c r="X48" s="1760"/>
      <c r="Y48" s="1760"/>
      <c r="Z48" s="1760"/>
      <c r="AA48" s="1760"/>
      <c r="AB48" s="1760"/>
      <c r="AC48" s="1760"/>
    </row>
    <row r="49" spans="1:14">
      <c r="G49" s="2974"/>
    </row>
    <row r="51" spans="1:14" ht="13.5" customHeight="1">
      <c r="C51" s="383" t="s">
        <v>2315</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2316</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2317</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2398</v>
      </c>
      <c r="B55" s="1988" t="s">
        <v>2399</v>
      </c>
      <c r="C55" s="1989" t="s">
        <v>2400</v>
      </c>
      <c r="D55" s="1990" t="s">
        <v>2401</v>
      </c>
      <c r="E55" s="1991" t="s">
        <v>2402</v>
      </c>
      <c r="F55" s="1992" t="s">
        <v>2403</v>
      </c>
      <c r="G55" s="1887" t="s">
        <v>2404</v>
      </c>
      <c r="H55" s="1887" t="str">
        <f>项目基本情况!G8</f>
        <v>XX</v>
      </c>
      <c r="I55" s="1562" t="s">
        <v>2405</v>
      </c>
      <c r="J55" s="1993"/>
      <c r="K55" s="1774"/>
    </row>
    <row r="56" spans="1:14" s="2000" customFormat="1">
      <c r="A56" s="1994" t="s">
        <v>2406</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2407</v>
      </c>
      <c r="B57" s="2002" t="e">
        <f>ROUND($C$48*C57*D57,0)</f>
        <v>#DIV/0!</v>
      </c>
      <c r="C57" s="50">
        <f>IF($C$55="北京市系数",G57,H57)</f>
        <v>0.7</v>
      </c>
      <c r="D57" s="2003">
        <v>0.25</v>
      </c>
      <c r="E57" s="1997">
        <v>0</v>
      </c>
      <c r="F57" s="1998" t="e">
        <f t="shared" si="15"/>
        <v>#DIV/0!</v>
      </c>
      <c r="G57" s="1999">
        <f>SUMIF(修正!$A$45:$A$56,项目基本情况!$F$9,修正!B45:B56)</f>
        <v>0.7</v>
      </c>
      <c r="H57" s="2004"/>
      <c r="I57" s="1635"/>
      <c r="J57" s="1878"/>
      <c r="K57" s="1879"/>
      <c r="L57" s="1879"/>
      <c r="M57" s="1635"/>
      <c r="N57" s="1635"/>
    </row>
    <row r="58" spans="1:14" s="2000" customFormat="1">
      <c r="A58" s="2001" t="s">
        <v>2408</v>
      </c>
      <c r="B58" s="2002" t="e">
        <f t="shared" ref="B58:B65" si="16">ROUND($C$48*C58*D58,0)</f>
        <v>#DIV/0!</v>
      </c>
      <c r="C58" s="50">
        <f t="shared" ref="C58:C65" si="17">IF($C$55="北京市系数",G58,H58)</f>
        <v>0.4</v>
      </c>
      <c r="D58" s="2003">
        <v>0.25</v>
      </c>
      <c r="E58" s="1997">
        <v>0</v>
      </c>
      <c r="F58" s="1998" t="e">
        <f t="shared" si="15"/>
        <v>#DIV/0!</v>
      </c>
      <c r="G58" s="1999">
        <f>SUMIF(修正!$A$45:$A$56,项目基本情况!$F$9,修正!C45:C56)</f>
        <v>0.4</v>
      </c>
      <c r="H58" s="2004"/>
      <c r="I58" s="1782"/>
      <c r="J58" s="1782"/>
      <c r="K58" s="2977"/>
      <c r="L58" s="2971"/>
      <c r="M58" s="1782"/>
      <c r="N58" s="1782"/>
    </row>
    <row r="59" spans="1:14" s="2000" customFormat="1">
      <c r="A59" s="2001" t="s">
        <v>2409</v>
      </c>
      <c r="B59" s="2002" t="e">
        <f t="shared" si="16"/>
        <v>#DIV/0!</v>
      </c>
      <c r="C59" s="50">
        <f t="shared" si="17"/>
        <v>0.28000000000000003</v>
      </c>
      <c r="D59" s="2003">
        <v>0.25</v>
      </c>
      <c r="E59" s="1997">
        <v>0</v>
      </c>
      <c r="F59" s="1998" t="e">
        <f t="shared" si="15"/>
        <v>#DIV/0!</v>
      </c>
      <c r="G59" s="1999">
        <f>SUMIF(修正!$A$45:$A$56,项目基本情况!$F$9,修正!D45:D56)</f>
        <v>0.28000000000000003</v>
      </c>
      <c r="H59" s="2004"/>
      <c r="I59" s="1635"/>
      <c r="J59" s="1878"/>
      <c r="K59" s="1879"/>
      <c r="L59" s="1879"/>
      <c r="M59" s="1635"/>
      <c r="N59" s="1635"/>
    </row>
    <row r="60" spans="1:14" s="2000" customFormat="1">
      <c r="A60" s="2001" t="s">
        <v>2410</v>
      </c>
      <c r="B60" s="2002" t="e">
        <f t="shared" si="16"/>
        <v>#DIV/0!</v>
      </c>
      <c r="C60" s="50">
        <f t="shared" si="17"/>
        <v>0.25</v>
      </c>
      <c r="D60" s="2003">
        <v>0.25</v>
      </c>
      <c r="E60" s="1997">
        <v>0</v>
      </c>
      <c r="F60" s="1998" t="e">
        <f t="shared" si="15"/>
        <v>#DIV/0!</v>
      </c>
      <c r="G60" s="1999">
        <f>SUMIF(修正!$A$45:$A$56,项目基本情况!$F$9,修正!E45:E56)</f>
        <v>0.25</v>
      </c>
      <c r="H60" s="2004"/>
      <c r="I60" s="1782"/>
      <c r="J60" s="1782"/>
      <c r="K60" s="2977"/>
      <c r="L60" s="2971"/>
      <c r="M60" s="1782"/>
      <c r="N60" s="1782"/>
    </row>
    <row r="61" spans="1:14" s="2000" customFormat="1">
      <c r="A61" s="2001" t="s">
        <v>2411</v>
      </c>
      <c r="B61" s="2002" t="e">
        <f t="shared" si="16"/>
        <v>#DIV/0!</v>
      </c>
      <c r="C61" s="50">
        <f t="shared" si="17"/>
        <v>0.25</v>
      </c>
      <c r="D61" s="2003">
        <v>0.25</v>
      </c>
      <c r="E61" s="1997">
        <v>0</v>
      </c>
      <c r="F61" s="1998" t="e">
        <f t="shared" si="15"/>
        <v>#DIV/0!</v>
      </c>
      <c r="G61" s="1999">
        <f>SUMIF(修正!A45:A56,项目基本情况!F9,修正!F45:F56)</f>
        <v>0.25</v>
      </c>
      <c r="H61" s="2004"/>
      <c r="I61" s="1635"/>
      <c r="J61" s="1878"/>
      <c r="K61" s="1879"/>
      <c r="L61" s="1879"/>
      <c r="M61" s="1635"/>
      <c r="N61" s="1635"/>
    </row>
    <row r="62" spans="1:14" s="2000" customFormat="1">
      <c r="A62" s="2001" t="s">
        <v>2412</v>
      </c>
      <c r="B62" s="2002" t="e">
        <f t="shared" si="16"/>
        <v>#DIV/0!</v>
      </c>
      <c r="C62" s="50">
        <f t="shared" si="17"/>
        <v>0.25</v>
      </c>
      <c r="D62" s="2003">
        <v>0.25</v>
      </c>
      <c r="E62" s="1997">
        <v>0</v>
      </c>
      <c r="F62" s="1998" t="e">
        <f t="shared" si="15"/>
        <v>#DIV/0!</v>
      </c>
      <c r="G62" s="1999">
        <f>SUMIF(修正!A45:A56,项目基本情况!F9,修正!G45:G56)</f>
        <v>0.25</v>
      </c>
      <c r="H62" s="2004"/>
      <c r="I62" s="1782"/>
      <c r="J62" s="1782"/>
      <c r="K62" s="2977"/>
      <c r="L62" s="2971"/>
      <c r="M62" s="1782"/>
      <c r="N62" s="1782"/>
    </row>
    <row r="63" spans="1:14" s="2000" customFormat="1">
      <c r="A63" s="2001" t="s">
        <v>2413</v>
      </c>
      <c r="B63" s="2002" t="e">
        <f t="shared" si="16"/>
        <v>#DIV/0!</v>
      </c>
      <c r="C63" s="50">
        <f>IF($C$55="北京市系数",G63,H63)</f>
        <v>0.2</v>
      </c>
      <c r="D63" s="2003">
        <v>0.25</v>
      </c>
      <c r="E63" s="1997">
        <v>0</v>
      </c>
      <c r="F63" s="1998" t="e">
        <f t="shared" si="15"/>
        <v>#DIV/0!</v>
      </c>
      <c r="G63" s="1999">
        <f>SUMIF(修正!A45:A56,项目基本情况!F9,修正!H45:H56)</f>
        <v>0.2</v>
      </c>
      <c r="H63" s="2004"/>
      <c r="I63" s="1635"/>
      <c r="J63" s="1878"/>
      <c r="K63" s="1879"/>
      <c r="L63" s="1879"/>
      <c r="M63" s="1635"/>
      <c r="N63" s="1635"/>
    </row>
    <row r="64" spans="1:14" s="2000" customFormat="1">
      <c r="A64" s="2001" t="s">
        <v>2414</v>
      </c>
      <c r="B64" s="2002" t="e">
        <f t="shared" si="16"/>
        <v>#DIV/0!</v>
      </c>
      <c r="C64" s="50">
        <f t="shared" si="17"/>
        <v>0.2</v>
      </c>
      <c r="D64" s="2003">
        <v>0.25</v>
      </c>
      <c r="E64" s="1997">
        <v>0</v>
      </c>
      <c r="F64" s="1998" t="e">
        <f t="shared" si="15"/>
        <v>#DIV/0!</v>
      </c>
      <c r="G64" s="1999">
        <f>G63</f>
        <v>0.2</v>
      </c>
      <c r="H64" s="2004"/>
      <c r="I64" s="1782"/>
      <c r="J64" s="1782"/>
      <c r="K64" s="2977"/>
      <c r="L64" s="2971"/>
      <c r="M64" s="1782"/>
      <c r="N64" s="1782"/>
    </row>
    <row r="65" spans="1:17" s="2000" customFormat="1">
      <c r="A65" s="2001" t="s">
        <v>2415</v>
      </c>
      <c r="B65" s="2002" t="e">
        <f t="shared" si="16"/>
        <v>#DIV/0!</v>
      </c>
      <c r="C65" s="50">
        <f t="shared" si="17"/>
        <v>0.2</v>
      </c>
      <c r="D65" s="2003">
        <v>0.25</v>
      </c>
      <c r="E65" s="1997">
        <v>0</v>
      </c>
      <c r="F65" s="1998" t="e">
        <f t="shared" si="15"/>
        <v>#DIV/0!</v>
      </c>
      <c r="G65" s="1999">
        <f>G63</f>
        <v>0.2</v>
      </c>
      <c r="H65" s="2004"/>
      <c r="I65" s="1635"/>
      <c r="J65" s="1878"/>
      <c r="K65" s="1879"/>
      <c r="L65" s="1879"/>
      <c r="M65" s="1635"/>
      <c r="N65" s="1635"/>
    </row>
    <row r="66" spans="1:17" s="2000" customFormat="1" ht="13.5" thickBot="1">
      <c r="A66" s="2005" t="s">
        <v>2416</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2021-12-1</v>
      </c>
      <c r="D68" s="2009">
        <f>EDATE(C68,-3)</f>
        <v>44440</v>
      </c>
      <c r="E68" s="2009">
        <f t="shared" ref="E68:O68" si="18">EDATE(D68,-3)</f>
        <v>44348</v>
      </c>
      <c r="F68" s="2009">
        <f t="shared" si="18"/>
        <v>44256</v>
      </c>
      <c r="G68" s="2009">
        <f t="shared" si="18"/>
        <v>44166</v>
      </c>
      <c r="H68" s="2009">
        <f t="shared" si="18"/>
        <v>44075</v>
      </c>
      <c r="I68" s="2009">
        <f t="shared" si="18"/>
        <v>43983</v>
      </c>
      <c r="J68" s="2009">
        <f t="shared" si="18"/>
        <v>43891</v>
      </c>
      <c r="K68" s="2009">
        <f t="shared" si="18"/>
        <v>43800</v>
      </c>
      <c r="L68" s="2009">
        <f t="shared" si="18"/>
        <v>43709</v>
      </c>
      <c r="M68" s="2009">
        <f t="shared" si="18"/>
        <v>43617</v>
      </c>
      <c r="N68" s="2009">
        <f t="shared" si="18"/>
        <v>43525</v>
      </c>
      <c r="O68" s="2009">
        <f t="shared" si="18"/>
        <v>43435</v>
      </c>
    </row>
    <row r="69" spans="1:17" ht="21.75" thickBot="1">
      <c r="A69" s="1785" t="s">
        <v>2318</v>
      </c>
      <c r="B69" s="1760"/>
      <c r="C69" s="1786"/>
      <c r="D69" s="1786"/>
      <c r="E69" s="1786"/>
      <c r="F69" s="1786"/>
      <c r="G69" s="1786"/>
      <c r="H69" s="1786"/>
      <c r="I69" s="2011"/>
      <c r="J69" s="2011"/>
      <c r="K69" s="2012"/>
      <c r="L69" s="2013"/>
      <c r="M69" s="2011"/>
      <c r="N69" s="2011"/>
      <c r="O69" s="2011"/>
      <c r="P69" s="2014"/>
      <c r="Q69" s="1790"/>
    </row>
    <row r="70" spans="1:17" s="2019" customFormat="1" ht="15">
      <c r="A70" s="2015" t="s">
        <v>2417</v>
      </c>
      <c r="B70" s="2016"/>
      <c r="C70" s="2017" t="str">
        <f>YEAR(C68)&amp;"-"&amp;ROUNDUP(MONTH(C68)/3,0)</f>
        <v>2021-4</v>
      </c>
      <c r="D70" s="2017" t="str">
        <f>YEAR(D68)&amp;"-"&amp;ROUNDUP(MONTH(D68)/3,0)</f>
        <v>2021-3</v>
      </c>
      <c r="E70" s="2017" t="str">
        <f t="shared" ref="E70:O70" si="19">YEAR(E68)&amp;"-"&amp;ROUNDUP(MONTH(E68)/3,0)</f>
        <v>2021-2</v>
      </c>
      <c r="F70" s="2017" t="str">
        <f t="shared" si="19"/>
        <v>2021-1</v>
      </c>
      <c r="G70" s="2017" t="str">
        <f t="shared" si="19"/>
        <v>2020-4</v>
      </c>
      <c r="H70" s="2017" t="str">
        <f t="shared" si="19"/>
        <v>2020-3</v>
      </c>
      <c r="I70" s="2017" t="str">
        <f t="shared" si="19"/>
        <v>2020-2</v>
      </c>
      <c r="J70" s="2017" t="str">
        <f t="shared" si="19"/>
        <v>2020-1</v>
      </c>
      <c r="K70" s="2017" t="str">
        <f t="shared" si="19"/>
        <v>2019-4</v>
      </c>
      <c r="L70" s="2017" t="str">
        <f t="shared" si="19"/>
        <v>2019-3</v>
      </c>
      <c r="M70" s="2017" t="str">
        <f t="shared" si="19"/>
        <v>2019-2</v>
      </c>
      <c r="N70" s="2017" t="str">
        <f t="shared" si="19"/>
        <v>2019-1</v>
      </c>
      <c r="O70" s="2017" t="str">
        <f t="shared" si="19"/>
        <v>2018-4</v>
      </c>
      <c r="P70" s="2018"/>
    </row>
    <row r="71" spans="1:17" s="1653" customFormat="1" ht="29.25" customHeight="1">
      <c r="A71" s="2020" t="s">
        <v>2418</v>
      </c>
      <c r="B71" s="2021" t="str">
        <f>"北京市平均增长率"&amp;TEXT(SUMIF(基准地价修正!N21:N25,A71,基准地价修正!P21:P25),"0.00%")</f>
        <v>北京市平均增长率1.05%</v>
      </c>
      <c r="C71" s="1874">
        <v>100</v>
      </c>
      <c r="D71" s="1870"/>
      <c r="E71" s="1870"/>
      <c r="F71" s="1870"/>
      <c r="G71" s="1870"/>
      <c r="H71" s="1870"/>
      <c r="I71" s="1870"/>
      <c r="J71" s="1870"/>
      <c r="K71" s="1870"/>
      <c r="L71" s="1870"/>
      <c r="M71" s="2022"/>
      <c r="N71" s="1870"/>
      <c r="O71" s="2023"/>
      <c r="P71" s="1790"/>
    </row>
    <row r="72" spans="1:17" s="1653" customFormat="1" ht="15.75" thickBot="1">
      <c r="A72" s="1803" t="s">
        <v>2238</v>
      </c>
      <c r="B72" s="1804"/>
      <c r="C72" s="1805"/>
      <c r="D72" s="1806"/>
      <c r="E72" s="1806"/>
      <c r="F72" s="1806"/>
      <c r="G72" s="1806"/>
      <c r="H72" s="1806"/>
      <c r="I72" s="1806"/>
      <c r="J72" s="1806"/>
      <c r="K72" s="1806"/>
      <c r="L72" s="1806"/>
      <c r="M72" s="1807"/>
      <c r="N72" s="1806"/>
      <c r="O72" s="2024"/>
      <c r="P72" s="1790"/>
      <c r="Q72" s="1790"/>
    </row>
    <row r="73" spans="1:17" s="1653" customFormat="1" ht="15">
      <c r="A73" s="1808" t="s">
        <v>2202</v>
      </c>
      <c r="B73" s="1798"/>
      <c r="C73" s="1809" t="s">
        <v>2203</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2241</v>
      </c>
      <c r="B75" s="1816" t="s">
        <v>2206</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2209</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2210</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2211</v>
      </c>
      <c r="B88" s="1816" t="s">
        <v>2249</v>
      </c>
      <c r="C88" s="1854" t="s">
        <v>2250</v>
      </c>
      <c r="D88" s="1854" t="s">
        <v>2251</v>
      </c>
      <c r="E88" s="1854" t="s">
        <v>2252</v>
      </c>
      <c r="F88" s="1854" t="s">
        <v>2253</v>
      </c>
      <c r="G88" s="1854" t="s">
        <v>2254</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2419</v>
      </c>
      <c r="C90" s="579" t="s">
        <v>2250</v>
      </c>
      <c r="D90" s="579" t="s">
        <v>2251</v>
      </c>
      <c r="E90" s="579" t="s">
        <v>2252</v>
      </c>
      <c r="F90" s="579" t="s">
        <v>2253</v>
      </c>
      <c r="G90" s="579" t="s">
        <v>2254</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2337</v>
      </c>
      <c r="C92" s="579" t="s">
        <v>2250</v>
      </c>
      <c r="D92" s="579" t="s">
        <v>2251</v>
      </c>
      <c r="E92" s="579" t="s">
        <v>2252</v>
      </c>
      <c r="F92" s="579" t="s">
        <v>2253</v>
      </c>
      <c r="G92" s="579" t="s">
        <v>2254</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2255</v>
      </c>
      <c r="C94" s="579" t="s">
        <v>2250</v>
      </c>
      <c r="D94" s="579" t="s">
        <v>2251</v>
      </c>
      <c r="E94" s="579" t="s">
        <v>2252</v>
      </c>
      <c r="F94" s="579" t="s">
        <v>2253</v>
      </c>
      <c r="G94" s="579" t="s">
        <v>2254</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2420</v>
      </c>
      <c r="C96" s="579" t="s">
        <v>2250</v>
      </c>
      <c r="D96" s="579" t="s">
        <v>2251</v>
      </c>
      <c r="E96" s="579" t="s">
        <v>2252</v>
      </c>
      <c r="F96" s="579" t="s">
        <v>2253</v>
      </c>
      <c r="G96" s="579" t="s">
        <v>2254</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2421</v>
      </c>
      <c r="C98" s="1854" t="s">
        <v>2250</v>
      </c>
      <c r="D98" s="1854" t="s">
        <v>2251</v>
      </c>
      <c r="E98" s="1854" t="s">
        <v>2252</v>
      </c>
      <c r="F98" s="1854" t="s">
        <v>2253</v>
      </c>
      <c r="G98" s="1854" t="s">
        <v>2254</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2298</v>
      </c>
      <c r="C100" s="1854" t="s">
        <v>2250</v>
      </c>
      <c r="D100" s="1854" t="s">
        <v>2251</v>
      </c>
      <c r="E100" s="1854" t="s">
        <v>2252</v>
      </c>
      <c r="F100" s="1854" t="s">
        <v>2253</v>
      </c>
      <c r="G100" s="1854" t="s">
        <v>2254</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2299</v>
      </c>
      <c r="C102" s="1828" t="s">
        <v>2257</v>
      </c>
      <c r="D102" s="1828" t="s">
        <v>2258</v>
      </c>
      <c r="E102" s="1828" t="s">
        <v>2259</v>
      </c>
      <c r="F102" s="1828" t="s">
        <v>2260</v>
      </c>
      <c r="G102" s="1828" t="s">
        <v>2261</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2422</v>
      </c>
      <c r="D104" s="1828" t="s">
        <v>2423</v>
      </c>
      <c r="E104" s="1828" t="s">
        <v>2424</v>
      </c>
      <c r="F104" s="1828" t="s">
        <v>2425</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2330</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2391</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2216</v>
      </c>
      <c r="B116" s="1816" t="s">
        <v>2426</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2427</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2428</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2429</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2430</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2385</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2386</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94" t="s">
        <v>2188</v>
      </c>
      <c r="D4" s="3695"/>
      <c r="E4" s="3696" t="s">
        <v>2189</v>
      </c>
      <c r="F4" s="3697"/>
      <c r="G4" s="3694" t="s">
        <v>2190</v>
      </c>
      <c r="H4" s="3695"/>
      <c r="I4" s="3694" t="s">
        <v>2191</v>
      </c>
      <c r="J4" s="3695"/>
      <c r="K4" s="496" t="s">
        <v>2192</v>
      </c>
      <c r="L4" s="2992"/>
      <c r="M4" s="2993"/>
      <c r="N4" s="2993"/>
      <c r="O4" s="2993"/>
      <c r="P4" s="3698" t="s">
        <v>2193</v>
      </c>
      <c r="Q4" s="3699"/>
      <c r="R4" s="3681" t="s">
        <v>2189</v>
      </c>
      <c r="S4" s="3682"/>
      <c r="T4" s="3681" t="s">
        <v>2190</v>
      </c>
      <c r="U4" s="3682"/>
      <c r="V4" s="3704" t="s">
        <v>2191</v>
      </c>
      <c r="W4" s="3704"/>
      <c r="X4" s="1303"/>
      <c r="Y4" s="3681" t="s">
        <v>2193</v>
      </c>
      <c r="Z4" s="3682"/>
      <c r="AA4" s="3691" t="s">
        <v>2189</v>
      </c>
      <c r="AB4" s="3692" t="s">
        <v>2190</v>
      </c>
      <c r="AC4" s="3691" t="s">
        <v>2191</v>
      </c>
    </row>
    <row r="5" spans="1:29" ht="15">
      <c r="A5" s="297"/>
      <c r="B5" s="298"/>
      <c r="C5" s="3707" t="s">
        <v>2194</v>
      </c>
      <c r="D5" s="3708"/>
      <c r="E5" s="3705" t="s">
        <v>2195</v>
      </c>
      <c r="F5" s="3706"/>
      <c r="G5" s="3707" t="s">
        <v>2196</v>
      </c>
      <c r="H5" s="3708"/>
      <c r="I5" s="3707" t="s">
        <v>2197</v>
      </c>
      <c r="J5" s="3708"/>
      <c r="K5" s="496"/>
      <c r="L5" s="2992"/>
      <c r="M5" s="2993"/>
      <c r="N5" s="2993"/>
      <c r="O5" s="2993"/>
      <c r="P5" s="3700"/>
      <c r="Q5" s="3701"/>
      <c r="R5" s="3683"/>
      <c r="S5" s="3684"/>
      <c r="T5" s="3683"/>
      <c r="U5" s="3684"/>
      <c r="V5" s="3704"/>
      <c r="W5" s="3704"/>
      <c r="X5" s="1303"/>
      <c r="Y5" s="3683"/>
      <c r="Z5" s="3684"/>
      <c r="AA5" s="3692"/>
      <c r="AB5" s="3692"/>
      <c r="AC5" s="3692"/>
    </row>
    <row r="6" spans="1:29" ht="15.75" thickBot="1">
      <c r="A6" s="299"/>
      <c r="B6" s="300"/>
      <c r="C6" s="3709" t="s">
        <v>2198</v>
      </c>
      <c r="D6" s="3710"/>
      <c r="E6" s="3711" t="s">
        <v>2198</v>
      </c>
      <c r="F6" s="3712"/>
      <c r="G6" s="3709" t="s">
        <v>2198</v>
      </c>
      <c r="H6" s="3710"/>
      <c r="I6" s="3709" t="s">
        <v>2198</v>
      </c>
      <c r="J6" s="3710"/>
      <c r="K6" s="496" t="s">
        <v>2199</v>
      </c>
      <c r="L6" s="2992"/>
      <c r="M6" s="2993"/>
      <c r="N6" s="2993"/>
      <c r="O6" s="2993"/>
      <c r="P6" s="3702"/>
      <c r="Q6" s="3703"/>
      <c r="R6" s="3683"/>
      <c r="S6" s="3684"/>
      <c r="T6" s="3685"/>
      <c r="U6" s="3686"/>
      <c r="V6" s="3704"/>
      <c r="W6" s="3704"/>
      <c r="X6" s="1303"/>
      <c r="Y6" s="3685"/>
      <c r="Z6" s="3686"/>
      <c r="AA6" s="3693"/>
      <c r="AB6" s="3693"/>
      <c r="AC6" s="3693"/>
    </row>
    <row r="7" spans="1:29" s="25" customFormat="1" ht="15.75" thickBot="1">
      <c r="A7" s="301" t="s">
        <v>2200</v>
      </c>
      <c r="B7" s="302"/>
      <c r="C7" s="303">
        <f>'数据-取费表'!B2</f>
        <v>44545</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79" t="s">
        <v>2201</v>
      </c>
      <c r="Q7" s="3687"/>
      <c r="R7" s="626" t="s">
        <v>25</v>
      </c>
      <c r="S7" s="627">
        <f t="shared" ref="S7:S15" si="0">F7</f>
        <v>0</v>
      </c>
      <c r="T7" s="626" t="s">
        <v>25</v>
      </c>
      <c r="U7" s="627">
        <f t="shared" ref="U7:U15" si="1">H7</f>
        <v>0</v>
      </c>
      <c r="V7" s="626" t="s">
        <v>25</v>
      </c>
      <c r="W7" s="627">
        <f t="shared" ref="W7:W15" si="2">J7</f>
        <v>0</v>
      </c>
      <c r="X7" s="628"/>
      <c r="Y7" s="3679" t="s">
        <v>2201</v>
      </c>
      <c r="Z7" s="3680"/>
      <c r="AA7" s="629" t="e">
        <f>D7/F7</f>
        <v>#DIV/0!</v>
      </c>
      <c r="AB7" s="629" t="e">
        <f>D7/H7</f>
        <v>#DIV/0!</v>
      </c>
      <c r="AC7" s="629"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79" t="s">
        <v>2204</v>
      </c>
      <c r="Q8" s="3680"/>
      <c r="R8" s="626" t="s">
        <v>25</v>
      </c>
      <c r="S8" s="627">
        <f t="shared" si="0"/>
        <v>0</v>
      </c>
      <c r="T8" s="626" t="s">
        <v>25</v>
      </c>
      <c r="U8" s="627">
        <f t="shared" si="1"/>
        <v>0</v>
      </c>
      <c r="V8" s="626" t="s">
        <v>25</v>
      </c>
      <c r="W8" s="627">
        <f t="shared" si="2"/>
        <v>0</v>
      </c>
      <c r="X8" s="628"/>
      <c r="Y8" s="3679" t="s">
        <v>2204</v>
      </c>
      <c r="Z8" s="3680"/>
      <c r="AA8" s="629" t="e">
        <f t="shared" ref="AA8:AA40" si="3">D8/F8</f>
        <v>#DIV/0!</v>
      </c>
      <c r="AB8" s="629" t="e">
        <f t="shared" ref="AB8:AB40" si="4">D8/H8</f>
        <v>#DIV/0!</v>
      </c>
      <c r="AC8" s="629" t="e">
        <f t="shared" ref="AC8:AC40" si="5">D8/J8</f>
        <v>#DIV/0!</v>
      </c>
    </row>
    <row r="9" spans="1:29" s="25" customFormat="1">
      <c r="A9" s="308" t="s">
        <v>2205</v>
      </c>
      <c r="B9" s="24" t="s">
        <v>2206</v>
      </c>
      <c r="C9" s="1554" t="s">
        <v>2432</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1" t="s">
        <v>2207</v>
      </c>
      <c r="Q9" s="1295" t="str">
        <f t="shared" ref="Q9:Q15" si="6">B9</f>
        <v>用途</v>
      </c>
      <c r="R9" s="626" t="s">
        <v>25</v>
      </c>
      <c r="S9" s="627">
        <f t="shared" si="0"/>
        <v>100</v>
      </c>
      <c r="T9" s="626" t="s">
        <v>25</v>
      </c>
      <c r="U9" s="627">
        <f t="shared" si="1"/>
        <v>100</v>
      </c>
      <c r="V9" s="626" t="s">
        <v>25</v>
      </c>
      <c r="W9" s="627">
        <f t="shared" si="2"/>
        <v>100</v>
      </c>
      <c r="X9" s="628"/>
      <c r="Y9" s="3690" t="s">
        <v>2208</v>
      </c>
      <c r="Z9" s="19" t="str">
        <f t="shared" ref="Z9:Z15" si="7">Q9</f>
        <v>用途</v>
      </c>
      <c r="AA9" s="629">
        <f t="shared" si="3"/>
        <v>1</v>
      </c>
      <c r="AB9" s="629">
        <f t="shared" si="4"/>
        <v>1</v>
      </c>
      <c r="AC9" s="629">
        <f t="shared" si="5"/>
        <v>1</v>
      </c>
    </row>
    <row r="10" spans="1:29" s="317" customFormat="1" ht="27">
      <c r="A10" s="312"/>
      <c r="B10" s="313" t="s">
        <v>2209</v>
      </c>
      <c r="C10" s="322"/>
      <c r="D10" s="29">
        <v>100</v>
      </c>
      <c r="E10" s="322"/>
      <c r="F10" s="29">
        <f>ROUND(100/'数据-取费表'!B14,0)</f>
        <v>115</v>
      </c>
      <c r="G10" s="322"/>
      <c r="H10" s="29">
        <f>ROUND(100/'数据-取费表'!B14,0)</f>
        <v>115</v>
      </c>
      <c r="I10" s="322"/>
      <c r="J10" s="29">
        <f>ROUND(100/'数据-取费表'!B14,0)</f>
        <v>115</v>
      </c>
      <c r="K10" s="553"/>
      <c r="L10" s="2997"/>
      <c r="M10" s="2998"/>
      <c r="N10" s="2998"/>
      <c r="O10" s="2999"/>
      <c r="P10" s="3671"/>
      <c r="Q10" s="1295" t="str">
        <f t="shared" si="6"/>
        <v>土地使用年限（年）</v>
      </c>
      <c r="R10" s="626" t="s">
        <v>25</v>
      </c>
      <c r="S10" s="627">
        <f t="shared" si="0"/>
        <v>115</v>
      </c>
      <c r="T10" s="626" t="s">
        <v>25</v>
      </c>
      <c r="U10" s="627">
        <f t="shared" si="1"/>
        <v>115</v>
      </c>
      <c r="V10" s="626" t="s">
        <v>25</v>
      </c>
      <c r="W10" s="627">
        <f t="shared" si="2"/>
        <v>115</v>
      </c>
      <c r="X10" s="628"/>
      <c r="Y10" s="3690"/>
      <c r="Z10" s="19" t="str">
        <f t="shared" si="7"/>
        <v>土地使用年限（年）</v>
      </c>
      <c r="AA10" s="629">
        <f t="shared" si="3"/>
        <v>0.86956521739130432</v>
      </c>
      <c r="AB10" s="629">
        <f t="shared" si="4"/>
        <v>0.86956521739130432</v>
      </c>
      <c r="AC10" s="629">
        <f t="shared" si="5"/>
        <v>0.86956521739130432</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1"/>
      <c r="Q11" s="1295" t="str">
        <f t="shared" si="6"/>
        <v>容积率</v>
      </c>
      <c r="R11" s="626" t="s">
        <v>25</v>
      </c>
      <c r="S11" s="627" t="e">
        <f t="shared" si="0"/>
        <v>#N/A</v>
      </c>
      <c r="T11" s="626" t="s">
        <v>25</v>
      </c>
      <c r="U11" s="627" t="e">
        <f t="shared" si="1"/>
        <v>#N/A</v>
      </c>
      <c r="V11" s="626" t="s">
        <v>25</v>
      </c>
      <c r="W11" s="627" t="e">
        <f t="shared" si="2"/>
        <v>#N/A</v>
      </c>
      <c r="X11" s="628"/>
      <c r="Y11" s="3690"/>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1"/>
      <c r="Q12" s="1295">
        <f t="shared" si="6"/>
        <v>111</v>
      </c>
      <c r="R12" s="626" t="s">
        <v>25</v>
      </c>
      <c r="S12" s="627">
        <f t="shared" si="0"/>
        <v>100</v>
      </c>
      <c r="T12" s="626" t="s">
        <v>25</v>
      </c>
      <c r="U12" s="627">
        <f t="shared" si="1"/>
        <v>100</v>
      </c>
      <c r="V12" s="626" t="s">
        <v>25</v>
      </c>
      <c r="W12" s="627">
        <f t="shared" si="2"/>
        <v>100</v>
      </c>
      <c r="X12" s="628"/>
      <c r="Y12" s="3690"/>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1"/>
      <c r="Q13" s="1295">
        <f t="shared" si="6"/>
        <v>111</v>
      </c>
      <c r="R13" s="626" t="s">
        <v>25</v>
      </c>
      <c r="S13" s="627">
        <f t="shared" si="0"/>
        <v>100</v>
      </c>
      <c r="T13" s="626" t="s">
        <v>25</v>
      </c>
      <c r="U13" s="627">
        <f t="shared" si="1"/>
        <v>100</v>
      </c>
      <c r="V13" s="626" t="s">
        <v>25</v>
      </c>
      <c r="W13" s="627">
        <f t="shared" si="2"/>
        <v>100</v>
      </c>
      <c r="X13" s="628"/>
      <c r="Y13" s="3690"/>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1"/>
      <c r="Q14" s="1295">
        <f t="shared" si="6"/>
        <v>111</v>
      </c>
      <c r="R14" s="626" t="s">
        <v>25</v>
      </c>
      <c r="S14" s="627">
        <f t="shared" si="0"/>
        <v>100</v>
      </c>
      <c r="T14" s="626" t="s">
        <v>25</v>
      </c>
      <c r="U14" s="627">
        <f t="shared" si="1"/>
        <v>100</v>
      </c>
      <c r="V14" s="626" t="s">
        <v>25</v>
      </c>
      <c r="W14" s="627">
        <f t="shared" si="2"/>
        <v>100</v>
      </c>
      <c r="X14" s="628"/>
      <c r="Y14" s="3690"/>
      <c r="Z14" s="19">
        <f t="shared" si="7"/>
        <v>111</v>
      </c>
      <c r="AA14" s="629">
        <f t="shared" si="3"/>
        <v>1</v>
      </c>
      <c r="AB14" s="629">
        <f t="shared" si="4"/>
        <v>1</v>
      </c>
      <c r="AC14" s="629">
        <f t="shared" si="5"/>
        <v>1</v>
      </c>
    </row>
    <row r="15" spans="1:29" ht="57">
      <c r="A15" s="329" t="s">
        <v>2211</v>
      </c>
      <c r="B15" s="511" t="s">
        <v>2433</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88" t="s">
        <v>2212</v>
      </c>
      <c r="Q15" s="1302" t="str">
        <f t="shared" si="6"/>
        <v>产业集聚程度</v>
      </c>
      <c r="R15" s="630" t="s">
        <v>25</v>
      </c>
      <c r="S15" s="631">
        <f t="shared" si="0"/>
        <v>100</v>
      </c>
      <c r="T15" s="630" t="s">
        <v>25</v>
      </c>
      <c r="U15" s="631">
        <f t="shared" si="1"/>
        <v>100</v>
      </c>
      <c r="V15" s="630" t="s">
        <v>25</v>
      </c>
      <c r="W15" s="631">
        <f t="shared" si="2"/>
        <v>100</v>
      </c>
      <c r="X15" s="1303"/>
      <c r="Y15" s="3688" t="s">
        <v>2212</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689"/>
      <c r="Q16" s="1302"/>
      <c r="R16" s="630"/>
      <c r="S16" s="631"/>
      <c r="T16" s="630"/>
      <c r="U16" s="631"/>
      <c r="V16" s="630"/>
      <c r="W16" s="631"/>
      <c r="X16" s="1303"/>
      <c r="Y16" s="3689"/>
      <c r="Z16" s="1304"/>
      <c r="AA16" s="1305">
        <v>1</v>
      </c>
      <c r="AB16" s="1305">
        <v>1</v>
      </c>
      <c r="AC16" s="1305">
        <v>1</v>
      </c>
    </row>
    <row r="17" spans="1:29" ht="85.5">
      <c r="A17" s="318"/>
      <c r="B17" s="513" t="s">
        <v>2349</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89"/>
      <c r="Q17" s="1302" t="str">
        <f>B17</f>
        <v>交通便捷度</v>
      </c>
      <c r="R17" s="630" t="s">
        <v>25</v>
      </c>
      <c r="S17" s="631">
        <f>F17</f>
        <v>100</v>
      </c>
      <c r="T17" s="630" t="s">
        <v>25</v>
      </c>
      <c r="U17" s="631">
        <f>H17</f>
        <v>100</v>
      </c>
      <c r="V17" s="630" t="s">
        <v>25</v>
      </c>
      <c r="W17" s="631">
        <f>J17</f>
        <v>100</v>
      </c>
      <c r="X17" s="1303"/>
      <c r="Y17" s="3689"/>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689"/>
      <c r="Q18" s="1302"/>
      <c r="R18" s="630"/>
      <c r="S18" s="631"/>
      <c r="T18" s="630"/>
      <c r="U18" s="631"/>
      <c r="V18" s="630"/>
      <c r="W18" s="631"/>
      <c r="X18" s="1303"/>
      <c r="Y18" s="3689"/>
      <c r="Z18" s="1304"/>
      <c r="AA18" s="1305">
        <v>1</v>
      </c>
      <c r="AB18" s="1305">
        <v>1</v>
      </c>
      <c r="AC18" s="1305">
        <v>1</v>
      </c>
    </row>
    <row r="19" spans="1:29" ht="15">
      <c r="A19" s="318"/>
      <c r="B19" s="513" t="s">
        <v>2389</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89"/>
      <c r="Q19" s="1302" t="str">
        <f t="shared" ref="Q19:Q33" si="8">B19</f>
        <v>区域土地利用方向</v>
      </c>
      <c r="R19" s="630" t="s">
        <v>25</v>
      </c>
      <c r="S19" s="631">
        <f>F19</f>
        <v>100</v>
      </c>
      <c r="T19" s="630" t="s">
        <v>25</v>
      </c>
      <c r="U19" s="631">
        <f>H19</f>
        <v>100</v>
      </c>
      <c r="V19" s="630" t="s">
        <v>25</v>
      </c>
      <c r="W19" s="631">
        <f>J19</f>
        <v>100</v>
      </c>
      <c r="X19" s="1303"/>
      <c r="Y19" s="3689"/>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689"/>
      <c r="Q20" s="1302"/>
      <c r="R20" s="630"/>
      <c r="S20" s="631"/>
      <c r="T20" s="630"/>
      <c r="U20" s="631"/>
      <c r="V20" s="630"/>
      <c r="W20" s="631"/>
      <c r="X20" s="1303"/>
      <c r="Y20" s="3689"/>
      <c r="Z20" s="1304"/>
      <c r="AA20" s="1305"/>
      <c r="AB20" s="1305"/>
      <c r="AC20" s="1305"/>
    </row>
    <row r="21" spans="1:29" ht="71.25">
      <c r="A21" s="297"/>
      <c r="B21" s="513" t="s">
        <v>2434</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89"/>
      <c r="Q21" s="1302" t="str">
        <f t="shared" si="8"/>
        <v>环境状况</v>
      </c>
      <c r="R21" s="630" t="s">
        <v>25</v>
      </c>
      <c r="S21" s="631">
        <f>F21</f>
        <v>100</v>
      </c>
      <c r="T21" s="630" t="s">
        <v>25</v>
      </c>
      <c r="U21" s="631">
        <f>H21</f>
        <v>100</v>
      </c>
      <c r="V21" s="630" t="s">
        <v>25</v>
      </c>
      <c r="W21" s="631">
        <f>J21</f>
        <v>100</v>
      </c>
      <c r="X21" s="1303"/>
      <c r="Y21" s="3689"/>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689"/>
      <c r="Q22" s="1302"/>
      <c r="R22" s="630"/>
      <c r="S22" s="631"/>
      <c r="T22" s="630"/>
      <c r="U22" s="631"/>
      <c r="V22" s="630"/>
      <c r="W22" s="631"/>
      <c r="X22" s="1303"/>
      <c r="Y22" s="3689"/>
      <c r="Z22" s="1304"/>
      <c r="AA22" s="1305">
        <v>1</v>
      </c>
      <c r="AB22" s="1305">
        <v>1</v>
      </c>
      <c r="AC22" s="1305">
        <v>1</v>
      </c>
    </row>
    <row r="23" spans="1:29" s="25" customFormat="1" ht="42.75">
      <c r="A23" s="531"/>
      <c r="B23" s="513" t="s">
        <v>2298</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89"/>
      <c r="Q23" s="1295" t="str">
        <f t="shared" si="8"/>
        <v>公共配套设施</v>
      </c>
      <c r="R23" s="626" t="s">
        <v>25</v>
      </c>
      <c r="S23" s="627">
        <f>F23</f>
        <v>100</v>
      </c>
      <c r="T23" s="626" t="s">
        <v>25</v>
      </c>
      <c r="U23" s="627">
        <f>H23</f>
        <v>100</v>
      </c>
      <c r="V23" s="626" t="s">
        <v>25</v>
      </c>
      <c r="W23" s="627">
        <f>J23</f>
        <v>100</v>
      </c>
      <c r="X23" s="628"/>
      <c r="Y23" s="3689"/>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689"/>
      <c r="Q24" s="1295"/>
      <c r="R24" s="626"/>
      <c r="S24" s="627"/>
      <c r="T24" s="626"/>
      <c r="U24" s="627"/>
      <c r="V24" s="626"/>
      <c r="W24" s="627"/>
      <c r="X24" s="628"/>
      <c r="Y24" s="3689"/>
      <c r="Z24" s="19"/>
      <c r="AA24" s="629">
        <v>1</v>
      </c>
      <c r="AB24" s="629">
        <v>1</v>
      </c>
      <c r="AC24" s="629">
        <v>1</v>
      </c>
    </row>
    <row r="25" spans="1:29" s="25" customFormat="1" ht="28.5">
      <c r="A25" s="531"/>
      <c r="B25" s="515" t="s">
        <v>2299</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89"/>
      <c r="Q25" s="1295" t="str">
        <f t="shared" ref="Q25" si="9">B25</f>
        <v>基础设施水平</v>
      </c>
      <c r="R25" s="626" t="s">
        <v>25</v>
      </c>
      <c r="S25" s="627">
        <f>F25</f>
        <v>100</v>
      </c>
      <c r="T25" s="626" t="s">
        <v>25</v>
      </c>
      <c r="U25" s="627">
        <f>H25</f>
        <v>100</v>
      </c>
      <c r="V25" s="626" t="s">
        <v>25</v>
      </c>
      <c r="W25" s="627">
        <f>J25</f>
        <v>100</v>
      </c>
      <c r="X25" s="628"/>
      <c r="Y25" s="3689"/>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689"/>
      <c r="Q26" s="1295"/>
      <c r="R26" s="626"/>
      <c r="S26" s="627"/>
      <c r="T26" s="626"/>
      <c r="U26" s="627"/>
      <c r="V26" s="626"/>
      <c r="W26" s="627"/>
      <c r="X26" s="628"/>
      <c r="Y26" s="3689"/>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89"/>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89"/>
      <c r="Z27" s="1304" t="str">
        <f t="shared" ref="Z27:Z40" si="13">Q27</f>
        <v>临街状况</v>
      </c>
      <c r="AA27" s="1305">
        <f t="shared" si="3"/>
        <v>1</v>
      </c>
      <c r="AB27" s="1305">
        <f t="shared" si="4"/>
        <v>1</v>
      </c>
      <c r="AC27" s="1305">
        <f t="shared" si="5"/>
        <v>1</v>
      </c>
    </row>
    <row r="28" spans="1:29" ht="27">
      <c r="A28" s="318"/>
      <c r="B28" s="515" t="s">
        <v>2330</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89"/>
      <c r="Q28" s="1302" t="str">
        <f t="shared" si="8"/>
        <v>毗邻道路的类型与等级</v>
      </c>
      <c r="R28" s="630" t="s">
        <v>25</v>
      </c>
      <c r="S28" s="631">
        <f t="shared" si="10"/>
        <v>100</v>
      </c>
      <c r="T28" s="630" t="s">
        <v>25</v>
      </c>
      <c r="U28" s="631">
        <f t="shared" si="11"/>
        <v>100</v>
      </c>
      <c r="V28" s="630" t="s">
        <v>25</v>
      </c>
      <c r="W28" s="631">
        <f t="shared" si="12"/>
        <v>100</v>
      </c>
      <c r="X28" s="1303"/>
      <c r="Y28" s="3689"/>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689"/>
      <c r="Q29" s="1302"/>
      <c r="R29" s="630"/>
      <c r="S29" s="631"/>
      <c r="T29" s="630"/>
      <c r="U29" s="631"/>
      <c r="V29" s="630"/>
      <c r="W29" s="631"/>
      <c r="X29" s="1303"/>
      <c r="Y29" s="3689"/>
      <c r="Z29" s="1304"/>
      <c r="AA29" s="1305">
        <v>1</v>
      </c>
      <c r="AB29" s="1305">
        <v>1</v>
      </c>
      <c r="AC29" s="1305">
        <v>1</v>
      </c>
    </row>
    <row r="30" spans="1:29" ht="15">
      <c r="A30" s="318"/>
      <c r="B30" s="535" t="s">
        <v>2391</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89"/>
      <c r="Q30" s="1302" t="str">
        <f t="shared" si="8"/>
        <v>土地级别</v>
      </c>
      <c r="R30" s="630" t="s">
        <v>25</v>
      </c>
      <c r="S30" s="631">
        <f t="shared" si="10"/>
        <v>100</v>
      </c>
      <c r="T30" s="630" t="s">
        <v>25</v>
      </c>
      <c r="U30" s="631">
        <f t="shared" si="11"/>
        <v>100</v>
      </c>
      <c r="V30" s="630" t="s">
        <v>25</v>
      </c>
      <c r="W30" s="631">
        <f t="shared" si="12"/>
        <v>100</v>
      </c>
      <c r="X30" s="1303"/>
      <c r="Y30" s="3689"/>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89"/>
      <c r="Q31" s="1302">
        <f t="shared" si="8"/>
        <v>111</v>
      </c>
      <c r="R31" s="630" t="s">
        <v>25</v>
      </c>
      <c r="S31" s="631">
        <f t="shared" si="10"/>
        <v>100</v>
      </c>
      <c r="T31" s="630" t="s">
        <v>25</v>
      </c>
      <c r="U31" s="631">
        <f t="shared" si="11"/>
        <v>100</v>
      </c>
      <c r="V31" s="630" t="s">
        <v>25</v>
      </c>
      <c r="W31" s="631">
        <f t="shared" si="12"/>
        <v>100</v>
      </c>
      <c r="X31" s="1303"/>
      <c r="Y31" s="3689"/>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76" t="s">
        <v>2218</v>
      </c>
      <c r="Q32" s="1302">
        <f t="shared" si="8"/>
        <v>111</v>
      </c>
      <c r="R32" s="630" t="s">
        <v>25</v>
      </c>
      <c r="S32" s="631">
        <f t="shared" si="10"/>
        <v>100</v>
      </c>
      <c r="T32" s="630" t="s">
        <v>25</v>
      </c>
      <c r="U32" s="631">
        <f t="shared" si="11"/>
        <v>100</v>
      </c>
      <c r="V32" s="630" t="s">
        <v>25</v>
      </c>
      <c r="W32" s="631">
        <f t="shared" si="12"/>
        <v>100</v>
      </c>
      <c r="X32" s="1303"/>
      <c r="Y32" s="3677" t="s">
        <v>2218</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77"/>
      <c r="Q33" s="1302">
        <f t="shared" si="8"/>
        <v>111</v>
      </c>
      <c r="R33" s="633" t="s">
        <v>25</v>
      </c>
      <c r="S33" s="634">
        <f t="shared" si="10"/>
        <v>100</v>
      </c>
      <c r="T33" s="633" t="s">
        <v>25</v>
      </c>
      <c r="U33" s="634">
        <f t="shared" si="11"/>
        <v>100</v>
      </c>
      <c r="V33" s="633" t="s">
        <v>25</v>
      </c>
      <c r="W33" s="634">
        <f t="shared" si="12"/>
        <v>100</v>
      </c>
      <c r="X33" s="635"/>
      <c r="Y33" s="3677"/>
      <c r="Z33" s="636">
        <f t="shared" si="13"/>
        <v>111</v>
      </c>
      <c r="AA33" s="1305">
        <f t="shared" si="3"/>
        <v>1</v>
      </c>
      <c r="AB33" s="1305">
        <f t="shared" si="4"/>
        <v>1</v>
      </c>
      <c r="AC33" s="1305">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77"/>
      <c r="Q34" s="1302" t="str">
        <f>B34</f>
        <v>宗地面积</v>
      </c>
      <c r="R34" s="630" t="s">
        <v>25</v>
      </c>
      <c r="S34" s="631" t="e">
        <f t="shared" si="10"/>
        <v>#N/A</v>
      </c>
      <c r="T34" s="630" t="s">
        <v>25</v>
      </c>
      <c r="U34" s="631" t="e">
        <f t="shared" si="11"/>
        <v>#N/A</v>
      </c>
      <c r="V34" s="630" t="s">
        <v>25</v>
      </c>
      <c r="W34" s="631" t="e">
        <f t="shared" si="12"/>
        <v>#N/A</v>
      </c>
      <c r="X34" s="1303"/>
      <c r="Y34" s="3677"/>
      <c r="Z34" s="1304" t="str">
        <f t="shared" si="13"/>
        <v>宗地面积</v>
      </c>
      <c r="AA34" s="1305" t="e">
        <f t="shared" si="3"/>
        <v>#N/A</v>
      </c>
      <c r="AB34" s="1305" t="e">
        <f t="shared" si="4"/>
        <v>#N/A</v>
      </c>
      <c r="AC34" s="1305" t="e">
        <f t="shared" si="5"/>
        <v>#N/A</v>
      </c>
    </row>
    <row r="35" spans="1:29" ht="15">
      <c r="A35" s="360"/>
      <c r="B35" s="313" t="s">
        <v>2393</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77"/>
      <c r="Q35" s="1302" t="str">
        <f t="shared" ref="Q35:Q40" si="14">B35</f>
        <v>宗地形状</v>
      </c>
      <c r="R35" s="630" t="s">
        <v>25</v>
      </c>
      <c r="S35" s="631">
        <f t="shared" si="10"/>
        <v>100</v>
      </c>
      <c r="T35" s="630" t="s">
        <v>25</v>
      </c>
      <c r="U35" s="631">
        <f t="shared" si="11"/>
        <v>100</v>
      </c>
      <c r="V35" s="630" t="s">
        <v>25</v>
      </c>
      <c r="W35" s="631">
        <f t="shared" si="12"/>
        <v>100</v>
      </c>
      <c r="X35" s="1303"/>
      <c r="Y35" s="3677"/>
      <c r="Z35" s="1304" t="str">
        <f t="shared" si="13"/>
        <v>宗地形状</v>
      </c>
      <c r="AA35" s="1305">
        <f t="shared" si="3"/>
        <v>1</v>
      </c>
      <c r="AB35" s="1305">
        <f t="shared" si="4"/>
        <v>1</v>
      </c>
      <c r="AC35" s="1305">
        <f t="shared" si="5"/>
        <v>1</v>
      </c>
    </row>
    <row r="36" spans="1:29" s="25" customFormat="1" ht="15">
      <c r="A36" s="361"/>
      <c r="B36" s="313" t="s">
        <v>2395</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77"/>
      <c r="Q36" s="1302" t="str">
        <f t="shared" si="14"/>
        <v>宗地开发程度</v>
      </c>
      <c r="R36" s="626" t="s">
        <v>25</v>
      </c>
      <c r="S36" s="627">
        <f t="shared" si="10"/>
        <v>100</v>
      </c>
      <c r="T36" s="626" t="s">
        <v>25</v>
      </c>
      <c r="U36" s="627">
        <f t="shared" si="11"/>
        <v>100</v>
      </c>
      <c r="V36" s="626" t="s">
        <v>25</v>
      </c>
      <c r="W36" s="627">
        <f t="shared" si="12"/>
        <v>100</v>
      </c>
      <c r="X36" s="628"/>
      <c r="Y36" s="3677"/>
      <c r="Z36" s="19" t="str">
        <f t="shared" si="13"/>
        <v>宗地开发程度</v>
      </c>
      <c r="AA36" s="629">
        <f t="shared" si="3"/>
        <v>1</v>
      </c>
      <c r="AB36" s="629">
        <f t="shared" si="4"/>
        <v>1</v>
      </c>
      <c r="AC36" s="629">
        <f t="shared" si="5"/>
        <v>1</v>
      </c>
    </row>
    <row r="37" spans="1:29" ht="15">
      <c r="A37" s="360"/>
      <c r="B37" s="313" t="s">
        <v>2396</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77" t="s">
        <v>2218</v>
      </c>
      <c r="Q37" s="1302" t="str">
        <f t="shared" si="14"/>
        <v>工程地质条件</v>
      </c>
      <c r="R37" s="630" t="s">
        <v>25</v>
      </c>
      <c r="S37" s="631">
        <f t="shared" si="10"/>
        <v>100</v>
      </c>
      <c r="T37" s="630" t="s">
        <v>25</v>
      </c>
      <c r="U37" s="631">
        <f t="shared" si="11"/>
        <v>100</v>
      </c>
      <c r="V37" s="630" t="s">
        <v>25</v>
      </c>
      <c r="W37" s="631">
        <f t="shared" si="12"/>
        <v>100</v>
      </c>
      <c r="X37" s="1303"/>
      <c r="Y37" s="3677" t="s">
        <v>2218</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77"/>
      <c r="Q38" s="1302">
        <f t="shared" si="14"/>
        <v>111</v>
      </c>
      <c r="R38" s="630" t="s">
        <v>25</v>
      </c>
      <c r="S38" s="631">
        <f t="shared" si="10"/>
        <v>100</v>
      </c>
      <c r="T38" s="630" t="s">
        <v>25</v>
      </c>
      <c r="U38" s="631">
        <f t="shared" si="11"/>
        <v>100</v>
      </c>
      <c r="V38" s="630" t="s">
        <v>25</v>
      </c>
      <c r="W38" s="631">
        <f t="shared" si="12"/>
        <v>100</v>
      </c>
      <c r="X38" s="1303"/>
      <c r="Y38" s="3677"/>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77"/>
      <c r="Q39" s="1302">
        <f t="shared" si="14"/>
        <v>111</v>
      </c>
      <c r="R39" s="630" t="s">
        <v>25</v>
      </c>
      <c r="S39" s="631">
        <f t="shared" si="10"/>
        <v>100</v>
      </c>
      <c r="T39" s="630" t="s">
        <v>25</v>
      </c>
      <c r="U39" s="631">
        <f t="shared" si="11"/>
        <v>100</v>
      </c>
      <c r="V39" s="630" t="s">
        <v>25</v>
      </c>
      <c r="W39" s="631">
        <f t="shared" si="12"/>
        <v>100</v>
      </c>
      <c r="X39" s="1303"/>
      <c r="Y39" s="3677"/>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77"/>
      <c r="Q40" s="1302">
        <f t="shared" si="14"/>
        <v>111</v>
      </c>
      <c r="R40" s="633" t="s">
        <v>25</v>
      </c>
      <c r="S40" s="634">
        <f t="shared" si="10"/>
        <v>100</v>
      </c>
      <c r="T40" s="633" t="s">
        <v>25</v>
      </c>
      <c r="U40" s="634">
        <f t="shared" si="11"/>
        <v>100</v>
      </c>
      <c r="V40" s="633" t="s">
        <v>25</v>
      </c>
      <c r="W40" s="634">
        <f t="shared" si="12"/>
        <v>100</v>
      </c>
      <c r="X40" s="635"/>
      <c r="Y40" s="3677"/>
      <c r="Z40" s="636">
        <f t="shared" si="13"/>
        <v>111</v>
      </c>
      <c r="AA40" s="1305">
        <f t="shared" si="3"/>
        <v>1</v>
      </c>
      <c r="AB40" s="1305">
        <f t="shared" si="4"/>
        <v>1</v>
      </c>
      <c r="AC40" s="1305">
        <f t="shared" si="5"/>
        <v>1</v>
      </c>
    </row>
    <row r="41" spans="1:29" ht="15">
      <c r="A41" s="367" t="s">
        <v>2360</v>
      </c>
      <c r="B41" s="1559" t="s">
        <v>2435</v>
      </c>
      <c r="C41" s="562" t="s">
        <v>1</v>
      </c>
      <c r="D41" s="369"/>
      <c r="E41" s="370"/>
      <c r="F41" s="371"/>
      <c r="G41" s="372"/>
      <c r="H41" s="373"/>
      <c r="I41" s="370"/>
      <c r="J41" s="373"/>
      <c r="K41" s="639"/>
      <c r="L41" s="3004"/>
      <c r="M41" s="2993"/>
      <c r="N41" s="2993"/>
      <c r="P41" s="3671" t="str">
        <f>A41</f>
        <v>成交单价</v>
      </c>
      <c r="Q41" s="3671"/>
      <c r="R41" s="3704">
        <f>E41</f>
        <v>0</v>
      </c>
      <c r="S41" s="3704"/>
      <c r="T41" s="3704">
        <f>G41</f>
        <v>0</v>
      </c>
      <c r="U41" s="3704"/>
      <c r="V41" s="3704">
        <f>I41</f>
        <v>0</v>
      </c>
      <c r="W41" s="3704"/>
      <c r="X41" s="617"/>
      <c r="Y41" s="637"/>
      <c r="Z41" s="617"/>
      <c r="AA41" s="617"/>
      <c r="AB41" s="617"/>
      <c r="AC41" s="617"/>
    </row>
    <row r="42" spans="1:29" ht="15.75" thickBot="1">
      <c r="A42" s="374" t="s">
        <v>2313</v>
      </c>
      <c r="B42" s="563"/>
      <c r="C42" s="377" t="e">
        <f>R43</f>
        <v>#DIV/0!</v>
      </c>
      <c r="D42" s="1765" t="s">
        <v>2687</v>
      </c>
      <c r="E42" s="377" t="e">
        <f>R42</f>
        <v>#DIV/0!</v>
      </c>
      <c r="F42" s="1767"/>
      <c r="G42" s="376" t="e">
        <f>T42</f>
        <v>#DIV/0!</v>
      </c>
      <c r="H42" s="1767"/>
      <c r="I42" s="377" t="e">
        <f>V42</f>
        <v>#DIV/0!</v>
      </c>
      <c r="J42" s="1767"/>
      <c r="K42" s="2479">
        <f>F42+H42+J42</f>
        <v>0</v>
      </c>
      <c r="L42" s="3004"/>
      <c r="M42" s="2993"/>
      <c r="N42" s="2993"/>
      <c r="P42" s="3671" t="str">
        <f>A42</f>
        <v>比较价值（元/平方米）</v>
      </c>
      <c r="Q42" s="3671"/>
      <c r="R42" s="3716" t="e">
        <f>ROUND(PRODUCT(R41,AA7:AA40),0)</f>
        <v>#DIV/0!</v>
      </c>
      <c r="S42" s="3716"/>
      <c r="T42" s="3716" t="e">
        <f>ROUND(PRODUCT(T41,AB7:AB40),0)</f>
        <v>#DIV/0!</v>
      </c>
      <c r="U42" s="3716"/>
      <c r="V42" s="3716" t="e">
        <f>ROUND(PRODUCT(V41,AC7:AC40),0)</f>
        <v>#DIV/0!</v>
      </c>
      <c r="W42" s="3716"/>
      <c r="X42" s="617"/>
      <c r="Y42" s="617"/>
      <c r="Z42" s="617"/>
      <c r="AA42" s="617"/>
      <c r="AB42" s="617"/>
      <c r="AC42" s="617"/>
    </row>
    <row r="43" spans="1:29" ht="15.75" thickBot="1">
      <c r="A43" s="378" t="s">
        <v>2336</v>
      </c>
      <c r="B43" s="379"/>
      <c r="C43" s="380" t="e">
        <f>R43</f>
        <v>#DIV/0!</v>
      </c>
      <c r="D43" s="380"/>
      <c r="E43" s="380"/>
      <c r="F43" s="380"/>
      <c r="G43" s="380"/>
      <c r="H43" s="380"/>
      <c r="I43" s="380"/>
      <c r="J43" s="380"/>
      <c r="K43" s="640"/>
      <c r="L43" s="3004"/>
      <c r="M43" s="2993"/>
      <c r="N43" s="2993"/>
      <c r="P43" s="3673" t="str">
        <f>A43</f>
        <v>估价对象XX用房的比较价值（楼面单价，元/平方米）</v>
      </c>
      <c r="Q43" s="3674"/>
      <c r="R43" s="3715" t="e">
        <f>ROUND(IF(D42="简单平均",AVERAGE(R42:W42),R42*F42+T42*H42+V42*J42),0)</f>
        <v>#DIV/0!</v>
      </c>
      <c r="S43" s="3715"/>
      <c r="T43" s="3715"/>
      <c r="U43" s="3715"/>
      <c r="V43" s="3715"/>
      <c r="W43" s="3715"/>
      <c r="X43" s="617"/>
      <c r="Y43" s="617"/>
      <c r="Z43" s="617"/>
      <c r="AA43" s="617"/>
      <c r="AB43" s="617"/>
      <c r="AC43" s="617"/>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0" t="s">
        <v>2400</v>
      </c>
      <c r="D50" s="1561" t="s">
        <v>2401</v>
      </c>
      <c r="E50" s="566" t="s">
        <v>2402</v>
      </c>
      <c r="F50" s="567" t="s">
        <v>2403</v>
      </c>
      <c r="G50" s="1304" t="s">
        <v>2436</v>
      </c>
      <c r="H50" s="1304" t="str">
        <f>项目基本情况!G8</f>
        <v>XX</v>
      </c>
      <c r="I50" s="1278" t="s">
        <v>2405</v>
      </c>
      <c r="J50" s="956"/>
      <c r="K50" s="954"/>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2409</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2410</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2411</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2412</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2413</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2414</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2415</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2021-12-1</v>
      </c>
      <c r="D63" s="1151">
        <f>EDATE(C63,-3)</f>
        <v>44440</v>
      </c>
      <c r="E63" s="1151">
        <f t="shared" ref="E63:O63" si="18">EDATE(D63,-3)</f>
        <v>44348</v>
      </c>
      <c r="F63" s="1151">
        <f t="shared" si="18"/>
        <v>44256</v>
      </c>
      <c r="G63" s="1151">
        <f t="shared" si="18"/>
        <v>44166</v>
      </c>
      <c r="H63" s="1151">
        <f t="shared" si="18"/>
        <v>44075</v>
      </c>
      <c r="I63" s="1151">
        <f t="shared" si="18"/>
        <v>43983</v>
      </c>
      <c r="J63" s="1151">
        <f t="shared" si="18"/>
        <v>43891</v>
      </c>
      <c r="K63" s="1151">
        <f t="shared" si="18"/>
        <v>43800</v>
      </c>
      <c r="L63" s="1151">
        <f t="shared" si="18"/>
        <v>43709</v>
      </c>
      <c r="M63" s="1151">
        <f t="shared" si="18"/>
        <v>43617</v>
      </c>
      <c r="N63" s="1151">
        <f t="shared" si="18"/>
        <v>43525</v>
      </c>
      <c r="O63" s="1151">
        <f t="shared" si="18"/>
        <v>43435</v>
      </c>
    </row>
    <row r="64" spans="1:17" ht="21.75" thickBot="1">
      <c r="A64" s="619" t="s">
        <v>2318</v>
      </c>
      <c r="B64" s="617"/>
      <c r="C64" s="620"/>
      <c r="D64" s="620"/>
      <c r="E64" s="620"/>
      <c r="F64" s="621"/>
      <c r="G64" s="621"/>
      <c r="H64" s="620"/>
      <c r="I64" s="961"/>
      <c r="J64" s="961"/>
      <c r="K64" s="959"/>
      <c r="L64" s="960"/>
      <c r="M64" s="961"/>
      <c r="N64" s="961"/>
      <c r="O64" s="961"/>
      <c r="P64" s="389"/>
      <c r="Q64" s="390"/>
    </row>
    <row r="65" spans="1:17" s="394" customFormat="1" ht="15">
      <c r="A65" s="1563" t="s">
        <v>2417</v>
      </c>
      <c r="B65" s="1095"/>
      <c r="C65" s="1152" t="str">
        <f>YEAR(C63)&amp;"-"&amp;ROUNDUP(MONTH(C63)/3,0)</f>
        <v>2021-4</v>
      </c>
      <c r="D65" s="1152" t="str">
        <f t="shared" ref="D65:O65" si="19">YEAR(D63)&amp;"-"&amp;ROUNDUP(MONTH(D63)/3,0)</f>
        <v>2021-3</v>
      </c>
      <c r="E65" s="1152" t="str">
        <f t="shared" si="19"/>
        <v>2021-2</v>
      </c>
      <c r="F65" s="1152" t="str">
        <f t="shared" si="19"/>
        <v>2021-1</v>
      </c>
      <c r="G65" s="1152" t="str">
        <f t="shared" si="19"/>
        <v>2020-4</v>
      </c>
      <c r="H65" s="1152" t="str">
        <f t="shared" si="19"/>
        <v>2020-3</v>
      </c>
      <c r="I65" s="1152" t="str">
        <f t="shared" si="19"/>
        <v>2020-2</v>
      </c>
      <c r="J65" s="1152" t="str">
        <f t="shared" si="19"/>
        <v>2020-1</v>
      </c>
      <c r="K65" s="1152" t="str">
        <f t="shared" si="19"/>
        <v>2019-4</v>
      </c>
      <c r="L65" s="1152" t="str">
        <f t="shared" si="19"/>
        <v>2019-3</v>
      </c>
      <c r="M65" s="1152" t="str">
        <f t="shared" si="19"/>
        <v>2019-2</v>
      </c>
      <c r="N65" s="1152" t="str">
        <f t="shared" si="19"/>
        <v>2019-1</v>
      </c>
      <c r="O65" s="1152" t="str">
        <f t="shared" si="19"/>
        <v>2018-4</v>
      </c>
      <c r="P65" s="393"/>
    </row>
    <row r="66" spans="1:17" s="25" customFormat="1" ht="33.75" customHeight="1">
      <c r="A66" s="1568" t="s">
        <v>2437</v>
      </c>
      <c r="B66" s="200" t="str">
        <f>"北京市平均增长率"&amp;TEXT(基准地价修正!P24,"0.00%")</f>
        <v>北京市平均增长率1.22%</v>
      </c>
      <c r="C66" s="491">
        <v>100</v>
      </c>
      <c r="D66" s="483"/>
      <c r="E66" s="483"/>
      <c r="F66" s="483"/>
      <c r="G66" s="483"/>
      <c r="H66" s="483"/>
      <c r="I66" s="483"/>
      <c r="J66" s="483"/>
      <c r="K66" s="483"/>
      <c r="L66" s="483"/>
      <c r="M66" s="1150"/>
      <c r="N66" s="483"/>
      <c r="O66" s="1153"/>
      <c r="P66" s="390"/>
    </row>
    <row r="67" spans="1:17" s="25" customFormat="1" ht="15.75" thickBot="1">
      <c r="A67" s="400" t="s">
        <v>2238</v>
      </c>
      <c r="B67" s="401"/>
      <c r="C67" s="402"/>
      <c r="D67" s="403"/>
      <c r="E67" s="403"/>
      <c r="F67" s="403"/>
      <c r="G67" s="403"/>
      <c r="H67" s="403"/>
      <c r="I67" s="403"/>
      <c r="J67" s="403"/>
      <c r="K67" s="403"/>
      <c r="L67" s="403"/>
      <c r="M67" s="404"/>
      <c r="N67" s="403"/>
      <c r="O67" s="1154"/>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1197</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1198</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估价对象为北京市房地产，为XX所有。根据《》[]，估价对象建筑面积为58.79平方米。根据《》[]，估价对象（分摊）出让国有建设用地使用权面积为平方米。估价对象用途为。</v>
      </c>
      <c r="B6" s="1317"/>
      <c r="C6" s="1317"/>
      <c r="D6" s="1317"/>
      <c r="E6" s="1317"/>
      <c r="F6" s="1317"/>
      <c r="G6" s="1317"/>
    </row>
    <row r="7" spans="1:7" ht="18.75">
      <c r="A7" s="1318" t="s">
        <v>1199</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1200</v>
      </c>
      <c r="B9" s="1322"/>
    </row>
    <row r="10" spans="1:7" ht="18">
      <c r="A10" s="1323" t="str">
        <f>TEXT(项目基本情况!D2,"yyyy年m月d日;;")&amp;IF(项目基本情况!B2=项目基本情况!D2,"（评估专业人员实地查勘之日）","")</f>
        <v>2021年12月15日</v>
      </c>
      <c r="B10" s="1324"/>
      <c r="C10" s="1324"/>
      <c r="D10" s="1324"/>
      <c r="E10" s="1324"/>
      <c r="F10" s="1324"/>
      <c r="G10" s="1324"/>
    </row>
    <row r="11" spans="1:7" ht="18.75">
      <c r="A11" s="1315" t="s">
        <v>1201</v>
      </c>
    </row>
    <row r="12" spans="1:7" ht="75">
      <c r="A12" s="1317" t="s">
        <v>1202</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本次估价的“房地产价值”是指在正常市场情况下，在价值时点2021年12月15日，估价对象规划用途为，假定未设立法定优先受偿款下的房地产市场价值。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1196</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1195</v>
      </c>
    </row>
    <row r="18" spans="1:1" ht="18">
      <c r="A18" s="13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Normal="60" zoomScaleSheetLayoutView="100" workbookViewId="0">
      <selection activeCell="L39" sqref="L39"/>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2183</v>
      </c>
      <c r="B1" s="1606" t="s">
        <v>2325</v>
      </c>
      <c r="C1" s="1607" t="s">
        <v>3048</v>
      </c>
      <c r="D1" s="1606"/>
      <c r="E1" s="1609" t="s">
        <v>2688</v>
      </c>
      <c r="F1" s="1610" t="s">
        <v>2185</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1231</v>
      </c>
      <c r="B2" s="1618">
        <f>IF(D2="——",IF(C2="元",ROUND(C50*D3,0),ROUND(C50*D3/10000,0)),IF(C2="元",ROUND(C50*D3,0),ROUND(C50*D3/10000,0))-E2)</f>
        <v>125</v>
      </c>
      <c r="C2" s="1619" t="str">
        <f>'数据-取费表'!B3</f>
        <v>万元</v>
      </c>
      <c r="D2" s="1620" t="s">
        <v>1184</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1232</v>
      </c>
      <c r="B3" s="1931">
        <f>ROUND(IF(D2="——",C50,IF(C2="万元",B2*10000/D3,B2/D3)),0)</f>
        <v>21334</v>
      </c>
      <c r="C3" s="1628" t="s">
        <v>2186</v>
      </c>
      <c r="D3" s="1628">
        <f>IF(C1="仅计算典型户型",'数据-取费表'!E5,'数据-取费表'!B5)</f>
        <v>58.79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2187</v>
      </c>
      <c r="B4" s="1632"/>
      <c r="C4" s="3653" t="s">
        <v>2188</v>
      </c>
      <c r="D4" s="3654"/>
      <c r="E4" s="3655" t="s">
        <v>2189</v>
      </c>
      <c r="F4" s="3656"/>
      <c r="G4" s="3653" t="s">
        <v>2190</v>
      </c>
      <c r="H4" s="3654"/>
      <c r="I4" s="3653" t="s">
        <v>2191</v>
      </c>
      <c r="J4" s="3654"/>
      <c r="K4" s="1934" t="s">
        <v>2192</v>
      </c>
      <c r="L4" s="2964"/>
      <c r="M4" s="2965"/>
      <c r="N4" s="2965"/>
      <c r="O4" s="2965"/>
      <c r="P4" s="3657" t="s">
        <v>2193</v>
      </c>
      <c r="Q4" s="3658"/>
      <c r="R4" s="3642" t="s">
        <v>2189</v>
      </c>
      <c r="S4" s="3643"/>
      <c r="T4" s="3642" t="s">
        <v>2190</v>
      </c>
      <c r="U4" s="3643"/>
      <c r="V4" s="3663" t="s">
        <v>2191</v>
      </c>
      <c r="W4" s="3663"/>
      <c r="X4" s="3320"/>
      <c r="Y4" s="3642" t="s">
        <v>2193</v>
      </c>
      <c r="Z4" s="3643"/>
      <c r="AA4" s="3650" t="s">
        <v>2189</v>
      </c>
      <c r="AB4" s="3650" t="s">
        <v>2190</v>
      </c>
      <c r="AC4" s="3650" t="s">
        <v>2191</v>
      </c>
    </row>
    <row r="5" spans="1:29" ht="15">
      <c r="A5" s="1636"/>
      <c r="B5" s="1637"/>
      <c r="C5" s="3638" t="s">
        <v>2194</v>
      </c>
      <c r="D5" s="3639"/>
      <c r="E5" s="3669" t="s">
        <v>3023</v>
      </c>
      <c r="F5" s="3665"/>
      <c r="G5" s="3670" t="s">
        <v>3074</v>
      </c>
      <c r="H5" s="3639"/>
      <c r="I5" s="3670" t="s">
        <v>3024</v>
      </c>
      <c r="J5" s="3639"/>
      <c r="K5" s="1934"/>
      <c r="L5" s="2964"/>
      <c r="M5" s="2965"/>
      <c r="N5" s="2965"/>
      <c r="O5" s="2965"/>
      <c r="P5" s="3659"/>
      <c r="Q5" s="3660"/>
      <c r="R5" s="3644"/>
      <c r="S5" s="3645"/>
      <c r="T5" s="3644"/>
      <c r="U5" s="3645"/>
      <c r="V5" s="3663"/>
      <c r="W5" s="3663"/>
      <c r="X5" s="3320"/>
      <c r="Y5" s="3644"/>
      <c r="Z5" s="3645"/>
      <c r="AA5" s="3651"/>
      <c r="AB5" s="3651"/>
      <c r="AC5" s="3651"/>
    </row>
    <row r="6" spans="1:29" ht="15.75" thickBot="1">
      <c r="A6" s="1639"/>
      <c r="B6" s="1640"/>
      <c r="C6" s="3636" t="s">
        <v>2198</v>
      </c>
      <c r="D6" s="3637"/>
      <c r="E6" s="3666" t="s">
        <v>2198</v>
      </c>
      <c r="F6" s="3667"/>
      <c r="G6" s="3636" t="s">
        <v>2198</v>
      </c>
      <c r="H6" s="3637"/>
      <c r="I6" s="3636" t="s">
        <v>2198</v>
      </c>
      <c r="J6" s="3637"/>
      <c r="K6" s="1934" t="s">
        <v>2199</v>
      </c>
      <c r="L6" s="2964"/>
      <c r="M6" s="2965"/>
      <c r="N6" s="2965"/>
      <c r="O6" s="2965"/>
      <c r="P6" s="3661"/>
      <c r="Q6" s="3662"/>
      <c r="R6" s="3644"/>
      <c r="S6" s="3645"/>
      <c r="T6" s="3646"/>
      <c r="U6" s="3647"/>
      <c r="V6" s="3663"/>
      <c r="W6" s="3663"/>
      <c r="X6" s="3320"/>
      <c r="Y6" s="3646"/>
      <c r="Z6" s="3647"/>
      <c r="AA6" s="3652"/>
      <c r="AB6" s="3652"/>
      <c r="AC6" s="3652"/>
    </row>
    <row r="7" spans="1:29" s="1653" customFormat="1" ht="15.75" thickBot="1">
      <c r="A7" s="1641" t="s">
        <v>2200</v>
      </c>
      <c r="B7" s="1642"/>
      <c r="C7" s="1643">
        <f>'数据-取费表'!B2</f>
        <v>44545</v>
      </c>
      <c r="D7" s="1644">
        <v>100</v>
      </c>
      <c r="E7" s="1645">
        <f>C7</f>
        <v>44545</v>
      </c>
      <c r="F7" s="1646">
        <f>SUMIF(59:59,YEAR(E7)&amp;"-"&amp;MONTH(E7),60:60)</f>
        <v>100</v>
      </c>
      <c r="G7" s="1935">
        <f>E7</f>
        <v>44545</v>
      </c>
      <c r="H7" s="1644">
        <f>SUMIF(59:59,YEAR(G7)&amp;"-"&amp;MONTH(G7),60:60)</f>
        <v>100</v>
      </c>
      <c r="I7" s="1935">
        <f>G7</f>
        <v>44545</v>
      </c>
      <c r="J7" s="1644">
        <f>SUMIF(59:59,YEAR(I7)&amp;"-"&amp;MONTH(I7),60:60)</f>
        <v>100</v>
      </c>
      <c r="K7" s="1936"/>
      <c r="L7" s="2964"/>
      <c r="M7" s="2937"/>
      <c r="N7" s="2937"/>
      <c r="O7" s="2937"/>
      <c r="P7" s="3640" t="s">
        <v>2201</v>
      </c>
      <c r="Q7" s="3648"/>
      <c r="R7" s="1649" t="s">
        <v>25</v>
      </c>
      <c r="S7" s="1650">
        <f t="shared" ref="S7:S15" si="0">F7</f>
        <v>100</v>
      </c>
      <c r="T7" s="1649" t="s">
        <v>25</v>
      </c>
      <c r="U7" s="1650">
        <f t="shared" ref="U7:U15" si="1">H7</f>
        <v>100</v>
      </c>
      <c r="V7" s="1649" t="s">
        <v>25</v>
      </c>
      <c r="W7" s="1650">
        <f t="shared" ref="W7:W15" si="2">J7</f>
        <v>100</v>
      </c>
      <c r="X7" s="1651"/>
      <c r="Y7" s="3640" t="s">
        <v>2201</v>
      </c>
      <c r="Z7" s="3641"/>
      <c r="AA7" s="1652">
        <f>D7/F7</f>
        <v>1</v>
      </c>
      <c r="AB7" s="1652">
        <f>D7/H7</f>
        <v>1</v>
      </c>
      <c r="AC7" s="1652">
        <f>D7/J7</f>
        <v>1</v>
      </c>
    </row>
    <row r="8" spans="1:29" s="1653" customFormat="1" ht="15.75" thickBot="1">
      <c r="A8" s="1641" t="s">
        <v>2202</v>
      </c>
      <c r="B8" s="1642"/>
      <c r="C8" s="1654" t="s">
        <v>2203</v>
      </c>
      <c r="D8" s="1644">
        <v>100</v>
      </c>
      <c r="E8" s="1654" t="s">
        <v>2826</v>
      </c>
      <c r="F8" s="1646">
        <f>SUMIF(62:62,E8,63:63)-SUMIF(62:62,C8,63:63)+100</f>
        <v>100</v>
      </c>
      <c r="G8" s="1654" t="s">
        <v>2826</v>
      </c>
      <c r="H8" s="1644">
        <f>SUMIF(62:62,G8,63:63)-SUMIF(62:62,C8,63:63)+100</f>
        <v>100</v>
      </c>
      <c r="I8" s="1654" t="s">
        <v>2826</v>
      </c>
      <c r="J8" s="1644">
        <f>SUMIF(62:62,I8,63:63)-SUMIF(62:62,C8,63:63)+100</f>
        <v>100</v>
      </c>
      <c r="K8" s="1936"/>
      <c r="L8" s="2964"/>
      <c r="M8" s="2937"/>
      <c r="N8" s="2937"/>
      <c r="O8" s="2937"/>
      <c r="P8" s="3640" t="s">
        <v>2204</v>
      </c>
      <c r="Q8" s="3641"/>
      <c r="R8" s="1649" t="s">
        <v>25</v>
      </c>
      <c r="S8" s="1650">
        <f t="shared" si="0"/>
        <v>100</v>
      </c>
      <c r="T8" s="1649" t="s">
        <v>25</v>
      </c>
      <c r="U8" s="1650">
        <f t="shared" si="1"/>
        <v>100</v>
      </c>
      <c r="V8" s="1649" t="s">
        <v>25</v>
      </c>
      <c r="W8" s="1650">
        <f t="shared" si="2"/>
        <v>100</v>
      </c>
      <c r="X8" s="1651"/>
      <c r="Y8" s="3640" t="s">
        <v>2204</v>
      </c>
      <c r="Z8" s="3641"/>
      <c r="AA8" s="1652">
        <f t="shared" ref="AA8:AA47" si="3">D8/F8</f>
        <v>1</v>
      </c>
      <c r="AB8" s="1652">
        <f t="shared" ref="AB8:AB47" si="4">D8/H8</f>
        <v>1</v>
      </c>
      <c r="AC8" s="1652">
        <f t="shared" ref="AC8:AC47" si="5">D8/J8</f>
        <v>1</v>
      </c>
    </row>
    <row r="9" spans="1:29" s="1653" customFormat="1">
      <c r="A9" s="3314" t="s">
        <v>2205</v>
      </c>
      <c r="B9" s="1656" t="s">
        <v>2206</v>
      </c>
      <c r="C9" s="3322" t="s">
        <v>3015</v>
      </c>
      <c r="D9" s="1658">
        <v>100</v>
      </c>
      <c r="E9" s="3323" t="s">
        <v>3015</v>
      </c>
      <c r="F9" s="1658">
        <f>SUMIF(64:64,E9,65:65)-SUMIF(64:64,C9,65:65)+100</f>
        <v>100</v>
      </c>
      <c r="G9" s="3324" t="s">
        <v>3015</v>
      </c>
      <c r="H9" s="1658">
        <f>SUMIF(64:64,G9,65:65)-SUMIF(64:64,C9,65:65)+100</f>
        <v>100</v>
      </c>
      <c r="I9" s="3324" t="s">
        <v>3015</v>
      </c>
      <c r="J9" s="1658">
        <f>SUMIF(64:64,I9,65:65)-SUMIF(64:64,C9,65:65)+100</f>
        <v>100</v>
      </c>
      <c r="K9" s="1936"/>
      <c r="L9" s="2964"/>
      <c r="M9" s="2937"/>
      <c r="N9" s="2937"/>
      <c r="O9" s="2937"/>
      <c r="P9" s="3626" t="s">
        <v>2207</v>
      </c>
      <c r="Q9" s="3313" t="str">
        <f t="shared" ref="Q9:Q15" si="6">B9</f>
        <v>用途</v>
      </c>
      <c r="R9" s="1649" t="s">
        <v>25</v>
      </c>
      <c r="S9" s="1650">
        <f t="shared" si="0"/>
        <v>100</v>
      </c>
      <c r="T9" s="1649" t="s">
        <v>25</v>
      </c>
      <c r="U9" s="1650">
        <f t="shared" si="1"/>
        <v>100</v>
      </c>
      <c r="V9" s="1649" t="s">
        <v>25</v>
      </c>
      <c r="W9" s="1650">
        <f t="shared" si="2"/>
        <v>100</v>
      </c>
      <c r="X9" s="1651"/>
      <c r="Y9" s="3532" t="s">
        <v>2208</v>
      </c>
      <c r="Z9" s="1662" t="str">
        <f t="shared" ref="Z9:Z15" si="7">Q9</f>
        <v>用途</v>
      </c>
      <c r="AA9" s="1652">
        <f t="shared" si="3"/>
        <v>1</v>
      </c>
      <c r="AB9" s="1652">
        <f t="shared" si="4"/>
        <v>1</v>
      </c>
      <c r="AC9" s="1652">
        <f t="shared" si="5"/>
        <v>1</v>
      </c>
    </row>
    <row r="10" spans="1:29" s="1670" customFormat="1" ht="27">
      <c r="A10" s="1663"/>
      <c r="B10" s="1664" t="s">
        <v>2209</v>
      </c>
      <c r="C10" s="1665" t="s">
        <v>3025</v>
      </c>
      <c r="D10" s="1666">
        <v>100</v>
      </c>
      <c r="E10" s="1665" t="s">
        <v>3025</v>
      </c>
      <c r="F10" s="1666">
        <f>SUMIF(66:66,E10,67:67)-SUMIF(66:66,C10,67:67)+100</f>
        <v>100</v>
      </c>
      <c r="G10" s="1665" t="s">
        <v>3025</v>
      </c>
      <c r="H10" s="1666">
        <f>SUMIF(66:66,G10,67:67)-SUMIF(66:66,C10,67:67)+100</f>
        <v>100</v>
      </c>
      <c r="I10" s="1665" t="s">
        <v>3016</v>
      </c>
      <c r="J10" s="1666">
        <f>SUMIF(66:66,I10,67:67)-SUMIF(66:66,C10,67:67)+100</f>
        <v>102</v>
      </c>
      <c r="K10" s="1961">
        <v>2</v>
      </c>
      <c r="L10" s="2966"/>
      <c r="M10" s="2967"/>
      <c r="N10" s="2967"/>
      <c r="O10" s="2967"/>
      <c r="P10" s="3626"/>
      <c r="Q10" s="3313" t="str">
        <f t="shared" si="6"/>
        <v>土地使用年限（年）</v>
      </c>
      <c r="R10" s="1649" t="s">
        <v>25</v>
      </c>
      <c r="S10" s="1650">
        <f t="shared" si="0"/>
        <v>100</v>
      </c>
      <c r="T10" s="1649" t="s">
        <v>25</v>
      </c>
      <c r="U10" s="1650">
        <f t="shared" si="1"/>
        <v>100</v>
      </c>
      <c r="V10" s="1649" t="s">
        <v>25</v>
      </c>
      <c r="W10" s="1650">
        <f t="shared" si="2"/>
        <v>102</v>
      </c>
      <c r="X10" s="1651"/>
      <c r="Y10" s="3532"/>
      <c r="Z10" s="1662" t="str">
        <f t="shared" si="7"/>
        <v>土地使用年限（年）</v>
      </c>
      <c r="AA10" s="1652">
        <f t="shared" si="3"/>
        <v>1</v>
      </c>
      <c r="AB10" s="1652">
        <f t="shared" si="4"/>
        <v>1</v>
      </c>
      <c r="AC10" s="1652">
        <f t="shared" si="5"/>
        <v>0.98039215686274506</v>
      </c>
    </row>
    <row r="11" spans="1:29" ht="15.75" thickBot="1">
      <c r="A11" s="1671"/>
      <c r="B11" s="1664" t="s">
        <v>2210</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26"/>
      <c r="Q11" s="3313" t="str">
        <f t="shared" si="6"/>
        <v>容积率</v>
      </c>
      <c r="R11" s="1649" t="s">
        <v>25</v>
      </c>
      <c r="S11" s="1650">
        <f t="shared" si="0"/>
        <v>100</v>
      </c>
      <c r="T11" s="1649" t="s">
        <v>25</v>
      </c>
      <c r="U11" s="1650">
        <f t="shared" si="1"/>
        <v>100</v>
      </c>
      <c r="V11" s="1649" t="s">
        <v>25</v>
      </c>
      <c r="W11" s="1650">
        <f t="shared" si="2"/>
        <v>100</v>
      </c>
      <c r="X11" s="1651"/>
      <c r="Y11" s="3532"/>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26"/>
      <c r="Q12" s="3313">
        <f t="shared" si="6"/>
        <v>111</v>
      </c>
      <c r="R12" s="1649" t="s">
        <v>25</v>
      </c>
      <c r="S12" s="1650">
        <f t="shared" si="0"/>
        <v>100</v>
      </c>
      <c r="T12" s="1649" t="s">
        <v>25</v>
      </c>
      <c r="U12" s="1650">
        <f t="shared" si="1"/>
        <v>100</v>
      </c>
      <c r="V12" s="1649" t="s">
        <v>25</v>
      </c>
      <c r="W12" s="1650">
        <f t="shared" si="2"/>
        <v>100</v>
      </c>
      <c r="X12" s="1651"/>
      <c r="Y12" s="3532"/>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26"/>
      <c r="Q13" s="3313">
        <f t="shared" si="6"/>
        <v>111</v>
      </c>
      <c r="R13" s="1649" t="s">
        <v>25</v>
      </c>
      <c r="S13" s="1650">
        <f t="shared" si="0"/>
        <v>100</v>
      </c>
      <c r="T13" s="1649" t="s">
        <v>25</v>
      </c>
      <c r="U13" s="1650">
        <f t="shared" si="1"/>
        <v>100</v>
      </c>
      <c r="V13" s="1649" t="s">
        <v>25</v>
      </c>
      <c r="W13" s="1650">
        <f t="shared" si="2"/>
        <v>100</v>
      </c>
      <c r="X13" s="1651"/>
      <c r="Y13" s="3532"/>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26"/>
      <c r="Q14" s="3313">
        <f t="shared" si="6"/>
        <v>111</v>
      </c>
      <c r="R14" s="1649" t="s">
        <v>25</v>
      </c>
      <c r="S14" s="1650">
        <f t="shared" si="0"/>
        <v>100</v>
      </c>
      <c r="T14" s="1649" t="s">
        <v>25</v>
      </c>
      <c r="U14" s="1650">
        <f t="shared" si="1"/>
        <v>100</v>
      </c>
      <c r="V14" s="1649" t="s">
        <v>25</v>
      </c>
      <c r="W14" s="1650">
        <f t="shared" si="2"/>
        <v>100</v>
      </c>
      <c r="X14" s="1651"/>
      <c r="Y14" s="3532"/>
      <c r="Z14" s="1662">
        <f t="shared" si="7"/>
        <v>111</v>
      </c>
      <c r="AA14" s="1652">
        <f t="shared" si="3"/>
        <v>1</v>
      </c>
      <c r="AB14" s="1652">
        <f t="shared" si="4"/>
        <v>1</v>
      </c>
      <c r="AC14" s="1652">
        <f t="shared" si="5"/>
        <v>1</v>
      </c>
    </row>
    <row r="15" spans="1:29" ht="71.25">
      <c r="A15" s="1686" t="s">
        <v>2211</v>
      </c>
      <c r="B15" s="2461" t="s">
        <v>2326</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29" t="s">
        <v>2212</v>
      </c>
      <c r="Q15" s="3318" t="str">
        <f t="shared" si="6"/>
        <v>办公集聚程度</v>
      </c>
      <c r="R15" s="1694" t="s">
        <v>25</v>
      </c>
      <c r="S15" s="1695">
        <f t="shared" si="0"/>
        <v>100</v>
      </c>
      <c r="T15" s="1694" t="s">
        <v>25</v>
      </c>
      <c r="U15" s="1695">
        <f t="shared" si="1"/>
        <v>100</v>
      </c>
      <c r="V15" s="1694" t="s">
        <v>25</v>
      </c>
      <c r="W15" s="1695">
        <f t="shared" si="2"/>
        <v>100</v>
      </c>
      <c r="X15" s="3320"/>
      <c r="Y15" s="3629" t="s">
        <v>2212</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30"/>
      <c r="Q16" s="3318"/>
      <c r="R16" s="1694"/>
      <c r="S16" s="1695"/>
      <c r="T16" s="1694"/>
      <c r="U16" s="1695"/>
      <c r="V16" s="1694"/>
      <c r="W16" s="1695"/>
      <c r="X16" s="3320"/>
      <c r="Y16" s="3630"/>
      <c r="Z16" s="3321"/>
      <c r="AA16" s="3316">
        <v>1</v>
      </c>
      <c r="AB16" s="3316">
        <v>1</v>
      </c>
      <c r="AC16" s="3316">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30"/>
      <c r="Q17" s="3318" t="str">
        <f>B17</f>
        <v>交通便捷度</v>
      </c>
      <c r="R17" s="1694" t="s">
        <v>25</v>
      </c>
      <c r="S17" s="1695">
        <f>F17</f>
        <v>95</v>
      </c>
      <c r="T17" s="1694" t="s">
        <v>25</v>
      </c>
      <c r="U17" s="1695">
        <f>H17</f>
        <v>95</v>
      </c>
      <c r="V17" s="1694" t="s">
        <v>25</v>
      </c>
      <c r="W17" s="1695">
        <f>J17</f>
        <v>100</v>
      </c>
      <c r="X17" s="3320"/>
      <c r="Y17" s="3630"/>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30"/>
      <c r="Q18" s="3318"/>
      <c r="R18" s="1694"/>
      <c r="S18" s="1695"/>
      <c r="T18" s="1694"/>
      <c r="U18" s="1695"/>
      <c r="V18" s="1694"/>
      <c r="W18" s="1695"/>
      <c r="X18" s="3320"/>
      <c r="Y18" s="3630"/>
      <c r="Z18" s="3321"/>
      <c r="AA18" s="3316">
        <v>1</v>
      </c>
      <c r="AB18" s="3316">
        <v>1</v>
      </c>
      <c r="AC18" s="3316">
        <v>1</v>
      </c>
    </row>
    <row r="19" spans="1:29" ht="42.75">
      <c r="A19" s="1671"/>
      <c r="B19" s="2463" t="s">
        <v>2327</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30"/>
      <c r="Q19" s="3318" t="str">
        <f>B19</f>
        <v>公共配套设施</v>
      </c>
      <c r="R19" s="1694" t="s">
        <v>25</v>
      </c>
      <c r="S19" s="1695">
        <f>F19</f>
        <v>100</v>
      </c>
      <c r="T19" s="1694" t="s">
        <v>25</v>
      </c>
      <c r="U19" s="1695">
        <f>H19</f>
        <v>100</v>
      </c>
      <c r="V19" s="1694" t="s">
        <v>25</v>
      </c>
      <c r="W19" s="1695">
        <f>J19</f>
        <v>100</v>
      </c>
      <c r="X19" s="3320"/>
      <c r="Y19" s="3630"/>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30"/>
      <c r="Q20" s="3318"/>
      <c r="R20" s="1694"/>
      <c r="S20" s="1695"/>
      <c r="T20" s="1694"/>
      <c r="U20" s="1695"/>
      <c r="V20" s="1694"/>
      <c r="W20" s="1695"/>
      <c r="X20" s="3320"/>
      <c r="Y20" s="3630"/>
      <c r="Z20" s="3321"/>
      <c r="AA20" s="3316">
        <v>1</v>
      </c>
      <c r="AB20" s="3316">
        <v>1</v>
      </c>
      <c r="AC20" s="3316">
        <v>1</v>
      </c>
    </row>
    <row r="21" spans="1:29" ht="28.5">
      <c r="A21" s="1671"/>
      <c r="B21" s="2465" t="s">
        <v>2328</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30"/>
      <c r="Q21" s="3318" t="str">
        <f>B21</f>
        <v>基础设施水平</v>
      </c>
      <c r="R21" s="1694" t="s">
        <v>25</v>
      </c>
      <c r="S21" s="1695">
        <f>F21</f>
        <v>100</v>
      </c>
      <c r="T21" s="1694" t="s">
        <v>25</v>
      </c>
      <c r="U21" s="1695">
        <f>H21</f>
        <v>100</v>
      </c>
      <c r="V21" s="1694" t="s">
        <v>25</v>
      </c>
      <c r="W21" s="1695">
        <f>J21</f>
        <v>100</v>
      </c>
      <c r="X21" s="3320"/>
      <c r="Y21" s="3630"/>
      <c r="Z21" s="3321" t="str">
        <f>Q21</f>
        <v>基础设施水平</v>
      </c>
      <c r="AA21" s="3316">
        <f t="shared" ref="AA21" si="8">D21/F21</f>
        <v>1</v>
      </c>
      <c r="AB21" s="3316">
        <f t="shared" ref="AB21" si="9">D21/H21</f>
        <v>1</v>
      </c>
      <c r="AC21" s="3316">
        <f t="shared" ref="AC21" si="10">D21/J21</f>
        <v>1</v>
      </c>
    </row>
    <row r="22" spans="1:29" ht="15">
      <c r="A22" s="1671"/>
      <c r="B22" s="2465"/>
      <c r="C22" s="1948" t="s">
        <v>3026</v>
      </c>
      <c r="D22" s="1700"/>
      <c r="E22" s="1948" t="s">
        <v>3026</v>
      </c>
      <c r="F22" s="1700"/>
      <c r="G22" s="1948" t="s">
        <v>3026</v>
      </c>
      <c r="H22" s="1700"/>
      <c r="I22" s="1948" t="s">
        <v>3026</v>
      </c>
      <c r="J22" s="1700"/>
      <c r="K22" s="2443"/>
      <c r="L22" s="2969"/>
      <c r="M22" s="2965"/>
      <c r="N22" s="2965"/>
      <c r="O22" s="2965"/>
      <c r="P22" s="3630"/>
      <c r="Q22" s="3318"/>
      <c r="R22" s="1694"/>
      <c r="S22" s="1695"/>
      <c r="T22" s="1694"/>
      <c r="U22" s="1695"/>
      <c r="V22" s="1694"/>
      <c r="W22" s="1695"/>
      <c r="X22" s="3320"/>
      <c r="Y22" s="3630"/>
      <c r="Z22" s="3321"/>
      <c r="AA22" s="3316">
        <v>1</v>
      </c>
      <c r="AB22" s="3316">
        <v>1</v>
      </c>
      <c r="AC22" s="3316">
        <v>1</v>
      </c>
    </row>
    <row r="23" spans="1:29" ht="57">
      <c r="A23" s="1671"/>
      <c r="B23" s="2463" t="s">
        <v>2329</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30"/>
      <c r="Q23" s="3318" t="str">
        <f>B23</f>
        <v>环境质量</v>
      </c>
      <c r="R23" s="1694" t="s">
        <v>25</v>
      </c>
      <c r="S23" s="1695">
        <f>F23</f>
        <v>100</v>
      </c>
      <c r="T23" s="1694" t="s">
        <v>25</v>
      </c>
      <c r="U23" s="1695">
        <f>H23</f>
        <v>100</v>
      </c>
      <c r="V23" s="1694" t="s">
        <v>25</v>
      </c>
      <c r="W23" s="1695">
        <f>J23</f>
        <v>100</v>
      </c>
      <c r="X23" s="3320"/>
      <c r="Y23" s="3630"/>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30"/>
      <c r="Q24" s="3318"/>
      <c r="R24" s="1694"/>
      <c r="S24" s="1695"/>
      <c r="T24" s="1694"/>
      <c r="U24" s="1695"/>
      <c r="V24" s="1694"/>
      <c r="W24" s="1695"/>
      <c r="X24" s="3320"/>
      <c r="Y24" s="3630"/>
      <c r="Z24" s="3321"/>
      <c r="AA24" s="3316">
        <v>1</v>
      </c>
      <c r="AB24" s="3316">
        <v>1</v>
      </c>
      <c r="AC24" s="3316">
        <v>1</v>
      </c>
    </row>
    <row r="25" spans="1:29" ht="27" hidden="1">
      <c r="A25" s="1636"/>
      <c r="B25" s="2463" t="s">
        <v>2330</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0"/>
      <c r="Q25" s="3318" t="str">
        <f>B25</f>
        <v>毗邻道路的类型与等级</v>
      </c>
      <c r="R25" s="1694" t="s">
        <v>25</v>
      </c>
      <c r="S25" s="1695">
        <f>F25</f>
        <v>100</v>
      </c>
      <c r="T25" s="1694" t="s">
        <v>25</v>
      </c>
      <c r="U25" s="1695">
        <f>H25</f>
        <v>100</v>
      </c>
      <c r="V25" s="1694" t="s">
        <v>25</v>
      </c>
      <c r="W25" s="1695">
        <f>J25</f>
        <v>100</v>
      </c>
      <c r="X25" s="3320"/>
      <c r="Y25" s="3630"/>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30"/>
      <c r="Q26" s="3318"/>
      <c r="R26" s="1694"/>
      <c r="S26" s="1695"/>
      <c r="T26" s="1694"/>
      <c r="U26" s="1695"/>
      <c r="V26" s="1694"/>
      <c r="W26" s="1695"/>
      <c r="X26" s="3320"/>
      <c r="Y26" s="3630"/>
      <c r="Z26" s="3321"/>
      <c r="AA26" s="3316">
        <v>1</v>
      </c>
      <c r="AB26" s="3316">
        <v>1</v>
      </c>
      <c r="AC26" s="3316">
        <v>1</v>
      </c>
    </row>
    <row r="27" spans="1:29" ht="15" hidden="1">
      <c r="A27" s="1671"/>
      <c r="B27" s="2464" t="s">
        <v>2303</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0"/>
      <c r="Q27" s="3318" t="str">
        <f t="shared" ref="Q27:Q47" si="11">B27</f>
        <v>楼层</v>
      </c>
      <c r="R27" s="1694" t="s">
        <v>25</v>
      </c>
      <c r="S27" s="1695">
        <f>F27</f>
        <v>100</v>
      </c>
      <c r="T27" s="1694" t="s">
        <v>25</v>
      </c>
      <c r="U27" s="1695">
        <f>H27</f>
        <v>100</v>
      </c>
      <c r="V27" s="1694" t="s">
        <v>25</v>
      </c>
      <c r="W27" s="1695">
        <f>J27</f>
        <v>100</v>
      </c>
      <c r="X27" s="3320"/>
      <c r="Y27" s="3630"/>
      <c r="Z27" s="3321" t="str">
        <f>Q27</f>
        <v>楼层</v>
      </c>
      <c r="AA27" s="3316">
        <f t="shared" si="3"/>
        <v>1</v>
      </c>
      <c r="AB27" s="3316">
        <f t="shared" si="4"/>
        <v>1</v>
      </c>
      <c r="AC27" s="3316">
        <f t="shared" si="5"/>
        <v>1</v>
      </c>
    </row>
    <row r="28" spans="1:29" s="1653" customFormat="1" ht="15">
      <c r="A28" s="3315"/>
      <c r="B28" s="2463" t="s">
        <v>2331</v>
      </c>
      <c r="C28" s="2467" t="str">
        <f>位置图及面积明细!Q2</f>
        <v>南</v>
      </c>
      <c r="D28" s="1725">
        <v>100</v>
      </c>
      <c r="E28" s="3332" t="s">
        <v>3046</v>
      </c>
      <c r="F28" s="1725">
        <f>SUMIF(91:91,E28,92:92)-SUMIF(91:91,C28,92:92)+100</f>
        <v>97</v>
      </c>
      <c r="G28" s="3333" t="s">
        <v>3075</v>
      </c>
      <c r="H28" s="1725">
        <f>SUMIF(91:91,G28,92:92)-SUMIF(91:91,C28,92:92)+100</f>
        <v>97</v>
      </c>
      <c r="I28" s="3332" t="s">
        <v>3063</v>
      </c>
      <c r="J28" s="1725">
        <f>SUMIF(91:91,I28,92:92)-SUMIF(91:91,C28,92:92)+100</f>
        <v>100</v>
      </c>
      <c r="K28" s="1961">
        <v>1</v>
      </c>
      <c r="L28" s="2964"/>
      <c r="M28" s="2937"/>
      <c r="N28" s="2937"/>
      <c r="O28" s="2937"/>
      <c r="P28" s="3630"/>
      <c r="Q28" s="3313" t="str">
        <f t="shared" si="11"/>
        <v>朝向</v>
      </c>
      <c r="R28" s="1649" t="s">
        <v>25</v>
      </c>
      <c r="S28" s="1650">
        <f>F28</f>
        <v>97</v>
      </c>
      <c r="T28" s="1649" t="s">
        <v>25</v>
      </c>
      <c r="U28" s="1650">
        <f>H28</f>
        <v>97</v>
      </c>
      <c r="V28" s="1649" t="s">
        <v>25</v>
      </c>
      <c r="W28" s="1650">
        <f>J28</f>
        <v>100</v>
      </c>
      <c r="X28" s="1651"/>
      <c r="Y28" s="3630"/>
      <c r="Z28" s="1662" t="str">
        <f>Q28</f>
        <v>朝向</v>
      </c>
      <c r="AA28" s="3316">
        <f>D28/F28</f>
        <v>1.0309278350515463</v>
      </c>
      <c r="AB28" s="3316">
        <f>D28/H28</f>
        <v>1.0309278350515463</v>
      </c>
      <c r="AC28" s="3316">
        <f>D28/J28</f>
        <v>1</v>
      </c>
    </row>
    <row r="29" spans="1:29" ht="15.75" thickBot="1">
      <c r="A29" s="1671"/>
      <c r="B29" s="3327" t="s">
        <v>3022</v>
      </c>
      <c r="C29" s="3328" t="s">
        <v>3027</v>
      </c>
      <c r="D29" s="1680">
        <v>100</v>
      </c>
      <c r="E29" s="3329" t="s">
        <v>3027</v>
      </c>
      <c r="F29" s="1680">
        <f>SUMIF(93:93,E29,94:94)-SUMIF(93:93,C29,94:94)+100</f>
        <v>100</v>
      </c>
      <c r="G29" s="3330" t="s">
        <v>3027</v>
      </c>
      <c r="H29" s="1680">
        <f>SUMIF(93:93,G29,94:94)-SUMIF(93:93,C29,94:94)+100</f>
        <v>100</v>
      </c>
      <c r="I29" s="3329" t="s">
        <v>3062</v>
      </c>
      <c r="J29" s="1680">
        <f>SUMIF(93:93,I29,94:94)-SUMIF(93:93,C29,94:94)+100</f>
        <v>95</v>
      </c>
      <c r="K29" s="1958"/>
      <c r="L29" s="2969"/>
      <c r="M29" s="2965"/>
      <c r="N29" s="2965"/>
      <c r="O29" s="2965"/>
      <c r="P29" s="3630"/>
      <c r="Q29" s="3318" t="str">
        <f t="shared" si="11"/>
        <v>楼层</v>
      </c>
      <c r="R29" s="1694" t="s">
        <v>25</v>
      </c>
      <c r="S29" s="1695">
        <f t="shared" ref="S29:S47" si="12">F29</f>
        <v>100</v>
      </c>
      <c r="T29" s="1694" t="s">
        <v>25</v>
      </c>
      <c r="U29" s="1695">
        <f t="shared" ref="U29:U47" si="13">H29</f>
        <v>100</v>
      </c>
      <c r="V29" s="1694" t="s">
        <v>25</v>
      </c>
      <c r="W29" s="1695">
        <f t="shared" ref="W29:W47" si="14">J29</f>
        <v>95</v>
      </c>
      <c r="X29" s="3320"/>
      <c r="Y29" s="3630"/>
      <c r="Z29" s="3321" t="str">
        <f t="shared" ref="Z29:Z47" si="15">Q29</f>
        <v>楼层</v>
      </c>
      <c r="AA29" s="3316">
        <f t="shared" si="3"/>
        <v>1</v>
      </c>
      <c r="AB29" s="3316">
        <f t="shared" si="4"/>
        <v>1</v>
      </c>
      <c r="AC29" s="3316">
        <f t="shared" si="5"/>
        <v>1.0526315789473684</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0"/>
      <c r="Q30" s="3318">
        <f t="shared" si="11"/>
        <v>111</v>
      </c>
      <c r="R30" s="1694" t="s">
        <v>25</v>
      </c>
      <c r="S30" s="1695">
        <f t="shared" si="12"/>
        <v>100</v>
      </c>
      <c r="T30" s="1694" t="s">
        <v>25</v>
      </c>
      <c r="U30" s="1695">
        <f t="shared" si="13"/>
        <v>100</v>
      </c>
      <c r="V30" s="1694" t="s">
        <v>25</v>
      </c>
      <c r="W30" s="1695">
        <f t="shared" si="14"/>
        <v>100</v>
      </c>
      <c r="X30" s="3320"/>
      <c r="Y30" s="3630"/>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0"/>
      <c r="Q31" s="3318">
        <f t="shared" si="11"/>
        <v>111</v>
      </c>
      <c r="R31" s="1694" t="s">
        <v>25</v>
      </c>
      <c r="S31" s="1695">
        <f t="shared" si="12"/>
        <v>100</v>
      </c>
      <c r="T31" s="1694" t="s">
        <v>25</v>
      </c>
      <c r="U31" s="1695">
        <f t="shared" si="13"/>
        <v>100</v>
      </c>
      <c r="V31" s="1694" t="s">
        <v>25</v>
      </c>
      <c r="W31" s="1695">
        <f t="shared" si="14"/>
        <v>100</v>
      </c>
      <c r="X31" s="3320"/>
      <c r="Y31" s="3630"/>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0"/>
      <c r="Q32" s="3318">
        <f t="shared" si="11"/>
        <v>111</v>
      </c>
      <c r="R32" s="1694" t="s">
        <v>25</v>
      </c>
      <c r="S32" s="1695">
        <f t="shared" si="12"/>
        <v>100</v>
      </c>
      <c r="T32" s="1694" t="s">
        <v>25</v>
      </c>
      <c r="U32" s="1695">
        <f t="shared" si="13"/>
        <v>100</v>
      </c>
      <c r="V32" s="1694" t="s">
        <v>25</v>
      </c>
      <c r="W32" s="1695">
        <f t="shared" si="14"/>
        <v>100</v>
      </c>
      <c r="X32" s="3320"/>
      <c r="Y32" s="3630"/>
      <c r="Z32" s="3321">
        <f t="shared" si="15"/>
        <v>111</v>
      </c>
      <c r="AA32" s="3316">
        <f t="shared" si="3"/>
        <v>1</v>
      </c>
      <c r="AB32" s="3316">
        <f t="shared" si="4"/>
        <v>1</v>
      </c>
      <c r="AC32" s="3316">
        <f t="shared" si="5"/>
        <v>1</v>
      </c>
    </row>
    <row r="33" spans="1:29" ht="15">
      <c r="A33" s="1686" t="s">
        <v>2216</v>
      </c>
      <c r="B33" s="1656" t="s">
        <v>2332</v>
      </c>
      <c r="C33" s="2471" t="s">
        <v>3020</v>
      </c>
      <c r="D33" s="1731">
        <v>100</v>
      </c>
      <c r="E33" s="2471" t="s">
        <v>3020</v>
      </c>
      <c r="F33" s="1723">
        <f>SUMIF(101:101,E33,102:102)-SUMIF(101:101,C33,102:102)+100</f>
        <v>100</v>
      </c>
      <c r="G33" s="3339" t="s">
        <v>3020</v>
      </c>
      <c r="H33" s="1680">
        <f>SUMIF(101:101,G33,102:102)-SUMIF(101:101,C33,102:102)+100</f>
        <v>100</v>
      </c>
      <c r="I33" s="3339" t="s">
        <v>3020</v>
      </c>
      <c r="J33" s="1731">
        <f>SUMIF(101:101,I33,102:102)-SUMIF(101:101,C33,102:102)+100</f>
        <v>100</v>
      </c>
      <c r="K33" s="1961">
        <v>1</v>
      </c>
      <c r="L33" s="2969"/>
      <c r="M33" s="2965"/>
      <c r="N33" s="2965"/>
      <c r="O33" s="2965"/>
      <c r="P33" s="3668" t="s">
        <v>2218</v>
      </c>
      <c r="Q33" s="3318" t="str">
        <f t="shared" si="11"/>
        <v>建筑类型</v>
      </c>
      <c r="R33" s="1694" t="s">
        <v>25</v>
      </c>
      <c r="S33" s="1695">
        <f t="shared" si="12"/>
        <v>100</v>
      </c>
      <c r="T33" s="1694" t="s">
        <v>25</v>
      </c>
      <c r="U33" s="1695">
        <f t="shared" si="13"/>
        <v>100</v>
      </c>
      <c r="V33" s="1694" t="s">
        <v>25</v>
      </c>
      <c r="W33" s="1695">
        <f t="shared" si="14"/>
        <v>100</v>
      </c>
      <c r="X33" s="3320"/>
      <c r="Y33" s="3634" t="s">
        <v>2218</v>
      </c>
      <c r="Z33" s="3321" t="str">
        <f t="shared" si="15"/>
        <v>建筑类型</v>
      </c>
      <c r="AA33" s="3316">
        <f t="shared" si="3"/>
        <v>1</v>
      </c>
      <c r="AB33" s="3316">
        <f t="shared" si="4"/>
        <v>1</v>
      </c>
      <c r="AC33" s="3316">
        <f t="shared" si="5"/>
        <v>1</v>
      </c>
    </row>
    <row r="34" spans="1:29" s="1740" customFormat="1" ht="15">
      <c r="A34" s="1733"/>
      <c r="B34" s="1664" t="s">
        <v>2219</v>
      </c>
      <c r="C34" s="1734">
        <f>位置图及面积明细!$O$2</f>
        <v>58.79</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34"/>
      <c r="Q34" s="1735" t="str">
        <f t="shared" si="11"/>
        <v>项目建筑规模</v>
      </c>
      <c r="R34" s="1736" t="s">
        <v>25</v>
      </c>
      <c r="S34" s="1737">
        <f t="shared" si="12"/>
        <v>101</v>
      </c>
      <c r="T34" s="1736" t="s">
        <v>25</v>
      </c>
      <c r="U34" s="1737">
        <f t="shared" si="13"/>
        <v>101</v>
      </c>
      <c r="V34" s="1736" t="s">
        <v>25</v>
      </c>
      <c r="W34" s="1737">
        <f t="shared" si="14"/>
        <v>100</v>
      </c>
      <c r="X34" s="1738"/>
      <c r="Y34" s="3634"/>
      <c r="Z34" s="1739" t="str">
        <f t="shared" si="15"/>
        <v>项目建筑规模</v>
      </c>
      <c r="AA34" s="3316">
        <f t="shared" si="3"/>
        <v>0.99009900990099009</v>
      </c>
      <c r="AB34" s="3316">
        <f t="shared" si="4"/>
        <v>0.99009900990099009</v>
      </c>
      <c r="AC34" s="3316">
        <f t="shared" si="5"/>
        <v>1</v>
      </c>
    </row>
    <row r="35" spans="1:29" ht="15">
      <c r="A35" s="1741"/>
      <c r="B35" s="1664" t="s">
        <v>2220</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4"/>
      <c r="Q35" s="3318" t="str">
        <f t="shared" si="11"/>
        <v>建筑结构</v>
      </c>
      <c r="R35" s="1694" t="s">
        <v>25</v>
      </c>
      <c r="S35" s="1695">
        <f t="shared" si="12"/>
        <v>100</v>
      </c>
      <c r="T35" s="1694" t="s">
        <v>25</v>
      </c>
      <c r="U35" s="1695">
        <f t="shared" si="13"/>
        <v>100</v>
      </c>
      <c r="V35" s="1694" t="s">
        <v>25</v>
      </c>
      <c r="W35" s="1695">
        <f t="shared" si="14"/>
        <v>100</v>
      </c>
      <c r="X35" s="3320"/>
      <c r="Y35" s="3634"/>
      <c r="Z35" s="3321" t="str">
        <f t="shared" si="15"/>
        <v>建筑结构</v>
      </c>
      <c r="AA35" s="3316">
        <f t="shared" si="3"/>
        <v>1</v>
      </c>
      <c r="AB35" s="3316">
        <f t="shared" si="4"/>
        <v>1</v>
      </c>
      <c r="AC35" s="3316">
        <f t="shared" si="5"/>
        <v>1</v>
      </c>
    </row>
    <row r="36" spans="1:29" ht="15">
      <c r="A36" s="1741"/>
      <c r="B36" s="1664" t="s">
        <v>2305</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4"/>
      <c r="Q36" s="3318" t="str">
        <f t="shared" si="11"/>
        <v>公共部分装修</v>
      </c>
      <c r="R36" s="1694" t="s">
        <v>25</v>
      </c>
      <c r="S36" s="1695">
        <f t="shared" si="12"/>
        <v>100</v>
      </c>
      <c r="T36" s="1694" t="s">
        <v>25</v>
      </c>
      <c r="U36" s="1695">
        <f t="shared" si="13"/>
        <v>100</v>
      </c>
      <c r="V36" s="1694" t="s">
        <v>25</v>
      </c>
      <c r="W36" s="1695">
        <f t="shared" si="14"/>
        <v>100</v>
      </c>
      <c r="X36" s="3320"/>
      <c r="Y36" s="3634"/>
      <c r="Z36" s="3321" t="str">
        <f t="shared" si="15"/>
        <v>公共部分装修</v>
      </c>
      <c r="AA36" s="3316">
        <f t="shared" si="3"/>
        <v>1</v>
      </c>
      <c r="AB36" s="3316">
        <f t="shared" si="4"/>
        <v>1</v>
      </c>
      <c r="AC36" s="3316">
        <f t="shared" si="5"/>
        <v>1</v>
      </c>
    </row>
    <row r="37" spans="1:29" ht="15">
      <c r="A37" s="1741"/>
      <c r="B37" s="1664" t="s">
        <v>2306</v>
      </c>
      <c r="C37" s="1745">
        <f>'数据-取费表'!E20</f>
        <v>0.95</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34"/>
      <c r="Q37" s="3318" t="str">
        <f t="shared" si="11"/>
        <v>成新度</v>
      </c>
      <c r="R37" s="1694" t="s">
        <v>25</v>
      </c>
      <c r="S37" s="1695">
        <f t="shared" si="12"/>
        <v>97</v>
      </c>
      <c r="T37" s="1694" t="s">
        <v>25</v>
      </c>
      <c r="U37" s="1695">
        <f t="shared" si="13"/>
        <v>97</v>
      </c>
      <c r="V37" s="1694" t="s">
        <v>25</v>
      </c>
      <c r="W37" s="1695">
        <f t="shared" si="14"/>
        <v>100</v>
      </c>
      <c r="X37" s="3320"/>
      <c r="Y37" s="3634"/>
      <c r="Z37" s="3321" t="str">
        <f t="shared" si="15"/>
        <v>成新度</v>
      </c>
      <c r="AA37" s="3316">
        <f t="shared" si="3"/>
        <v>1.0309278350515463</v>
      </c>
      <c r="AB37" s="3316">
        <f t="shared" si="4"/>
        <v>1.0309278350515463</v>
      </c>
      <c r="AC37" s="3316">
        <f t="shared" si="5"/>
        <v>1</v>
      </c>
    </row>
    <row r="38" spans="1:29" s="1653" customFormat="1" ht="15">
      <c r="A38" s="1744"/>
      <c r="B38" s="1664" t="s">
        <v>2333</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4"/>
      <c r="Q38" s="3313" t="str">
        <f t="shared" si="11"/>
        <v>写字楼等级</v>
      </c>
      <c r="R38" s="1649" t="s">
        <v>25</v>
      </c>
      <c r="S38" s="1650">
        <f t="shared" si="12"/>
        <v>100</v>
      </c>
      <c r="T38" s="1649" t="s">
        <v>25</v>
      </c>
      <c r="U38" s="1650">
        <f t="shared" si="13"/>
        <v>100</v>
      </c>
      <c r="V38" s="1649" t="s">
        <v>25</v>
      </c>
      <c r="W38" s="1650">
        <f t="shared" si="14"/>
        <v>100</v>
      </c>
      <c r="X38" s="1651"/>
      <c r="Y38" s="3634"/>
      <c r="Z38" s="1662" t="str">
        <f t="shared" si="15"/>
        <v>写字楼等级</v>
      </c>
      <c r="AA38" s="1652">
        <f t="shared" si="3"/>
        <v>1</v>
      </c>
      <c r="AB38" s="1652">
        <f t="shared" si="4"/>
        <v>1</v>
      </c>
      <c r="AC38" s="1652">
        <f t="shared" si="5"/>
        <v>1</v>
      </c>
    </row>
    <row r="39" spans="1:29" ht="15">
      <c r="A39" s="1741"/>
      <c r="B39" s="1664" t="s">
        <v>2334</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4" t="s">
        <v>2218</v>
      </c>
      <c r="Q39" s="3318" t="str">
        <f t="shared" si="11"/>
        <v>物业管理</v>
      </c>
      <c r="R39" s="1694" t="s">
        <v>25</v>
      </c>
      <c r="S39" s="1695">
        <f t="shared" si="12"/>
        <v>100</v>
      </c>
      <c r="T39" s="1694" t="s">
        <v>25</v>
      </c>
      <c r="U39" s="1695">
        <f t="shared" si="13"/>
        <v>100</v>
      </c>
      <c r="V39" s="1694" t="s">
        <v>25</v>
      </c>
      <c r="W39" s="1695">
        <f t="shared" si="14"/>
        <v>100</v>
      </c>
      <c r="X39" s="3320"/>
      <c r="Y39" s="3634" t="s">
        <v>2218</v>
      </c>
      <c r="Z39" s="3321" t="str">
        <f t="shared" si="15"/>
        <v>物业管理</v>
      </c>
      <c r="AA39" s="3316">
        <f t="shared" si="3"/>
        <v>1</v>
      </c>
      <c r="AB39" s="3316">
        <f t="shared" si="4"/>
        <v>1</v>
      </c>
      <c r="AC39" s="3316">
        <f t="shared" si="5"/>
        <v>1</v>
      </c>
    </row>
    <row r="40" spans="1:29" ht="15">
      <c r="A40" s="1741"/>
      <c r="B40" s="1664" t="s">
        <v>2307</v>
      </c>
      <c r="C40" s="1721" t="s">
        <v>3072</v>
      </c>
      <c r="D40" s="1680">
        <v>100</v>
      </c>
      <c r="E40" s="1721" t="s">
        <v>3072</v>
      </c>
      <c r="F40" s="1723">
        <f>SUMIF(117:117,E40,118:118)-SUMIF(117:117,C40,118:118)+100</f>
        <v>100</v>
      </c>
      <c r="G40" s="1721" t="s">
        <v>3072</v>
      </c>
      <c r="H40" s="1680">
        <f>SUMIF(117:117,G40,118:118)-SUMIF(117:117,C40,118:118)+100</f>
        <v>100</v>
      </c>
      <c r="I40" s="1721" t="s">
        <v>3072</v>
      </c>
      <c r="J40" s="1680">
        <f>SUMIF(117:117,I40,118:118)-SUMIF(117:117,C40,118:118)+100</f>
        <v>100</v>
      </c>
      <c r="K40" s="1961">
        <v>1</v>
      </c>
      <c r="L40" s="2969"/>
      <c r="M40" s="2965"/>
      <c r="N40" s="2965"/>
      <c r="O40" s="2965"/>
      <c r="P40" s="3634"/>
      <c r="Q40" s="3318" t="str">
        <f t="shared" si="11"/>
        <v>市政基础设施</v>
      </c>
      <c r="R40" s="1694" t="s">
        <v>25</v>
      </c>
      <c r="S40" s="1695">
        <f t="shared" si="12"/>
        <v>100</v>
      </c>
      <c r="T40" s="1694" t="s">
        <v>25</v>
      </c>
      <c r="U40" s="1695">
        <f t="shared" si="13"/>
        <v>100</v>
      </c>
      <c r="V40" s="1694" t="s">
        <v>25</v>
      </c>
      <c r="W40" s="1695">
        <f t="shared" si="14"/>
        <v>100</v>
      </c>
      <c r="X40" s="3320"/>
      <c r="Y40" s="3634"/>
      <c r="Z40" s="3321" t="str">
        <f t="shared" si="15"/>
        <v>市政基础设施</v>
      </c>
      <c r="AA40" s="3316">
        <f t="shared" si="3"/>
        <v>1</v>
      </c>
      <c r="AB40" s="3316">
        <f t="shared" si="4"/>
        <v>1</v>
      </c>
      <c r="AC40" s="3316">
        <f t="shared" si="5"/>
        <v>1</v>
      </c>
    </row>
    <row r="41" spans="1:29" ht="15">
      <c r="A41" s="1741"/>
      <c r="B41" s="1664" t="s">
        <v>2309</v>
      </c>
      <c r="C41" s="1960" t="s">
        <v>3068</v>
      </c>
      <c r="D41" s="1680">
        <v>100</v>
      </c>
      <c r="E41" s="1960" t="s">
        <v>3070</v>
      </c>
      <c r="F41" s="1723">
        <f>SUMIF(119:119,E41,120:120)-SUMIF(119:119,C41,120:120)+100</f>
        <v>99</v>
      </c>
      <c r="G41" s="1960" t="s">
        <v>3070</v>
      </c>
      <c r="H41" s="1680">
        <f>SUMIF(119:119,G41,120:120)-SUMIF(119:119,C41,120:120)+100</f>
        <v>99</v>
      </c>
      <c r="I41" s="1960" t="s">
        <v>3070</v>
      </c>
      <c r="J41" s="1680">
        <f>SUMIF(119:119,I41,120:120)-SUMIF(119:119,C41,120:120)+100</f>
        <v>99</v>
      </c>
      <c r="K41" s="1961">
        <v>1</v>
      </c>
      <c r="L41" s="2969"/>
      <c r="M41" s="2965"/>
      <c r="N41" s="2965"/>
      <c r="O41" s="2965"/>
      <c r="P41" s="3634"/>
      <c r="Q41" s="3318" t="str">
        <f t="shared" si="11"/>
        <v>层高</v>
      </c>
      <c r="R41" s="1694" t="s">
        <v>25</v>
      </c>
      <c r="S41" s="1695">
        <f t="shared" si="12"/>
        <v>99</v>
      </c>
      <c r="T41" s="1694" t="s">
        <v>25</v>
      </c>
      <c r="U41" s="1695">
        <f t="shared" si="13"/>
        <v>99</v>
      </c>
      <c r="V41" s="1694" t="s">
        <v>25</v>
      </c>
      <c r="W41" s="1695">
        <f t="shared" si="14"/>
        <v>99</v>
      </c>
      <c r="X41" s="3320"/>
      <c r="Y41" s="3634"/>
      <c r="Z41" s="3321" t="str">
        <f t="shared" si="15"/>
        <v>层高</v>
      </c>
      <c r="AA41" s="3316">
        <f t="shared" si="3"/>
        <v>1.0101010101010102</v>
      </c>
      <c r="AB41" s="3316">
        <f t="shared" si="4"/>
        <v>1.0101010101010102</v>
      </c>
      <c r="AC41" s="3316">
        <f t="shared" si="5"/>
        <v>1.0101010101010102</v>
      </c>
    </row>
    <row r="42" spans="1:29" s="1740" customFormat="1" ht="15">
      <c r="A42" s="1733"/>
      <c r="B42" s="3317" t="s">
        <v>2335</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4"/>
      <c r="Q42" s="1735" t="str">
        <f t="shared" si="11"/>
        <v>单套建筑面积</v>
      </c>
      <c r="R42" s="1736" t="s">
        <v>25</v>
      </c>
      <c r="S42" s="1737">
        <f t="shared" si="12"/>
        <v>100</v>
      </c>
      <c r="T42" s="1736" t="s">
        <v>25</v>
      </c>
      <c r="U42" s="1737">
        <f t="shared" si="13"/>
        <v>100</v>
      </c>
      <c r="V42" s="1736" t="s">
        <v>25</v>
      </c>
      <c r="W42" s="1737">
        <f t="shared" si="14"/>
        <v>100</v>
      </c>
      <c r="X42" s="1738"/>
      <c r="Y42" s="3634"/>
      <c r="Z42" s="1739" t="str">
        <f t="shared" si="15"/>
        <v>单套建筑面积</v>
      </c>
      <c r="AA42" s="3316">
        <f t="shared" si="3"/>
        <v>1</v>
      </c>
      <c r="AB42" s="3316">
        <f t="shared" si="4"/>
        <v>1</v>
      </c>
      <c r="AC42" s="3316">
        <f t="shared" si="5"/>
        <v>1</v>
      </c>
    </row>
    <row r="43" spans="1:29" ht="15">
      <c r="A43" s="1741"/>
      <c r="B43" s="1664" t="s">
        <v>2312</v>
      </c>
      <c r="C43" s="3340" t="s">
        <v>3064</v>
      </c>
      <c r="D43" s="1680">
        <v>100</v>
      </c>
      <c r="E43" s="3340" t="s">
        <v>3065</v>
      </c>
      <c r="F43" s="1723">
        <f>SUMIF(123:123,E43,124:124)-SUMIF(123:123,C43,124:124)+100</f>
        <v>102</v>
      </c>
      <c r="G43" s="3340" t="s">
        <v>3065</v>
      </c>
      <c r="H43" s="1680">
        <f>SUMIF(123:123,G43,124:124)-SUMIF(123:123,C43,124:124)+100</f>
        <v>102</v>
      </c>
      <c r="I43" s="3340" t="s">
        <v>3065</v>
      </c>
      <c r="J43" s="1680">
        <f>SUMIF(123:123,I43,124:124)-SUMIF(123:123,C43,124:124)+100</f>
        <v>102</v>
      </c>
      <c r="K43" s="1961">
        <v>1</v>
      </c>
      <c r="L43" s="2969"/>
      <c r="M43" s="2965"/>
      <c r="N43" s="2965"/>
      <c r="O43" s="2965"/>
      <c r="P43" s="3634"/>
      <c r="Q43" s="3318" t="str">
        <f t="shared" si="11"/>
        <v>内部装修</v>
      </c>
      <c r="R43" s="1694" t="s">
        <v>25</v>
      </c>
      <c r="S43" s="1695">
        <f t="shared" si="12"/>
        <v>102</v>
      </c>
      <c r="T43" s="1694" t="s">
        <v>25</v>
      </c>
      <c r="U43" s="1695">
        <f t="shared" si="13"/>
        <v>102</v>
      </c>
      <c r="V43" s="1694" t="s">
        <v>25</v>
      </c>
      <c r="W43" s="1695">
        <f t="shared" si="14"/>
        <v>102</v>
      </c>
      <c r="X43" s="3320"/>
      <c r="Y43" s="3634"/>
      <c r="Z43" s="3321" t="str">
        <f t="shared" si="15"/>
        <v>内部装修</v>
      </c>
      <c r="AA43" s="3316">
        <f t="shared" si="3"/>
        <v>0.98039215686274506</v>
      </c>
      <c r="AB43" s="3316">
        <f t="shared" si="4"/>
        <v>0.98039215686274506</v>
      </c>
      <c r="AC43" s="3316">
        <f t="shared" si="5"/>
        <v>0.98039215686274506</v>
      </c>
    </row>
    <row r="44" spans="1:29" ht="15.75" thickBot="1">
      <c r="A44" s="1741"/>
      <c r="B44" s="1664" t="s">
        <v>2229</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34"/>
      <c r="Q44" s="3318" t="str">
        <f t="shared" si="11"/>
        <v>内部装修维护情况</v>
      </c>
      <c r="R44" s="1694" t="s">
        <v>25</v>
      </c>
      <c r="S44" s="1695">
        <f t="shared" si="12"/>
        <v>100</v>
      </c>
      <c r="T44" s="1694" t="s">
        <v>25</v>
      </c>
      <c r="U44" s="1695">
        <f t="shared" si="13"/>
        <v>100</v>
      </c>
      <c r="V44" s="1694" t="s">
        <v>25</v>
      </c>
      <c r="W44" s="1695">
        <f t="shared" si="14"/>
        <v>100</v>
      </c>
      <c r="X44" s="3320"/>
      <c r="Y44" s="3634"/>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4"/>
      <c r="Q45" s="3313">
        <f t="shared" si="11"/>
        <v>111</v>
      </c>
      <c r="R45" s="1649" t="s">
        <v>25</v>
      </c>
      <c r="S45" s="1650">
        <f t="shared" si="12"/>
        <v>100</v>
      </c>
      <c r="T45" s="1649" t="s">
        <v>25</v>
      </c>
      <c r="U45" s="1650">
        <f t="shared" si="13"/>
        <v>100</v>
      </c>
      <c r="V45" s="1649" t="s">
        <v>25</v>
      </c>
      <c r="W45" s="1650">
        <f t="shared" si="14"/>
        <v>100</v>
      </c>
      <c r="X45" s="1651"/>
      <c r="Y45" s="3634"/>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4"/>
      <c r="Q46" s="3318">
        <f t="shared" si="11"/>
        <v>111</v>
      </c>
      <c r="R46" s="1694" t="s">
        <v>25</v>
      </c>
      <c r="S46" s="1695">
        <f t="shared" si="12"/>
        <v>100</v>
      </c>
      <c r="T46" s="1694" t="s">
        <v>25</v>
      </c>
      <c r="U46" s="1695">
        <f t="shared" si="13"/>
        <v>100</v>
      </c>
      <c r="V46" s="1694" t="s">
        <v>25</v>
      </c>
      <c r="W46" s="1695">
        <f t="shared" si="14"/>
        <v>100</v>
      </c>
      <c r="X46" s="3320"/>
      <c r="Y46" s="3634"/>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35"/>
      <c r="Q47" s="3318">
        <f t="shared" si="11"/>
        <v>111</v>
      </c>
      <c r="R47" s="1694" t="s">
        <v>25</v>
      </c>
      <c r="S47" s="1695">
        <f t="shared" si="12"/>
        <v>100</v>
      </c>
      <c r="T47" s="1694" t="s">
        <v>25</v>
      </c>
      <c r="U47" s="1695">
        <f t="shared" si="13"/>
        <v>100</v>
      </c>
      <c r="V47" s="1694" t="s">
        <v>25</v>
      </c>
      <c r="W47" s="1695">
        <f t="shared" si="14"/>
        <v>100</v>
      </c>
      <c r="X47" s="3320"/>
      <c r="Y47" s="3635"/>
      <c r="Z47" s="3321">
        <f t="shared" si="15"/>
        <v>111</v>
      </c>
      <c r="AA47" s="3316">
        <f t="shared" si="3"/>
        <v>1</v>
      </c>
      <c r="AB47" s="3316">
        <f t="shared" si="4"/>
        <v>1</v>
      </c>
      <c r="AC47" s="3316">
        <f t="shared" si="5"/>
        <v>1</v>
      </c>
    </row>
    <row r="48" spans="1:29" ht="15">
      <c r="A48" s="1750" t="s">
        <v>2230</v>
      </c>
      <c r="B48" s="1751"/>
      <c r="C48" s="1752" t="s">
        <v>1</v>
      </c>
      <c r="D48" s="1753"/>
      <c r="E48" s="1754">
        <v>20032</v>
      </c>
      <c r="F48" s="1755"/>
      <c r="G48" s="1756">
        <v>18251</v>
      </c>
      <c r="H48" s="1757"/>
      <c r="I48" s="3338">
        <v>21535</v>
      </c>
      <c r="J48" s="1757"/>
      <c r="K48" s="1982"/>
      <c r="L48" s="2970"/>
      <c r="M48" s="2965"/>
      <c r="N48" s="2965"/>
      <c r="O48" s="2965"/>
      <c r="P48" s="3626" t="str">
        <f>A48</f>
        <v>成交单价（元/平方米）</v>
      </c>
      <c r="Q48" s="3626"/>
      <c r="R48" s="3622">
        <f>E48</f>
        <v>20032</v>
      </c>
      <c r="S48" s="3622"/>
      <c r="T48" s="3622">
        <f>G48</f>
        <v>18251</v>
      </c>
      <c r="U48" s="3622"/>
      <c r="V48" s="3622">
        <f>I48</f>
        <v>21535</v>
      </c>
      <c r="W48" s="3622"/>
      <c r="X48" s="1760"/>
      <c r="Y48" s="3319"/>
      <c r="Z48" s="1760"/>
      <c r="AA48" s="1760"/>
      <c r="AB48" s="1760"/>
      <c r="AC48" s="1760"/>
    </row>
    <row r="49" spans="1:29" ht="15.75" thickBot="1">
      <c r="A49" s="1762" t="s">
        <v>2231</v>
      </c>
      <c r="B49" s="1763"/>
      <c r="C49" s="1764">
        <f>R50</f>
        <v>21334</v>
      </c>
      <c r="D49" s="1765" t="s">
        <v>2687</v>
      </c>
      <c r="E49" s="1766">
        <f>R49</f>
        <v>21974</v>
      </c>
      <c r="F49" s="1767"/>
      <c r="G49" s="1764">
        <f>T49</f>
        <v>20020</v>
      </c>
      <c r="H49" s="1767"/>
      <c r="I49" s="1766">
        <f>V49</f>
        <v>22008</v>
      </c>
      <c r="J49" s="1767"/>
      <c r="K49" s="2479">
        <f>F49+H49+J49</f>
        <v>0</v>
      </c>
      <c r="L49" s="2970"/>
      <c r="M49" s="2965"/>
      <c r="N49" s="2965"/>
      <c r="O49" s="2965"/>
      <c r="P49" s="3626" t="str">
        <f>A49</f>
        <v>比较价值（元/平方米）</v>
      </c>
      <c r="Q49" s="3626"/>
      <c r="R49" s="3622">
        <f>IF(E1="售价",ROUND(PRODUCT(R48,AA7:AA47),0),ROUND(PRODUCT(R48,AA7:AA47),1))</f>
        <v>21974</v>
      </c>
      <c r="S49" s="3622"/>
      <c r="T49" s="3622">
        <f>IF(E1="售价",ROUND(PRODUCT(T48,AB7:AB47),0),ROUND(PRODUCT(T48,AB7:AB47),1))</f>
        <v>20020</v>
      </c>
      <c r="U49" s="3622"/>
      <c r="V49" s="3622">
        <f>IF(E1="售价",ROUND(PRODUCT(V48,AC7:AC47),0),ROUND(PRODUCT(V48,AC7:AC47),1))</f>
        <v>22008</v>
      </c>
      <c r="W49" s="3622"/>
      <c r="X49" s="1760"/>
      <c r="Y49" s="1760"/>
      <c r="Z49" s="1760"/>
      <c r="AA49" s="1760"/>
      <c r="AB49" s="1760"/>
      <c r="AC49" s="1760"/>
    </row>
    <row r="50" spans="1:29" ht="15.75" thickBot="1">
      <c r="A50" s="1768" t="s">
        <v>2232</v>
      </c>
      <c r="B50" s="1769"/>
      <c r="C50" s="1771">
        <f>R50</f>
        <v>21334</v>
      </c>
      <c r="D50" s="1771"/>
      <c r="E50" s="1771"/>
      <c r="F50" s="1771"/>
      <c r="G50" s="1771"/>
      <c r="H50" s="1771"/>
      <c r="I50" s="1771"/>
      <c r="J50" s="1771"/>
      <c r="K50" s="1987"/>
      <c r="L50" s="2970"/>
      <c r="M50" s="2965"/>
      <c r="N50" s="2965"/>
      <c r="O50" s="2965"/>
      <c r="P50" s="3623" t="str">
        <f>A50</f>
        <v>估价对象XX用房的比较价值（楼面单价，元/平方米）</v>
      </c>
      <c r="Q50" s="3624"/>
      <c r="R50" s="3625">
        <f>IF(E1="售价",ROUND(IF(D49="简单平均",AVERAGE(R49:V49),R49*F49+T49*H49+V49*J49),0),ROUND(IF(D49="简单平均",AVERAGE(R49:V49),R49*F49+T49*H49+V49*J49),1))</f>
        <v>21334</v>
      </c>
      <c r="S50" s="3625"/>
      <c r="T50" s="3625"/>
      <c r="U50" s="3625"/>
      <c r="V50" s="3625"/>
      <c r="W50" s="3625"/>
      <c r="X50" s="1760"/>
      <c r="Y50" s="1760"/>
      <c r="Z50" s="1760"/>
      <c r="AA50" s="1760"/>
      <c r="AB50" s="1760"/>
      <c r="AC50" s="1760"/>
    </row>
    <row r="51" spans="1:29">
      <c r="G51" s="2974"/>
    </row>
    <row r="53" spans="1:29" ht="13.5" customHeight="1">
      <c r="C53" s="383" t="s">
        <v>2233</v>
      </c>
      <c r="D53" s="1776"/>
      <c r="E53" s="1777">
        <f>IF(E48&lt;E49,E49/E48-1,E48/E49-1)</f>
        <v>9.6944888178913668E-2</v>
      </c>
      <c r="F53" s="1778" t="str">
        <f>IF(OR(E53&gt;=0.3,E53&lt;=-0.3),"超过30%","")</f>
        <v/>
      </c>
      <c r="G53" s="1777">
        <f>IF(G48&lt;G49,G49/G48-1,G48/G49-1)</f>
        <v>9.6926195824886374E-2</v>
      </c>
      <c r="H53" s="1778" t="str">
        <f>IF(OR(G53&gt;=0.3,G53&lt;=-0.3),"超过30%","")</f>
        <v/>
      </c>
      <c r="I53" s="1777">
        <f>IF(I48&lt;I49,I49/I48-1,I48/I49-1)</f>
        <v>2.1964244253540821E-2</v>
      </c>
      <c r="J53" s="1778" t="str">
        <f>IF(OR(I53&gt;=0.3,I53&lt;=-0.3),"超过30%","")</f>
        <v/>
      </c>
    </row>
    <row r="54" spans="1:29" ht="13.5" customHeight="1">
      <c r="C54" s="383" t="s">
        <v>2234</v>
      </c>
      <c r="D54" s="1779"/>
      <c r="E54" s="1777">
        <f>IF(E49&lt;G49,G49/E49-1,E49/G49-1)</f>
        <v>9.7602397602397639E-2</v>
      </c>
      <c r="F54" s="1778" t="str">
        <f>IF(OR(E54&gt;=0.2,E54&lt;=-0.2),"超过20%","")</f>
        <v/>
      </c>
      <c r="G54" s="1777">
        <f>IF(G49&lt;I49,I49/G49-1,G49/I49-1)</f>
        <v>9.9300699300699291E-2</v>
      </c>
      <c r="H54" s="1778" t="str">
        <f>IF(OR(G54&gt;=0.2,G54&lt;=-0.2),"超过20%","")</f>
        <v/>
      </c>
      <c r="I54" s="1777">
        <f>IF(I49&lt;E49,E49/I49-1,I49/E49-1)</f>
        <v>1.5472831528169362E-3</v>
      </c>
      <c r="J54" s="1778" t="str">
        <f>IF(OR(I54&gt;=0.2,I54&lt;=-0.2),"超过20%","")</f>
        <v/>
      </c>
    </row>
    <row r="55" spans="1:29" s="1782" customFormat="1" ht="13.5" customHeight="1">
      <c r="C55" s="383" t="s">
        <v>2235</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2236</v>
      </c>
      <c r="B58" s="1760"/>
      <c r="C58" s="1786"/>
      <c r="D58" s="1786"/>
      <c r="E58" s="1786"/>
      <c r="F58" s="1786"/>
      <c r="G58" s="1786"/>
      <c r="H58" s="1786"/>
      <c r="I58" s="1786"/>
      <c r="J58" s="1786"/>
      <c r="K58" s="1787"/>
      <c r="L58" s="1788"/>
      <c r="M58" s="1786"/>
      <c r="N58" s="2973"/>
      <c r="O58" s="2973"/>
      <c r="P58" s="2014"/>
      <c r="Q58" s="1790"/>
    </row>
    <row r="59" spans="1:29" s="1796" customFormat="1" ht="15">
      <c r="A59" s="1791" t="s">
        <v>2200</v>
      </c>
      <c r="B59" s="1792"/>
      <c r="C59" s="1793" t="str">
        <f>YEAR(C7)&amp;"-"&amp;MONTH(C7)</f>
        <v>2021-12</v>
      </c>
      <c r="D59" s="1794">
        <f>EDATE(C59,-1)</f>
        <v>44501</v>
      </c>
      <c r="E59" s="1794">
        <f t="shared" ref="E59:O59" si="16">EDATE(D59,-1)</f>
        <v>44470</v>
      </c>
      <c r="F59" s="1794">
        <f t="shared" si="16"/>
        <v>44440</v>
      </c>
      <c r="G59" s="1794">
        <f t="shared" si="16"/>
        <v>44409</v>
      </c>
      <c r="H59" s="1794">
        <f t="shared" si="16"/>
        <v>44378</v>
      </c>
      <c r="I59" s="1794">
        <f t="shared" si="16"/>
        <v>44348</v>
      </c>
      <c r="J59" s="1794">
        <f t="shared" si="16"/>
        <v>44317</v>
      </c>
      <c r="K59" s="1794">
        <f t="shared" si="16"/>
        <v>44287</v>
      </c>
      <c r="L59" s="1794">
        <f t="shared" si="16"/>
        <v>44256</v>
      </c>
      <c r="M59" s="1794">
        <f t="shared" si="16"/>
        <v>44228</v>
      </c>
      <c r="N59" s="1794">
        <f t="shared" si="16"/>
        <v>44197</v>
      </c>
      <c r="O59" s="1794">
        <f t="shared" si="16"/>
        <v>44166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2238</v>
      </c>
      <c r="B61" s="1804"/>
      <c r="C61" s="1805"/>
      <c r="D61" s="1806"/>
      <c r="E61" s="1806"/>
      <c r="F61" s="1806"/>
      <c r="G61" s="1806"/>
      <c r="H61" s="1806"/>
      <c r="I61" s="1806"/>
      <c r="J61" s="1806"/>
      <c r="K61" s="1806"/>
      <c r="L61" s="1806"/>
      <c r="M61" s="1807"/>
      <c r="N61" s="1806"/>
      <c r="O61" s="2473"/>
      <c r="P61" s="1790"/>
      <c r="Q61" s="1790"/>
    </row>
    <row r="62" spans="1:29" s="1653" customFormat="1" ht="15">
      <c r="A62" s="1808" t="s">
        <v>2202</v>
      </c>
      <c r="B62" s="1798"/>
      <c r="C62" s="1809" t="s">
        <v>2203</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2241</v>
      </c>
      <c r="B64" s="1816" t="s">
        <v>2206</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2209</v>
      </c>
      <c r="C66" s="1828" t="s">
        <v>2242</v>
      </c>
      <c r="D66" s="1828" t="s">
        <v>2243</v>
      </c>
      <c r="E66" s="1828" t="s">
        <v>2244</v>
      </c>
      <c r="F66" s="1828" t="s">
        <v>2245</v>
      </c>
      <c r="G66" s="1828" t="s">
        <v>2246</v>
      </c>
      <c r="H66" s="1828" t="s">
        <v>2247</v>
      </c>
      <c r="I66" s="1828" t="s">
        <v>2248</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2210</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2211</v>
      </c>
      <c r="B77" s="1816" t="s">
        <v>2337</v>
      </c>
      <c r="C77" s="1854" t="s">
        <v>2250</v>
      </c>
      <c r="D77" s="1854" t="s">
        <v>2251</v>
      </c>
      <c r="E77" s="1854" t="s">
        <v>2252</v>
      </c>
      <c r="F77" s="1854" t="s">
        <v>2253</v>
      </c>
      <c r="G77" s="1854" t="s">
        <v>2254</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2255</v>
      </c>
      <c r="C79" s="579" t="s">
        <v>2250</v>
      </c>
      <c r="D79" s="579" t="s">
        <v>2251</v>
      </c>
      <c r="E79" s="579" t="s">
        <v>2252</v>
      </c>
      <c r="F79" s="579" t="s">
        <v>2253</v>
      </c>
      <c r="G79" s="579" t="s">
        <v>2254</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2256</v>
      </c>
      <c r="C81" s="579" t="s">
        <v>2250</v>
      </c>
      <c r="D81" s="579" t="s">
        <v>2251</v>
      </c>
      <c r="E81" s="579" t="s">
        <v>2252</v>
      </c>
      <c r="F81" s="579" t="s">
        <v>2253</v>
      </c>
      <c r="G81" s="579" t="s">
        <v>2254</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2299</v>
      </c>
      <c r="C83" s="1828" t="s">
        <v>2257</v>
      </c>
      <c r="D83" s="1828" t="s">
        <v>2258</v>
      </c>
      <c r="E83" s="1828" t="s">
        <v>2259</v>
      </c>
      <c r="F83" s="1828" t="s">
        <v>2260</v>
      </c>
      <c r="G83" s="1828" t="s">
        <v>2261</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2338</v>
      </c>
      <c r="C85" s="579" t="s">
        <v>2250</v>
      </c>
      <c r="D85" s="579" t="s">
        <v>2251</v>
      </c>
      <c r="E85" s="579" t="s">
        <v>2252</v>
      </c>
      <c r="F85" s="579" t="s">
        <v>2253</v>
      </c>
      <c r="G85" s="579" t="s">
        <v>2254</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2339</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3037</v>
      </c>
      <c r="D91" s="3325" t="s">
        <v>3038</v>
      </c>
      <c r="E91" s="3325" t="s">
        <v>3039</v>
      </c>
      <c r="F91" s="3325" t="s">
        <v>3040</v>
      </c>
      <c r="G91" s="3325" t="s">
        <v>3042</v>
      </c>
      <c r="H91" s="3331" t="s">
        <v>3041</v>
      </c>
      <c r="I91" s="3331" t="s">
        <v>3043</v>
      </c>
      <c r="J91" s="3331" t="s">
        <v>3044</v>
      </c>
      <c r="K91" s="3331" t="s">
        <v>3045</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3017</v>
      </c>
      <c r="D93" s="3325" t="s">
        <v>3018</v>
      </c>
      <c r="E93" s="3325" t="s">
        <v>3019</v>
      </c>
      <c r="F93" s="468"/>
      <c r="G93" s="468"/>
      <c r="H93" s="468"/>
      <c r="I93" s="468"/>
      <c r="J93" s="468"/>
      <c r="K93" s="468"/>
      <c r="L93" s="468"/>
      <c r="M93" s="1859"/>
      <c r="N93" s="2983"/>
      <c r="O93" s="2983"/>
      <c r="P93" s="2026"/>
      <c r="Q93" s="1790"/>
    </row>
    <row r="94" spans="1:17" ht="15.75" thickBot="1">
      <c r="A94" s="1822"/>
      <c r="B94" s="1830"/>
      <c r="C94" s="1843">
        <v>100</v>
      </c>
      <c r="D94" s="1824">
        <v>95</v>
      </c>
      <c r="E94" s="1824">
        <v>90</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2216</v>
      </c>
      <c r="B101" s="1816" t="s">
        <v>2265</v>
      </c>
      <c r="C101" s="3326" t="s">
        <v>3021</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2266</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7">
        <v>50</v>
      </c>
      <c r="E104" s="3337">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2267</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2269</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2340</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2271</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2272</v>
      </c>
      <c r="C117" s="3325" t="s">
        <v>3073</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2341</v>
      </c>
      <c r="C119" s="3341" t="s">
        <v>3069</v>
      </c>
      <c r="D119" s="3341" t="s">
        <v>3071</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2323</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2274</v>
      </c>
      <c r="C123" s="3325" t="s">
        <v>3066</v>
      </c>
      <c r="D123" s="3325" t="s">
        <v>3065</v>
      </c>
      <c r="E123" s="3325" t="s">
        <v>3067</v>
      </c>
      <c r="F123" s="3341" t="s">
        <v>3064</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99</v>
      </c>
      <c r="E124" s="1831">
        <f t="shared" si="30"/>
        <v>98</v>
      </c>
      <c r="F124" s="1831">
        <f t="shared" si="30"/>
        <v>97</v>
      </c>
      <c r="G124" s="1831">
        <f t="shared" si="30"/>
        <v>96</v>
      </c>
      <c r="H124" s="1831">
        <f t="shared" si="30"/>
        <v>95</v>
      </c>
      <c r="I124" s="1831">
        <f t="shared" si="30"/>
        <v>94</v>
      </c>
      <c r="J124" s="1831">
        <f t="shared" si="30"/>
        <v>93</v>
      </c>
      <c r="K124" s="1831">
        <f t="shared" si="30"/>
        <v>92</v>
      </c>
      <c r="L124" s="1831">
        <f t="shared" si="30"/>
        <v>91</v>
      </c>
      <c r="M124" s="1832">
        <f t="shared" si="30"/>
        <v>90</v>
      </c>
      <c r="N124" s="2984"/>
      <c r="O124" s="2984"/>
      <c r="P124" s="2026"/>
      <c r="Q124" s="1790"/>
    </row>
    <row r="125" spans="1:17" ht="15" thickTop="1">
      <c r="A125" s="1872"/>
      <c r="B125" s="1827" t="s">
        <v>2275</v>
      </c>
      <c r="C125" s="579" t="s">
        <v>2250</v>
      </c>
      <c r="D125" s="579" t="s">
        <v>2251</v>
      </c>
      <c r="E125" s="579" t="s">
        <v>2252</v>
      </c>
      <c r="F125" s="579" t="s">
        <v>2253</v>
      </c>
      <c r="G125" s="579" t="s">
        <v>2254</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7" t="s">
        <v>779</v>
      </c>
      <c r="B1" s="3717"/>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0.13</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7" t="s">
        <v>105</v>
      </c>
      <c r="B1" s="3717"/>
      <c r="C1" s="3717"/>
      <c r="D1" s="3717"/>
      <c r="E1" s="3717"/>
      <c r="F1" s="371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8" t="s">
        <v>118</v>
      </c>
      <c r="B2" s="3718"/>
      <c r="C2" s="3718"/>
      <c r="D2" s="3718"/>
      <c r="E2" s="3718"/>
      <c r="F2" s="371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7800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1" t="s">
        <v>132</v>
      </c>
      <c r="B18" s="767" t="s">
        <v>517</v>
      </c>
      <c r="C18" s="768" t="s">
        <v>518</v>
      </c>
      <c r="D18" s="769"/>
      <c r="E18" s="767">
        <v>1</v>
      </c>
      <c r="F18" s="770" t="s">
        <v>519</v>
      </c>
      <c r="G18" s="771"/>
      <c r="H18" s="763"/>
      <c r="I18" s="763"/>
    </row>
    <row r="19" spans="1:9" s="772" customFormat="1" ht="19.5" customHeight="1">
      <c r="A19" s="3721"/>
      <c r="B19" s="3721" t="s">
        <v>520</v>
      </c>
      <c r="C19" s="768" t="s">
        <v>521</v>
      </c>
      <c r="D19" s="769"/>
      <c r="E19" s="767">
        <v>0.9</v>
      </c>
      <c r="F19" s="770" t="s">
        <v>522</v>
      </c>
      <c r="G19" s="771"/>
      <c r="H19" s="763"/>
      <c r="I19" s="763"/>
    </row>
    <row r="20" spans="1:9" s="772" customFormat="1" ht="19.5" customHeight="1">
      <c r="A20" s="3721"/>
      <c r="B20" s="3721"/>
      <c r="C20" s="768" t="s">
        <v>523</v>
      </c>
      <c r="D20" s="769"/>
      <c r="E20" s="767">
        <v>1.1000000000000001</v>
      </c>
      <c r="F20" s="770" t="s">
        <v>524</v>
      </c>
      <c r="G20" s="771"/>
      <c r="H20" s="763"/>
      <c r="I20" s="763"/>
    </row>
    <row r="21" spans="1:9" s="772" customFormat="1" ht="19.5" customHeight="1">
      <c r="A21" s="3721"/>
      <c r="B21" s="3721"/>
      <c r="C21" s="768" t="s">
        <v>525</v>
      </c>
      <c r="D21" s="769"/>
      <c r="E21" s="767">
        <v>0.8</v>
      </c>
      <c r="F21" s="770" t="s">
        <v>526</v>
      </c>
      <c r="G21" s="771"/>
      <c r="H21" s="763"/>
      <c r="I21" s="763"/>
    </row>
    <row r="22" spans="1:9" s="772" customFormat="1" ht="19.5" customHeight="1">
      <c r="A22" s="3721"/>
      <c r="B22" s="3721"/>
      <c r="C22" s="768" t="s">
        <v>527</v>
      </c>
      <c r="D22" s="769"/>
      <c r="E22" s="767">
        <v>0.5</v>
      </c>
      <c r="F22" s="770"/>
      <c r="G22" s="771"/>
      <c r="H22" s="763"/>
      <c r="I22" s="763"/>
    </row>
    <row r="23" spans="1:9" s="772" customFormat="1" ht="19.5" customHeight="1">
      <c r="A23" s="3721" t="s">
        <v>133</v>
      </c>
      <c r="B23" s="767" t="s">
        <v>517</v>
      </c>
      <c r="C23" s="768" t="s">
        <v>528</v>
      </c>
      <c r="D23" s="769"/>
      <c r="E23" s="767">
        <v>1</v>
      </c>
      <c r="F23" s="770" t="s">
        <v>529</v>
      </c>
      <c r="G23" s="771"/>
      <c r="H23" s="763"/>
      <c r="I23" s="763"/>
    </row>
    <row r="24" spans="1:9" s="772" customFormat="1" ht="19.5" customHeight="1">
      <c r="A24" s="3721"/>
      <c r="B24" s="3721" t="s">
        <v>520</v>
      </c>
      <c r="C24" s="768" t="s">
        <v>530</v>
      </c>
      <c r="D24" s="769"/>
      <c r="E24" s="767">
        <v>0.5</v>
      </c>
      <c r="F24" s="770"/>
      <c r="G24" s="771"/>
      <c r="H24" s="763"/>
      <c r="I24" s="763"/>
    </row>
    <row r="25" spans="1:9" s="772" customFormat="1" ht="19.5" customHeight="1">
      <c r="A25" s="3721"/>
      <c r="B25" s="3721"/>
      <c r="C25" s="768" t="s">
        <v>531</v>
      </c>
      <c r="D25" s="769"/>
      <c r="E25" s="767">
        <v>1.1000000000000001</v>
      </c>
      <c r="F25" s="770"/>
      <c r="G25" s="771"/>
      <c r="H25" s="763"/>
      <c r="I25" s="763"/>
    </row>
    <row r="26" spans="1:9" s="772" customFormat="1" ht="19.5" customHeight="1">
      <c r="A26" s="3721"/>
      <c r="B26" s="3721"/>
      <c r="C26" s="768" t="s">
        <v>532</v>
      </c>
      <c r="D26" s="769"/>
      <c r="E26" s="767">
        <v>1.1000000000000001</v>
      </c>
      <c r="F26" s="770"/>
      <c r="G26" s="771"/>
      <c r="H26" s="763"/>
      <c r="I26" s="763"/>
    </row>
    <row r="27" spans="1:9" s="772" customFormat="1" ht="19.5" customHeight="1">
      <c r="A27" s="3721"/>
      <c r="B27" s="3721"/>
      <c r="C27" s="768" t="s">
        <v>533</v>
      </c>
      <c r="D27" s="769"/>
      <c r="E27" s="767">
        <v>0.9</v>
      </c>
      <c r="F27" s="770" t="s">
        <v>534</v>
      </c>
      <c r="G27" s="771"/>
      <c r="H27" s="763"/>
      <c r="I27" s="763"/>
    </row>
    <row r="28" spans="1:9" s="772" customFormat="1" ht="19.5" customHeight="1">
      <c r="A28" s="3721"/>
      <c r="B28" s="3721"/>
      <c r="C28" s="768" t="s">
        <v>535</v>
      </c>
      <c r="D28" s="769"/>
      <c r="E28" s="767">
        <v>0.9</v>
      </c>
      <c r="F28" s="770" t="s">
        <v>536</v>
      </c>
      <c r="G28" s="771"/>
      <c r="H28" s="763"/>
      <c r="I28" s="763"/>
    </row>
    <row r="29" spans="1:9" s="772" customFormat="1" ht="19.5" customHeight="1">
      <c r="A29" s="3721"/>
      <c r="B29" s="3721"/>
      <c r="C29" s="768" t="s">
        <v>537</v>
      </c>
      <c r="D29" s="769"/>
      <c r="E29" s="767">
        <v>0.9</v>
      </c>
      <c r="F29" s="770" t="s">
        <v>538</v>
      </c>
      <c r="G29" s="771"/>
      <c r="H29" s="763"/>
      <c r="I29" s="763"/>
    </row>
    <row r="30" spans="1:9" s="772" customFormat="1" ht="19.5" customHeight="1">
      <c r="A30" s="3721"/>
      <c r="B30" s="3721"/>
      <c r="C30" s="768" t="s">
        <v>539</v>
      </c>
      <c r="D30" s="769"/>
      <c r="E30" s="767">
        <v>0.9</v>
      </c>
      <c r="F30" s="770" t="s">
        <v>540</v>
      </c>
      <c r="G30" s="771"/>
      <c r="H30" s="763"/>
      <c r="I30" s="763"/>
    </row>
    <row r="31" spans="1:9" s="772" customFormat="1" ht="19.5" customHeight="1">
      <c r="A31" s="3721"/>
      <c r="B31" s="3721"/>
      <c r="C31" s="768" t="s">
        <v>541</v>
      </c>
      <c r="D31" s="769"/>
      <c r="E31" s="767">
        <v>0.8</v>
      </c>
      <c r="F31" s="770" t="s">
        <v>542</v>
      </c>
      <c r="G31" s="771"/>
      <c r="H31" s="763"/>
      <c r="I31" s="763"/>
    </row>
    <row r="32" spans="1:9" s="772" customFormat="1" ht="19.5" customHeight="1">
      <c r="A32" s="3721"/>
      <c r="B32" s="3721"/>
      <c r="C32" s="768" t="s">
        <v>543</v>
      </c>
      <c r="D32" s="769"/>
      <c r="E32" s="767">
        <v>0.8</v>
      </c>
      <c r="F32" s="770" t="s">
        <v>544</v>
      </c>
      <c r="G32" s="771"/>
      <c r="H32" s="763"/>
      <c r="I32" s="763"/>
    </row>
    <row r="33" spans="1:9" s="772" customFormat="1" ht="19.5" customHeight="1">
      <c r="A33" s="3721" t="s">
        <v>134</v>
      </c>
      <c r="B33" s="767" t="s">
        <v>517</v>
      </c>
      <c r="C33" s="768" t="s">
        <v>545</v>
      </c>
      <c r="D33" s="769"/>
      <c r="E33" s="767">
        <v>1</v>
      </c>
      <c r="F33" s="770" t="s">
        <v>546</v>
      </c>
      <c r="G33" s="771"/>
      <c r="H33" s="763"/>
      <c r="I33" s="763"/>
    </row>
    <row r="34" spans="1:9" s="772" customFormat="1" ht="19.5" customHeight="1">
      <c r="A34" s="3721"/>
      <c r="B34" s="767" t="s">
        <v>520</v>
      </c>
      <c r="C34" s="768" t="s">
        <v>547</v>
      </c>
      <c r="D34" s="769"/>
      <c r="E34" s="767">
        <v>1.5</v>
      </c>
      <c r="F34" s="770" t="s">
        <v>548</v>
      </c>
      <c r="G34" s="771"/>
      <c r="H34" s="763"/>
      <c r="I34" s="763"/>
    </row>
    <row r="35" spans="1:9" s="772" customFormat="1" ht="19.5" customHeight="1">
      <c r="A35" s="3721" t="s">
        <v>135</v>
      </c>
      <c r="B35" s="767" t="s">
        <v>517</v>
      </c>
      <c r="C35" s="768" t="s">
        <v>549</v>
      </c>
      <c r="D35" s="769"/>
      <c r="E35" s="767">
        <v>1</v>
      </c>
      <c r="F35" s="770" t="s">
        <v>550</v>
      </c>
      <c r="G35" s="771"/>
      <c r="H35" s="763"/>
      <c r="I35" s="763"/>
    </row>
    <row r="36" spans="1:9" s="772" customFormat="1" ht="19.5" customHeight="1">
      <c r="A36" s="3721"/>
      <c r="B36" s="3721" t="s">
        <v>520</v>
      </c>
      <c r="C36" s="768" t="s">
        <v>551</v>
      </c>
      <c r="D36" s="769"/>
      <c r="E36" s="767">
        <v>1</v>
      </c>
      <c r="F36" s="770" t="s">
        <v>552</v>
      </c>
      <c r="G36" s="771"/>
      <c r="H36" s="763"/>
      <c r="I36" s="763"/>
    </row>
    <row r="37" spans="1:9" s="772" customFormat="1" ht="19.5" customHeight="1">
      <c r="A37" s="3721"/>
      <c r="B37" s="3721"/>
      <c r="C37" s="768" t="s">
        <v>553</v>
      </c>
      <c r="D37" s="769"/>
      <c r="E37" s="767">
        <v>1.5</v>
      </c>
      <c r="F37" s="770" t="s">
        <v>554</v>
      </c>
      <c r="G37" s="771"/>
      <c r="H37" s="763"/>
      <c r="I37" s="763"/>
    </row>
    <row r="38" spans="1:9" s="772" customFormat="1" ht="19.5" customHeight="1">
      <c r="A38" s="3721"/>
      <c r="B38" s="3721"/>
      <c r="C38" s="768" t="s">
        <v>555</v>
      </c>
      <c r="D38" s="769"/>
      <c r="E38" s="767">
        <v>1</v>
      </c>
      <c r="F38" s="770" t="s">
        <v>556</v>
      </c>
      <c r="G38" s="771"/>
      <c r="H38" s="763"/>
      <c r="I38" s="763"/>
    </row>
    <row r="39" spans="1:9" s="772" customFormat="1" ht="19.5" customHeight="1">
      <c r="A39" s="3721"/>
      <c r="B39" s="372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1" t="s">
        <v>571</v>
      </c>
      <c r="C61" s="681" t="s">
        <v>572</v>
      </c>
      <c r="D61" s="681" t="s">
        <v>573</v>
      </c>
      <c r="E61" s="780">
        <v>0.5</v>
      </c>
      <c r="F61" s="767">
        <v>80</v>
      </c>
    </row>
    <row r="62" spans="1:8" s="763" customFormat="1" ht="24">
      <c r="A62" s="767">
        <v>2</v>
      </c>
      <c r="B62" s="3721"/>
      <c r="C62" s="681" t="s">
        <v>574</v>
      </c>
      <c r="D62" s="681" t="s">
        <v>575</v>
      </c>
      <c r="E62" s="780">
        <v>0.5</v>
      </c>
      <c r="F62" s="767">
        <v>80</v>
      </c>
    </row>
    <row r="63" spans="1:8" s="763" customFormat="1" ht="36">
      <c r="A63" s="767">
        <v>3</v>
      </c>
      <c r="B63" s="3721"/>
      <c r="C63" s="681" t="s">
        <v>576</v>
      </c>
      <c r="D63" s="681" t="s">
        <v>577</v>
      </c>
      <c r="E63" s="780">
        <v>0.5</v>
      </c>
      <c r="F63" s="767">
        <v>80</v>
      </c>
    </row>
    <row r="64" spans="1:8" s="763" customFormat="1" ht="36">
      <c r="A64" s="767">
        <v>4</v>
      </c>
      <c r="B64" s="3721"/>
      <c r="C64" s="681" t="s">
        <v>578</v>
      </c>
      <c r="D64" s="681" t="s">
        <v>579</v>
      </c>
      <c r="E64" s="780">
        <v>0.4</v>
      </c>
      <c r="F64" s="767">
        <v>60</v>
      </c>
    </row>
    <row r="65" spans="1:6" s="763" customFormat="1" ht="36">
      <c r="A65" s="767">
        <v>5</v>
      </c>
      <c r="B65" s="3721"/>
      <c r="C65" s="681" t="s">
        <v>580</v>
      </c>
      <c r="D65" s="681" t="s">
        <v>581</v>
      </c>
      <c r="E65" s="780">
        <v>0.2</v>
      </c>
      <c r="F65" s="767">
        <v>30</v>
      </c>
    </row>
    <row r="66" spans="1:6" s="763" customFormat="1" ht="36">
      <c r="A66" s="767">
        <v>6</v>
      </c>
      <c r="B66" s="3721"/>
      <c r="C66" s="681" t="s">
        <v>582</v>
      </c>
      <c r="D66" s="681" t="s">
        <v>583</v>
      </c>
      <c r="E66" s="780">
        <v>0.3</v>
      </c>
      <c r="F66" s="767">
        <v>50</v>
      </c>
    </row>
    <row r="67" spans="1:6" s="763" customFormat="1" ht="36">
      <c r="A67" s="767">
        <v>7</v>
      </c>
      <c r="B67" s="3721"/>
      <c r="C67" s="681" t="s">
        <v>584</v>
      </c>
      <c r="D67" s="681" t="s">
        <v>585</v>
      </c>
      <c r="E67" s="780">
        <v>0.2</v>
      </c>
      <c r="F67" s="767">
        <v>30</v>
      </c>
    </row>
    <row r="68" spans="1:6" s="763" customFormat="1" ht="36">
      <c r="A68" s="767">
        <v>8</v>
      </c>
      <c r="B68" s="3721"/>
      <c r="C68" s="681" t="s">
        <v>586</v>
      </c>
      <c r="D68" s="681" t="s">
        <v>587</v>
      </c>
      <c r="E68" s="780">
        <v>0.2</v>
      </c>
      <c r="F68" s="767">
        <v>30</v>
      </c>
    </row>
    <row r="69" spans="1:6" s="763" customFormat="1" ht="36">
      <c r="A69" s="767">
        <v>9</v>
      </c>
      <c r="B69" s="3721"/>
      <c r="C69" s="681" t="s">
        <v>588</v>
      </c>
      <c r="D69" s="681" t="s">
        <v>589</v>
      </c>
      <c r="E69" s="780">
        <v>0.2</v>
      </c>
      <c r="F69" s="767">
        <v>30</v>
      </c>
    </row>
    <row r="70" spans="1:6" s="763" customFormat="1" ht="48">
      <c r="A70" s="767">
        <v>10</v>
      </c>
      <c r="B70" s="3721"/>
      <c r="C70" s="681" t="s">
        <v>590</v>
      </c>
      <c r="D70" s="681" t="s">
        <v>591</v>
      </c>
      <c r="E70" s="780">
        <v>0.2</v>
      </c>
      <c r="F70" s="767">
        <v>30</v>
      </c>
    </row>
    <row r="71" spans="1:6" s="763" customFormat="1" ht="48">
      <c r="A71" s="767">
        <v>11</v>
      </c>
      <c r="B71" s="3721"/>
      <c r="C71" s="681" t="s">
        <v>592</v>
      </c>
      <c r="D71" s="681" t="s">
        <v>593</v>
      </c>
      <c r="E71" s="780">
        <v>0.2</v>
      </c>
      <c r="F71" s="767">
        <v>30</v>
      </c>
    </row>
    <row r="72" spans="1:6" s="763" customFormat="1" ht="36">
      <c r="A72" s="767">
        <v>12</v>
      </c>
      <c r="B72" s="3721"/>
      <c r="C72" s="681" t="s">
        <v>594</v>
      </c>
      <c r="D72" s="681" t="s">
        <v>595</v>
      </c>
      <c r="E72" s="780">
        <v>0.5</v>
      </c>
      <c r="F72" s="767">
        <v>80</v>
      </c>
    </row>
    <row r="73" spans="1:6" s="763" customFormat="1" ht="24">
      <c r="A73" s="767">
        <v>13</v>
      </c>
      <c r="B73" s="3721"/>
      <c r="C73" s="681" t="s">
        <v>596</v>
      </c>
      <c r="D73" s="681" t="s">
        <v>597</v>
      </c>
      <c r="E73" s="780">
        <v>0.4</v>
      </c>
      <c r="F73" s="767">
        <v>60</v>
      </c>
    </row>
    <row r="74" spans="1:6" s="763" customFormat="1" ht="24">
      <c r="A74" s="767">
        <v>14</v>
      </c>
      <c r="B74" s="3721"/>
      <c r="C74" s="681" t="s">
        <v>598</v>
      </c>
      <c r="D74" s="681" t="s">
        <v>599</v>
      </c>
      <c r="E74" s="780">
        <v>0.2</v>
      </c>
      <c r="F74" s="767">
        <v>30</v>
      </c>
    </row>
    <row r="75" spans="1:6" s="763" customFormat="1" ht="24">
      <c r="A75" s="767">
        <v>15</v>
      </c>
      <c r="B75" s="3721"/>
      <c r="C75" s="681" t="s">
        <v>600</v>
      </c>
      <c r="D75" s="681" t="s">
        <v>601</v>
      </c>
      <c r="E75" s="780">
        <v>0.2</v>
      </c>
      <c r="F75" s="767">
        <v>30</v>
      </c>
    </row>
    <row r="76" spans="1:6" s="763" customFormat="1" ht="24">
      <c r="A76" s="767">
        <v>16</v>
      </c>
      <c r="B76" s="3721" t="s">
        <v>602</v>
      </c>
      <c r="C76" s="681" t="s">
        <v>603</v>
      </c>
      <c r="D76" s="681" t="s">
        <v>604</v>
      </c>
      <c r="E76" s="780">
        <v>0.5</v>
      </c>
      <c r="F76" s="767">
        <v>80</v>
      </c>
    </row>
    <row r="77" spans="1:6" s="763" customFormat="1" ht="24">
      <c r="A77" s="767">
        <v>17</v>
      </c>
      <c r="B77" s="3721"/>
      <c r="C77" s="681" t="s">
        <v>605</v>
      </c>
      <c r="D77" s="681" t="s">
        <v>606</v>
      </c>
      <c r="E77" s="780">
        <v>0.5</v>
      </c>
      <c r="F77" s="767">
        <v>80</v>
      </c>
    </row>
    <row r="78" spans="1:6" s="763" customFormat="1" ht="24">
      <c r="A78" s="767">
        <v>18</v>
      </c>
      <c r="B78" s="3721"/>
      <c r="C78" s="681" t="s">
        <v>607</v>
      </c>
      <c r="D78" s="681" t="s">
        <v>608</v>
      </c>
      <c r="E78" s="780">
        <v>0.2</v>
      </c>
      <c r="F78" s="767">
        <v>30</v>
      </c>
    </row>
    <row r="79" spans="1:6" s="763" customFormat="1" ht="24">
      <c r="A79" s="767">
        <v>19</v>
      </c>
      <c r="B79" s="3721"/>
      <c r="C79" s="681" t="s">
        <v>609</v>
      </c>
      <c r="D79" s="681" t="s">
        <v>610</v>
      </c>
      <c r="E79" s="780">
        <v>0.5</v>
      </c>
      <c r="F79" s="767">
        <v>80</v>
      </c>
    </row>
    <row r="80" spans="1:6" s="763" customFormat="1" ht="36">
      <c r="A80" s="767">
        <v>20</v>
      </c>
      <c r="B80" s="3721"/>
      <c r="C80" s="681" t="s">
        <v>611</v>
      </c>
      <c r="D80" s="681" t="s">
        <v>612</v>
      </c>
      <c r="E80" s="780">
        <v>0.2</v>
      </c>
      <c r="F80" s="767">
        <v>30</v>
      </c>
    </row>
    <row r="81" spans="1:6" s="763" customFormat="1" ht="36">
      <c r="A81" s="767">
        <v>21</v>
      </c>
      <c r="B81" s="3721"/>
      <c r="C81" s="681" t="s">
        <v>613</v>
      </c>
      <c r="D81" s="681" t="s">
        <v>614</v>
      </c>
      <c r="E81" s="780">
        <v>0.2</v>
      </c>
      <c r="F81" s="767">
        <v>30</v>
      </c>
    </row>
    <row r="82" spans="1:6" s="763" customFormat="1" ht="48">
      <c r="A82" s="767">
        <v>22</v>
      </c>
      <c r="B82" s="3721"/>
      <c r="C82" s="681" t="s">
        <v>615</v>
      </c>
      <c r="D82" s="681" t="s">
        <v>616</v>
      </c>
      <c r="E82" s="780">
        <v>0.2</v>
      </c>
      <c r="F82" s="767">
        <v>30</v>
      </c>
    </row>
    <row r="83" spans="1:6" s="763" customFormat="1" ht="48">
      <c r="A83" s="767">
        <v>23</v>
      </c>
      <c r="B83" s="3721"/>
      <c r="C83" s="681" t="s">
        <v>617</v>
      </c>
      <c r="D83" s="681" t="s">
        <v>618</v>
      </c>
      <c r="E83" s="780">
        <v>0.2</v>
      </c>
      <c r="F83" s="767">
        <v>30</v>
      </c>
    </row>
    <row r="84" spans="1:6" s="763" customFormat="1" ht="36">
      <c r="A84" s="767">
        <v>24</v>
      </c>
      <c r="B84" s="3721"/>
      <c r="C84" s="681" t="s">
        <v>619</v>
      </c>
      <c r="D84" s="681" t="s">
        <v>620</v>
      </c>
      <c r="E84" s="780">
        <v>0.2</v>
      </c>
      <c r="F84" s="767">
        <v>30</v>
      </c>
    </row>
    <row r="85" spans="1:6" s="763" customFormat="1" ht="36">
      <c r="A85" s="767">
        <v>25</v>
      </c>
      <c r="B85" s="3721"/>
      <c r="C85" s="681" t="s">
        <v>621</v>
      </c>
      <c r="D85" s="681" t="s">
        <v>622</v>
      </c>
      <c r="E85" s="780">
        <v>0.5</v>
      </c>
      <c r="F85" s="767">
        <v>80</v>
      </c>
    </row>
    <row r="86" spans="1:6" s="763" customFormat="1" ht="36">
      <c r="A86" s="767">
        <v>26</v>
      </c>
      <c r="B86" s="3721"/>
      <c r="C86" s="681" t="s">
        <v>623</v>
      </c>
      <c r="D86" s="681" t="s">
        <v>624</v>
      </c>
      <c r="E86" s="780">
        <v>0.2</v>
      </c>
      <c r="F86" s="767">
        <v>30</v>
      </c>
    </row>
    <row r="87" spans="1:6" s="763" customFormat="1" ht="36">
      <c r="A87" s="767">
        <v>27</v>
      </c>
      <c r="B87" s="3721"/>
      <c r="C87" s="681" t="s">
        <v>625</v>
      </c>
      <c r="D87" s="681" t="s">
        <v>626</v>
      </c>
      <c r="E87" s="780">
        <v>0.2</v>
      </c>
      <c r="F87" s="767">
        <v>30</v>
      </c>
    </row>
    <row r="88" spans="1:6" s="763" customFormat="1" ht="36">
      <c r="A88" s="767">
        <v>28</v>
      </c>
      <c r="B88" s="3721"/>
      <c r="C88" s="681" t="s">
        <v>627</v>
      </c>
      <c r="D88" s="681" t="s">
        <v>628</v>
      </c>
      <c r="E88" s="780">
        <v>0.2</v>
      </c>
      <c r="F88" s="767">
        <v>30</v>
      </c>
    </row>
    <row r="89" spans="1:6" s="763" customFormat="1" ht="24">
      <c r="A89" s="767">
        <v>29</v>
      </c>
      <c r="B89" s="3721"/>
      <c r="C89" s="681" t="s">
        <v>629</v>
      </c>
      <c r="D89" s="681" t="s">
        <v>630</v>
      </c>
      <c r="E89" s="780">
        <v>0.2</v>
      </c>
      <c r="F89" s="767">
        <v>30</v>
      </c>
    </row>
    <row r="90" spans="1:6" s="763" customFormat="1" ht="24">
      <c r="A90" s="767">
        <v>30</v>
      </c>
      <c r="B90" s="3721"/>
      <c r="C90" s="681" t="s">
        <v>631</v>
      </c>
      <c r="D90" s="681" t="s">
        <v>632</v>
      </c>
      <c r="E90" s="780">
        <v>0.2</v>
      </c>
      <c r="F90" s="767">
        <v>30</v>
      </c>
    </row>
    <row r="91" spans="1:6" s="763" customFormat="1" ht="36">
      <c r="A91" s="767">
        <v>31</v>
      </c>
      <c r="B91" s="3721"/>
      <c r="C91" s="681" t="s">
        <v>633</v>
      </c>
      <c r="D91" s="681" t="s">
        <v>634</v>
      </c>
      <c r="E91" s="780">
        <v>0.2</v>
      </c>
      <c r="F91" s="767">
        <v>30</v>
      </c>
    </row>
    <row r="92" spans="1:6" s="763" customFormat="1" ht="24">
      <c r="A92" s="767">
        <v>32</v>
      </c>
      <c r="B92" s="3721" t="s">
        <v>635</v>
      </c>
      <c r="C92" s="767" t="s">
        <v>636</v>
      </c>
      <c r="D92" s="681" t="s">
        <v>637</v>
      </c>
      <c r="E92" s="780">
        <v>0.2</v>
      </c>
      <c r="F92" s="767">
        <v>30</v>
      </c>
    </row>
    <row r="93" spans="1:6" s="763" customFormat="1" ht="36">
      <c r="A93" s="767">
        <v>33</v>
      </c>
      <c r="B93" s="3721"/>
      <c r="C93" s="767" t="s">
        <v>638</v>
      </c>
      <c r="D93" s="681" t="s">
        <v>639</v>
      </c>
      <c r="E93" s="780">
        <v>0.2</v>
      </c>
      <c r="F93" s="767">
        <v>30</v>
      </c>
    </row>
    <row r="94" spans="1:6" s="763" customFormat="1" ht="48">
      <c r="A94" s="767">
        <v>34</v>
      </c>
      <c r="B94" s="3721"/>
      <c r="C94" s="767" t="s">
        <v>640</v>
      </c>
      <c r="D94" s="681" t="s">
        <v>641</v>
      </c>
      <c r="E94" s="780">
        <v>0.2</v>
      </c>
      <c r="F94" s="767">
        <v>30</v>
      </c>
    </row>
    <row r="95" spans="1:6" s="763" customFormat="1" ht="36">
      <c r="A95" s="767">
        <v>35</v>
      </c>
      <c r="B95" s="3721"/>
      <c r="C95" s="767" t="s">
        <v>642</v>
      </c>
      <c r="D95" s="681" t="s">
        <v>643</v>
      </c>
      <c r="E95" s="780">
        <v>0.2</v>
      </c>
      <c r="F95" s="767">
        <v>30</v>
      </c>
    </row>
    <row r="96" spans="1:6" s="763" customFormat="1" ht="48">
      <c r="A96" s="767">
        <v>36</v>
      </c>
      <c r="B96" s="3721"/>
      <c r="C96" s="681" t="s">
        <v>644</v>
      </c>
      <c r="D96" s="681" t="s">
        <v>645</v>
      </c>
      <c r="E96" s="780">
        <v>0.2</v>
      </c>
      <c r="F96" s="767">
        <v>30</v>
      </c>
    </row>
    <row r="97" spans="1:6" s="763" customFormat="1" ht="36">
      <c r="A97" s="767">
        <v>37</v>
      </c>
      <c r="B97" s="3721"/>
      <c r="C97" s="767" t="s">
        <v>646</v>
      </c>
      <c r="D97" s="681" t="s">
        <v>647</v>
      </c>
      <c r="E97" s="780">
        <v>0.2</v>
      </c>
      <c r="F97" s="767">
        <v>30</v>
      </c>
    </row>
    <row r="98" spans="1:6" s="763" customFormat="1" ht="36">
      <c r="A98" s="767">
        <v>38</v>
      </c>
      <c r="B98" s="3721"/>
      <c r="C98" s="767" t="s">
        <v>648</v>
      </c>
      <c r="D98" s="681" t="s">
        <v>649</v>
      </c>
      <c r="E98" s="780">
        <v>0.2</v>
      </c>
      <c r="F98" s="767">
        <v>30</v>
      </c>
    </row>
    <row r="99" spans="1:6" s="763" customFormat="1" ht="36">
      <c r="A99" s="767">
        <v>39</v>
      </c>
      <c r="B99" s="3721" t="s">
        <v>650</v>
      </c>
      <c r="C99" s="767" t="s">
        <v>651</v>
      </c>
      <c r="D99" s="681" t="s">
        <v>652</v>
      </c>
      <c r="E99" s="780">
        <v>0.3</v>
      </c>
      <c r="F99" s="767">
        <v>50</v>
      </c>
    </row>
    <row r="100" spans="1:6" s="763" customFormat="1" ht="24">
      <c r="A100" s="767">
        <v>40</v>
      </c>
      <c r="B100" s="3721"/>
      <c r="C100" s="767" t="s">
        <v>653</v>
      </c>
      <c r="D100" s="681" t="s">
        <v>654</v>
      </c>
      <c r="E100" s="780">
        <v>0.2</v>
      </c>
      <c r="F100" s="767">
        <v>30</v>
      </c>
    </row>
    <row r="101" spans="1:6" s="763" customFormat="1" ht="36">
      <c r="A101" s="767">
        <v>41</v>
      </c>
      <c r="B101" s="372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1" t="s">
        <v>665</v>
      </c>
      <c r="C105" s="767" t="s">
        <v>666</v>
      </c>
      <c r="D105" s="681" t="s">
        <v>667</v>
      </c>
      <c r="E105" s="780">
        <v>0.2</v>
      </c>
      <c r="F105" s="767">
        <v>30</v>
      </c>
    </row>
    <row r="106" spans="1:6" s="763" customFormat="1" ht="36">
      <c r="A106" s="767">
        <v>46</v>
      </c>
      <c r="B106" s="3721"/>
      <c r="C106" s="767" t="s">
        <v>668</v>
      </c>
      <c r="D106" s="681" t="s">
        <v>669</v>
      </c>
      <c r="E106" s="780">
        <v>0.2</v>
      </c>
      <c r="F106" s="767">
        <v>30</v>
      </c>
    </row>
    <row r="107" spans="1:6" s="763" customFormat="1" ht="36">
      <c r="A107" s="767">
        <v>47</v>
      </c>
      <c r="B107" s="3721" t="s">
        <v>670</v>
      </c>
      <c r="C107" s="767" t="s">
        <v>671</v>
      </c>
      <c r="D107" s="681" t="s">
        <v>672</v>
      </c>
      <c r="E107" s="780">
        <v>0.3</v>
      </c>
      <c r="F107" s="767">
        <v>50</v>
      </c>
    </row>
    <row r="108" spans="1:6" s="763" customFormat="1" ht="36">
      <c r="A108" s="767">
        <v>48</v>
      </c>
      <c r="B108" s="372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1" t="s">
        <v>681</v>
      </c>
      <c r="C111" s="767" t="s">
        <v>682</v>
      </c>
      <c r="D111" s="681" t="s">
        <v>683</v>
      </c>
      <c r="E111" s="780">
        <v>0.2</v>
      </c>
      <c r="F111" s="767">
        <v>30</v>
      </c>
    </row>
    <row r="112" spans="1:6" s="763" customFormat="1" ht="24">
      <c r="A112" s="767">
        <v>52</v>
      </c>
      <c r="B112" s="3721"/>
      <c r="C112" s="767" t="s">
        <v>684</v>
      </c>
      <c r="D112" s="681" t="s">
        <v>685</v>
      </c>
      <c r="E112" s="780">
        <v>0.2</v>
      </c>
      <c r="F112" s="767">
        <v>30</v>
      </c>
    </row>
    <row r="113" spans="1:6" s="763" customFormat="1" ht="24">
      <c r="A113" s="767">
        <v>53</v>
      </c>
      <c r="B113" s="372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1" t="s">
        <v>694</v>
      </c>
      <c r="C116" s="767" t="s">
        <v>695</v>
      </c>
      <c r="D116" s="681" t="s">
        <v>696</v>
      </c>
      <c r="E116" s="780">
        <v>0.2</v>
      </c>
      <c r="F116" s="767">
        <v>30</v>
      </c>
    </row>
    <row r="117" spans="1:6" ht="36">
      <c r="A117" s="767">
        <v>57</v>
      </c>
      <c r="B117" s="372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27" t="s">
        <v>964</v>
      </c>
      <c r="C1" s="3727"/>
      <c r="D1" s="3727"/>
      <c r="E1" s="3727"/>
      <c r="F1" s="3727"/>
      <c r="G1" s="3723" t="s">
        <v>965</v>
      </c>
      <c r="H1" s="3723"/>
      <c r="I1" s="3723"/>
      <c r="J1" s="3723"/>
      <c r="K1" s="3723"/>
      <c r="L1" s="3723"/>
      <c r="N1" s="3723" t="s">
        <v>966</v>
      </c>
      <c r="O1" s="3723"/>
      <c r="P1" s="3723"/>
      <c r="Q1" s="3723"/>
      <c r="S1" s="3723" t="s">
        <v>967</v>
      </c>
      <c r="T1" s="3723"/>
      <c r="U1" s="3723"/>
      <c r="V1" s="3723"/>
      <c r="X1" s="3722" t="s">
        <v>968</v>
      </c>
      <c r="Y1" s="3723"/>
      <c r="Z1" s="3723"/>
      <c r="AA1" s="3723"/>
      <c r="AB1" s="3723"/>
      <c r="AD1" s="3722" t="s">
        <v>969</v>
      </c>
      <c r="AE1" s="3723"/>
      <c r="AF1" s="3723"/>
      <c r="AG1" s="3723"/>
      <c r="AH1" s="3723"/>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2647</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2833</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2646</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2834</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2832</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2831</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2828</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2827</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2679</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2676</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2674</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2671</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2665</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2666</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2660</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25">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2655</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25"/>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2654</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25"/>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2651</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2"/>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2648</v>
      </c>
      <c r="B21" s="2347">
        <v>439</v>
      </c>
      <c r="C21" s="2347">
        <v>327</v>
      </c>
      <c r="D21" s="2347">
        <f t="shared" si="158"/>
        <v>327</v>
      </c>
      <c r="E21" s="2347">
        <v>627</v>
      </c>
      <c r="F21" s="2348">
        <v>283</v>
      </c>
      <c r="G21" s="3728">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2645</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25"/>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1189</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25"/>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2"/>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28">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25"/>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25"/>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26"/>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24">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25"/>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25"/>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26"/>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24">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25"/>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25"/>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26"/>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29">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0"/>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0"/>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1"/>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24">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25"/>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25"/>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26"/>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24">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25">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25">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26">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24">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25">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25">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26">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24">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25">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25">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26">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24">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25">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25">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26">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24">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25">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25">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26">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24">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25">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25">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26">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24">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25">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25">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26">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24">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25">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25">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26">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24">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25">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25">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26">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24">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25">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25">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26">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44545</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2829</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Normal="90" zoomScaleSheetLayoutView="100" workbookViewId="0">
      <pane ySplit="27" topLeftCell="A28" activePane="bottomLeft" state="frozen"/>
      <selection activeCell="F29" sqref="F29"/>
      <selection pane="bottomLeft" activeCell="A27" sqref="A27:A34"/>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2152</v>
      </c>
      <c r="B2" s="250">
        <f ca="1">B23</f>
        <v>943</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2153</v>
      </c>
      <c r="B3" s="250">
        <f ca="1">B24</f>
        <v>19062</v>
      </c>
      <c r="C3" s="900" t="s">
        <v>2154</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2155</v>
      </c>
      <c r="C4" s="3736" t="s">
        <v>2156</v>
      </c>
      <c r="D4" s="3737"/>
      <c r="E4" s="3737"/>
      <c r="F4" s="3737"/>
      <c r="G4" s="3737"/>
      <c r="H4" s="3737"/>
      <c r="I4" s="3737"/>
      <c r="J4" s="3737"/>
      <c r="K4" s="3737"/>
      <c r="L4" s="3737"/>
      <c r="M4" s="3737"/>
      <c r="N4" s="3737"/>
      <c r="O4" s="3737"/>
      <c r="P4" s="3737"/>
      <c r="Q4" s="3737"/>
      <c r="R4" s="3737"/>
      <c r="S4" s="3738"/>
      <c r="T4" s="575" t="s">
        <v>2157</v>
      </c>
      <c r="U4" s="997"/>
      <c r="V4" s="997"/>
      <c r="X4" s="997"/>
      <c r="Y4" s="997"/>
    </row>
    <row r="5" spans="1:44" s="587" customFormat="1" ht="38.25">
      <c r="A5" s="1001"/>
      <c r="B5" s="583" t="s">
        <v>2158</v>
      </c>
      <c r="C5" s="584" t="str">
        <f t="shared" ref="C5:L5" si="0">C6&amp;"(含)"&amp;"-"&amp;D6</f>
        <v>0(含)-50</v>
      </c>
      <c r="D5" s="585" t="str">
        <f t="shared" si="0"/>
        <v>50(含)-100</v>
      </c>
      <c r="E5" s="585" t="str">
        <f t="shared" si="0"/>
        <v>100(含)-200</v>
      </c>
      <c r="F5" s="585" t="str">
        <f t="shared" si="0"/>
        <v>200(含)-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3337">
        <v>50</v>
      </c>
      <c r="E6" s="3337">
        <v>100</v>
      </c>
      <c r="F6" s="1870">
        <v>200</v>
      </c>
      <c r="G6" s="589"/>
      <c r="H6" s="589"/>
      <c r="I6" s="589"/>
      <c r="J6" s="590"/>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883"/>
      <c r="H7" s="883"/>
      <c r="I7" s="883"/>
      <c r="J7" s="88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3047</v>
      </c>
      <c r="C8" s="3325" t="s">
        <v>3037</v>
      </c>
      <c r="D8" s="3325" t="s">
        <v>3049</v>
      </c>
      <c r="E8" s="3325" t="s">
        <v>3050</v>
      </c>
      <c r="F8" s="3325" t="s">
        <v>3051</v>
      </c>
      <c r="G8" s="3325" t="s">
        <v>3052</v>
      </c>
      <c r="H8" s="3325" t="s">
        <v>3053</v>
      </c>
      <c r="I8" s="3325" t="s">
        <v>3054</v>
      </c>
      <c r="J8" s="3325" t="s">
        <v>3055</v>
      </c>
      <c r="K8" s="3325" t="s">
        <v>3056</v>
      </c>
      <c r="L8" s="3325" t="s">
        <v>3057</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2159</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2160</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2161</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2162</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2163</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2164</v>
      </c>
      <c r="B20" s="1521" t="s">
        <v>2165</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2166</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2167</v>
      </c>
      <c r="B23" s="224">
        <f ca="1">IF(F23="——",IF(C23="万元",T25,S25),IF(C23="万元",T25-H23,S25-H23))</f>
        <v>943</v>
      </c>
      <c r="C23" s="1523" t="str">
        <f>'数据-取费表'!B3</f>
        <v>万元</v>
      </c>
      <c r="D23" s="37"/>
      <c r="E23" s="37"/>
      <c r="F23" s="1524" t="s">
        <v>1184</v>
      </c>
      <c r="G23" s="1294"/>
      <c r="H23" s="575" t="e">
        <f ca="1">SUMIF(INDIRECT("'"&amp;J23&amp;"'"&amp;"!A:A"),"承租人权益价值",INDIRECT("'"&amp;J23&amp;"'"&amp;"!c:c"))</f>
        <v>#REF!</v>
      </c>
      <c r="I23" s="575" t="str">
        <f>C2</f>
        <v>万元</v>
      </c>
      <c r="J23" s="1525" t="s">
        <v>3058</v>
      </c>
      <c r="K23" s="37"/>
      <c r="L23" s="37"/>
      <c r="M23" s="37"/>
      <c r="N23" s="37"/>
      <c r="O23" s="37"/>
      <c r="P23" s="37"/>
      <c r="Q23" s="37"/>
      <c r="R23" s="644"/>
      <c r="S23" s="31"/>
      <c r="T23" s="31"/>
      <c r="U23" s="997"/>
      <c r="V23" s="998"/>
      <c r="W23" s="661"/>
      <c r="X23" s="661"/>
      <c r="Y23" s="661"/>
      <c r="Z23" s="661"/>
    </row>
    <row r="24" spans="1:45" ht="15.75">
      <c r="A24" s="1523" t="s">
        <v>2168</v>
      </c>
      <c r="B24" s="224">
        <f ca="1">ROUND(B23*10000/B25,0)</f>
        <v>19062</v>
      </c>
      <c r="C24" s="863"/>
      <c r="D24" s="37"/>
      <c r="E24" s="37"/>
      <c r="F24" s="37"/>
      <c r="G24" s="37"/>
      <c r="H24" s="37"/>
      <c r="I24" s="37"/>
      <c r="J24" s="37"/>
      <c r="K24" s="37"/>
      <c r="L24" s="37"/>
      <c r="M24" s="37"/>
      <c r="N24" s="37"/>
      <c r="O24" s="37"/>
      <c r="P24" s="37"/>
      <c r="Q24" s="37"/>
      <c r="R24" s="644"/>
      <c r="S24" s="13" t="s">
        <v>2169</v>
      </c>
      <c r="T24" s="1300" t="s">
        <v>2170</v>
      </c>
      <c r="U24" s="2213" t="s">
        <v>2171</v>
      </c>
      <c r="V24" s="2955"/>
      <c r="W24" s="2956" t="s">
        <v>2172</v>
      </c>
      <c r="X24" s="2213" t="s">
        <v>2173</v>
      </c>
      <c r="Y24" s="2955"/>
      <c r="Z24" s="2957" t="s">
        <v>2172</v>
      </c>
    </row>
    <row r="25" spans="1:45">
      <c r="A25" s="250" t="s">
        <v>2174</v>
      </c>
      <c r="B25" s="13">
        <f>SUM(B27:B10000)</f>
        <v>494.7</v>
      </c>
      <c r="C25" s="3733" t="s">
        <v>45</v>
      </c>
      <c r="D25" s="3734"/>
      <c r="E25" s="3734"/>
      <c r="F25" s="3734"/>
      <c r="G25" s="3734"/>
      <c r="H25" s="3734"/>
      <c r="I25" s="3734"/>
      <c r="J25" s="3734"/>
      <c r="K25" s="3734"/>
      <c r="L25" s="3734"/>
      <c r="M25" s="3734"/>
      <c r="N25" s="3734"/>
      <c r="O25" s="3734"/>
      <c r="P25" s="3734"/>
      <c r="Q25" s="3735"/>
      <c r="R25" s="596">
        <f ca="1">IF(C23="万元",ROUND(T25*10000/B25,0),ROUND(S25/B25,0))</f>
        <v>19062</v>
      </c>
      <c r="S25" s="13">
        <f ca="1">SUM(S27:S10000)</f>
        <v>9440873</v>
      </c>
      <c r="T25" s="13">
        <f ca="1">SUM(T27:T10000)</f>
        <v>943</v>
      </c>
      <c r="U25" s="17">
        <f>SUM(U27:U10000)</f>
        <v>0</v>
      </c>
      <c r="V25" s="17">
        <f>SUM(V27:V10000)</f>
        <v>0</v>
      </c>
      <c r="W25" s="2959"/>
      <c r="X25" s="17">
        <f>SUM(X27:X10000)</f>
        <v>0</v>
      </c>
      <c r="Y25" s="17">
        <f>SUM(Y27:Y10000)</f>
        <v>0</v>
      </c>
      <c r="Z25" s="1526"/>
    </row>
    <row r="26" spans="1:45" s="11" customFormat="1" ht="24">
      <c r="A26" s="10" t="s">
        <v>2175</v>
      </c>
      <c r="B26" s="10" t="s">
        <v>2176</v>
      </c>
      <c r="C26" s="10" t="s">
        <v>2177</v>
      </c>
      <c r="D26" s="10" t="str">
        <f>B8</f>
        <v>朝向</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1211</v>
      </c>
      <c r="B27" s="599">
        <f>'数据-取费表'!E5</f>
        <v>58.79</v>
      </c>
      <c r="C27" s="899">
        <v>1</v>
      </c>
      <c r="D27" s="600" t="s">
        <v>3031</v>
      </c>
      <c r="E27" s="899">
        <v>1</v>
      </c>
      <c r="F27" s="600"/>
      <c r="G27" s="899">
        <v>1</v>
      </c>
      <c r="H27" s="600"/>
      <c r="I27" s="899">
        <v>1</v>
      </c>
      <c r="J27" s="600"/>
      <c r="K27" s="899">
        <v>1</v>
      </c>
      <c r="L27" s="600"/>
      <c r="M27" s="899">
        <v>1</v>
      </c>
      <c r="N27" s="600"/>
      <c r="O27" s="899">
        <v>1</v>
      </c>
      <c r="P27" s="600"/>
      <c r="Q27" s="899">
        <v>1</v>
      </c>
      <c r="R27" s="905">
        <f ca="1">结果表!G20</f>
        <v>20410</v>
      </c>
      <c r="S27" s="599">
        <f ca="1">ROUND(R27*B27,0)</f>
        <v>1199904</v>
      </c>
      <c r="T27" s="599">
        <f ca="1">ROUND(R27*B27/10000,0)</f>
        <v>120</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1214</v>
      </c>
      <c r="B28" s="20">
        <v>52.76</v>
      </c>
      <c r="C28" s="13">
        <f t="shared" ref="C28:C91" si="14">IF(B28="",1,(LOOKUP(B28,$6:$6,$7:$7)-LOOKUP($B$27,$6:$6,$7:$7)+100)/100)</f>
        <v>1</v>
      </c>
      <c r="D28" s="600" t="s">
        <v>3033</v>
      </c>
      <c r="E28" s="13">
        <f t="shared" ref="E28:E91" si="15">(SUMIF($8:$8,D28,$9:$9)-SUMIF($8:$8,$D$27,$9:$9)+100)/100</f>
        <v>0.92</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18777</v>
      </c>
      <c r="S28" s="250">
        <f ca="1">ROUND(R28*B28,0)</f>
        <v>990675</v>
      </c>
      <c r="T28" s="899">
        <f ca="1">ROUND(R28*B28/10000,0)</f>
        <v>99</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1215</v>
      </c>
      <c r="B29" s="20">
        <v>53.38</v>
      </c>
      <c r="C29" s="13">
        <f t="shared" si="14"/>
        <v>1</v>
      </c>
      <c r="D29" s="600" t="s">
        <v>3033</v>
      </c>
      <c r="E29" s="13">
        <f t="shared" si="15"/>
        <v>0.92</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18777</v>
      </c>
      <c r="S29" s="250">
        <f t="shared" ref="S29:S92" ca="1" si="27">ROUND(R29*B29,0)</f>
        <v>1002316</v>
      </c>
      <c r="T29" s="899">
        <f t="shared" ref="T29:T92" ca="1" si="28">ROUND(R29*B29/10000,0)</f>
        <v>100</v>
      </c>
      <c r="U29" s="2958">
        <f t="shared" si="22"/>
        <v>0</v>
      </c>
      <c r="V29" s="2958">
        <f t="shared" si="23"/>
        <v>0</v>
      </c>
      <c r="W29" s="996"/>
      <c r="X29" s="2958">
        <f t="shared" si="24"/>
        <v>0</v>
      </c>
      <c r="Y29" s="2958">
        <f t="shared" si="25"/>
        <v>0</v>
      </c>
      <c r="Z29" s="996"/>
    </row>
    <row r="30" spans="1:45">
      <c r="A30" s="20">
        <v>1216</v>
      </c>
      <c r="B30" s="20">
        <v>53.38</v>
      </c>
      <c r="C30" s="13">
        <f t="shared" si="14"/>
        <v>1</v>
      </c>
      <c r="D30" s="600" t="s">
        <v>3033</v>
      </c>
      <c r="E30" s="13">
        <f t="shared" si="15"/>
        <v>0.92</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ca="1" si="26"/>
        <v>18777</v>
      </c>
      <c r="S30" s="250">
        <f t="shared" ca="1" si="27"/>
        <v>1002316</v>
      </c>
      <c r="T30" s="899">
        <f t="shared" ca="1" si="28"/>
        <v>100</v>
      </c>
      <c r="U30" s="2958">
        <f t="shared" si="22"/>
        <v>0</v>
      </c>
      <c r="V30" s="2958">
        <f t="shared" si="23"/>
        <v>0</v>
      </c>
      <c r="W30" s="996"/>
      <c r="X30" s="2958">
        <f t="shared" si="24"/>
        <v>0</v>
      </c>
      <c r="Y30" s="2958">
        <f t="shared" si="25"/>
        <v>0</v>
      </c>
      <c r="Z30" s="996"/>
    </row>
    <row r="31" spans="1:45">
      <c r="A31" s="20">
        <v>1217</v>
      </c>
      <c r="B31" s="20">
        <v>71.069999999999993</v>
      </c>
      <c r="C31" s="13">
        <f t="shared" si="14"/>
        <v>1</v>
      </c>
      <c r="D31" s="600" t="s">
        <v>3033</v>
      </c>
      <c r="E31" s="13">
        <f t="shared" si="15"/>
        <v>0.92</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ca="1" si="26"/>
        <v>18777</v>
      </c>
      <c r="S31" s="250">
        <f t="shared" ca="1" si="27"/>
        <v>1334481</v>
      </c>
      <c r="T31" s="899">
        <f t="shared" ca="1" si="28"/>
        <v>133</v>
      </c>
      <c r="U31" s="2958">
        <f t="shared" si="22"/>
        <v>0</v>
      </c>
      <c r="V31" s="2958">
        <f t="shared" si="23"/>
        <v>0</v>
      </c>
      <c r="W31" s="996"/>
      <c r="X31" s="2958">
        <f t="shared" si="24"/>
        <v>0</v>
      </c>
      <c r="Y31" s="2958">
        <f t="shared" si="25"/>
        <v>0</v>
      </c>
      <c r="Z31" s="996"/>
    </row>
    <row r="32" spans="1:45">
      <c r="A32" s="20">
        <v>1218</v>
      </c>
      <c r="B32" s="20">
        <v>61.39</v>
      </c>
      <c r="C32" s="13">
        <f t="shared" si="14"/>
        <v>1</v>
      </c>
      <c r="D32" s="600" t="s">
        <v>3033</v>
      </c>
      <c r="E32" s="13">
        <f t="shared" si="15"/>
        <v>0.92</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ca="1" si="26"/>
        <v>18777</v>
      </c>
      <c r="S32" s="250">
        <f t="shared" ca="1" si="27"/>
        <v>1152720</v>
      </c>
      <c r="T32" s="899">
        <f t="shared" ca="1" si="28"/>
        <v>115</v>
      </c>
      <c r="U32" s="2958">
        <f t="shared" si="22"/>
        <v>0</v>
      </c>
      <c r="V32" s="2958">
        <f t="shared" si="23"/>
        <v>0</v>
      </c>
      <c r="W32" s="996"/>
      <c r="X32" s="2958">
        <f t="shared" si="24"/>
        <v>0</v>
      </c>
      <c r="Y32" s="2958">
        <f t="shared" si="25"/>
        <v>0</v>
      </c>
      <c r="Z32" s="996"/>
    </row>
    <row r="33" spans="1:26">
      <c r="A33" s="20">
        <v>1219</v>
      </c>
      <c r="B33" s="20">
        <v>52.76</v>
      </c>
      <c r="C33" s="13">
        <f t="shared" si="14"/>
        <v>1</v>
      </c>
      <c r="D33" s="600" t="s">
        <v>3033</v>
      </c>
      <c r="E33" s="13">
        <f t="shared" si="15"/>
        <v>0.92</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ca="1" si="26"/>
        <v>18777</v>
      </c>
      <c r="S33" s="250">
        <f t="shared" ca="1" si="27"/>
        <v>990675</v>
      </c>
      <c r="T33" s="899">
        <f t="shared" ca="1" si="28"/>
        <v>99</v>
      </c>
      <c r="U33" s="2958">
        <f t="shared" si="22"/>
        <v>0</v>
      </c>
      <c r="V33" s="2958">
        <f t="shared" si="23"/>
        <v>0</v>
      </c>
      <c r="W33" s="996"/>
      <c r="X33" s="2958">
        <f t="shared" si="24"/>
        <v>0</v>
      </c>
      <c r="Y33" s="2958">
        <f t="shared" si="25"/>
        <v>0</v>
      </c>
      <c r="Z33" s="996"/>
    </row>
    <row r="34" spans="1:26">
      <c r="A34" s="20">
        <v>1220</v>
      </c>
      <c r="B34" s="20">
        <v>91.17</v>
      </c>
      <c r="C34" s="13">
        <f t="shared" si="14"/>
        <v>1</v>
      </c>
      <c r="D34" s="600" t="s">
        <v>3035</v>
      </c>
      <c r="E34" s="13">
        <f t="shared" si="15"/>
        <v>0.95</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ca="1" si="26"/>
        <v>19390</v>
      </c>
      <c r="S34" s="250">
        <f t="shared" ca="1" si="27"/>
        <v>1767786</v>
      </c>
      <c r="T34" s="899">
        <f t="shared" ca="1" si="28"/>
        <v>177</v>
      </c>
      <c r="U34" s="2958">
        <f t="shared" si="22"/>
        <v>0</v>
      </c>
      <c r="V34" s="2958">
        <f t="shared" si="23"/>
        <v>0</v>
      </c>
      <c r="W34" s="996"/>
      <c r="X34" s="2958">
        <f t="shared" si="24"/>
        <v>0</v>
      </c>
      <c r="Y34" s="2958">
        <f t="shared" si="25"/>
        <v>0</v>
      </c>
      <c r="Z34" s="996"/>
    </row>
    <row r="35" spans="1:26">
      <c r="A35" s="35"/>
      <c r="B35" s="20"/>
      <c r="C35" s="13">
        <f t="shared" si="14"/>
        <v>1</v>
      </c>
      <c r="D35" s="600"/>
      <c r="E35" s="13">
        <f t="shared" si="15"/>
        <v>0.01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0.01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0.01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0.01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0.01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0.01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0.01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0.01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0.01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0.01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0.01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0.01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0.01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0.01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0.01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0.01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0.01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0.01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0.01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0.01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0.01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0.01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0.01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0.01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0.01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0.01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0.01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0.01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0.01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0.01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0.01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0.01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0.01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0.01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0.01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0.01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0.01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0.01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0.01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0.01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0.01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0.01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0.01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0.01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0.01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0.01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0.01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0.01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0.01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0.01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0.01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0.01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0.01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0.01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0.01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0.01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0.01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0.01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0.01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0.01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0.01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0.01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0.01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0.01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0.01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0.01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0.01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0.01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0.01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0.01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0.01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0.01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0.01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0.01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0.01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0.01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0.01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0.01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0.01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0.01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0.01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0.01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0.01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0.01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0.01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0.01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0.01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0.01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0.01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0.01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0.01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0.01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0.01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0.01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0.01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0.01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0.01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0.01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0.01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0.01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0.01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0.01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0.01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0.01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0.01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0.01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0.01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0.01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0.01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0.01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0.01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0.01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0.01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0.01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0.01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0.01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0.01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0.01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0.01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0.01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0.01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0.01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0.01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0.01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0.01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0.01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0.01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0.01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0.01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0.01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0.01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0.01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0.01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0.01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0.01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0.01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0.01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0.01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0.01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0.01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0.01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0.01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0.01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0.01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0.01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0.01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0.01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0.01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0.01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0.01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0.01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0.01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0.01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0.01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0.01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0.01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0.01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0.01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0.01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0.01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0.01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0.01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0.01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0.01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0.01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0.01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0.01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0.01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0.01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0.01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0.01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0.01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0.01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0.01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0.01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0.01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0.01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0.01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0.01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0.01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0.01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0.01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0.01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0.01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0.01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0.01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0.01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0.01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0.01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0.01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0.01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0.01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0.01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0.01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0.01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0.01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0.01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0.01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0.01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0.01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0.01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0.01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0.01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0.01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0.01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0.01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0.01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0.01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0.01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0.01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0.01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0.01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0.01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0.01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0.01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0.01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0.01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0.01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0.01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0.01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0.01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0.01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0.01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0.01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0.01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0.01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0.01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0.01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0.01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0.01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0.01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0.01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0.01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0.01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0.01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0.01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0.01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0.01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0.01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0.01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0.01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0.01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0.01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0.01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0.01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0.01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0.01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0.01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0.01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0.01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0.01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0.01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0.01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0.01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0.01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0.01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0.01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0.01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0.01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0.01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0.01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0.01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0.01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0.01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0.01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0.01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0.01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0.01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0.01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0.01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0.01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0.01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0.01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0.01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0.01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0.01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0.01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0.01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0.01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0.01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0.01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0.01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0.01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0.01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0.01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0.01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0.01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0.01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0.01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0.01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0.01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0.01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0.01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0.01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0.01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0.01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0.01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0.01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0.01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0.01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0.01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0.01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0.01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0.01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0.01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0.01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0.01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0.01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0.01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0.01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0.01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0.01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0.01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0.01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0.01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0.01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0.01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0.01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0.01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0.01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0.01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0.01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0.01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0.01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0.01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0.01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0.01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0.01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0.01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0.01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0.01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0.01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0.01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0.01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0.01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0.01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0.01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0.01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0.01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0.01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0.01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0.01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0.01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0.01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0.01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0.01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0.01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0.01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0.01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0.01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0.01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0.01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0.01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0.01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0.01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0.01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0.01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0.01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0.01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0.01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0.01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0.01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0.01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0.01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0.01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0.01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0.01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0.01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0.01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0.01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0.01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0.01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0.01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0.01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0.01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0.01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0.01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0.01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0.01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0.01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0.01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0.01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0.01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0.01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0.01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0.01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0.01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0.01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0.01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0.01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0.01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0.01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0.01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0.01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0.01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0.01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0.01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0.01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0.01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0.01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0.01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0.01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0.01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0.01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0.01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0.01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0.01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0.01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0.01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0.01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0.01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0.01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0.01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0.01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0.01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0.01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0.01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0.01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0.01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0.01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0.01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0.01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0.01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0.01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0.01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0.01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0.01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0.01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0.01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0.01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0.01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0.01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0.01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0.01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0.01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0.01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0.01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0.01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0.01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0.01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0.01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0.01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0.01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0.01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0.01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0.01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0.01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0.01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0.01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0.01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0.01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0.01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0.01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0.01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0.01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0.01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0.01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0.01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0.01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0.01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0.01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0.01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0.01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0.01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0.01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0.01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0.01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0.01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0.01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0.01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0.01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0.01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0.01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0.01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0.01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0.01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0.01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0.01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0.01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0.01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0.01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0.01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0.01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0.01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0.01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0.01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0.01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0.01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0.01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0.01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0.01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0.01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0.01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Q57"/>
  <sheetViews>
    <sheetView zoomScale="120" zoomScaleNormal="120" workbookViewId="0">
      <selection activeCell="N13" sqref="N13:N20"/>
    </sheetView>
  </sheetViews>
  <sheetFormatPr defaultRowHeight="13.5"/>
  <sheetData>
    <row r="1" spans="13:17">
      <c r="M1" s="1309" t="s">
        <v>3005</v>
      </c>
      <c r="N1" s="1309" t="s">
        <v>3060</v>
      </c>
      <c r="O1" s="1309" t="s">
        <v>3006</v>
      </c>
      <c r="P1" s="1309" t="s">
        <v>3007</v>
      </c>
      <c r="Q1" s="1309" t="s">
        <v>3030</v>
      </c>
    </row>
    <row r="2" spans="13:17">
      <c r="N2">
        <v>1111</v>
      </c>
      <c r="O2">
        <v>58.79</v>
      </c>
      <c r="P2" s="1309" t="s">
        <v>3008</v>
      </c>
      <c r="Q2" s="1309" t="s">
        <v>3032</v>
      </c>
    </row>
    <row r="3" spans="13:17">
      <c r="N3">
        <v>1114</v>
      </c>
      <c r="O3">
        <v>52.76</v>
      </c>
      <c r="P3" s="1309" t="s">
        <v>3008</v>
      </c>
      <c r="Q3" s="1309" t="s">
        <v>3034</v>
      </c>
    </row>
    <row r="4" spans="13:17">
      <c r="N4">
        <v>1115</v>
      </c>
      <c r="O4">
        <v>53.38</v>
      </c>
      <c r="P4" s="1309" t="s">
        <v>3008</v>
      </c>
      <c r="Q4" s="1309" t="s">
        <v>3034</v>
      </c>
    </row>
    <row r="5" spans="13:17">
      <c r="N5">
        <v>1116</v>
      </c>
      <c r="O5">
        <v>53.38</v>
      </c>
      <c r="P5" s="1309" t="s">
        <v>3008</v>
      </c>
      <c r="Q5" s="1309" t="s">
        <v>3034</v>
      </c>
    </row>
    <row r="6" spans="13:17">
      <c r="N6">
        <v>1117</v>
      </c>
      <c r="O6">
        <v>71.069999999999993</v>
      </c>
      <c r="P6" s="1309" t="s">
        <v>3008</v>
      </c>
      <c r="Q6" s="1309" t="s">
        <v>3034</v>
      </c>
    </row>
    <row r="7" spans="13:17">
      <c r="N7">
        <v>1118</v>
      </c>
      <c r="O7">
        <v>61.39</v>
      </c>
      <c r="P7" s="1309" t="s">
        <v>3008</v>
      </c>
      <c r="Q7" s="1309" t="s">
        <v>3034</v>
      </c>
    </row>
    <row r="8" spans="13:17">
      <c r="N8">
        <v>1119</v>
      </c>
      <c r="O8">
        <v>52.76</v>
      </c>
      <c r="P8" s="1309" t="s">
        <v>3008</v>
      </c>
      <c r="Q8" s="1309" t="s">
        <v>3034</v>
      </c>
    </row>
    <row r="9" spans="13:17">
      <c r="N9">
        <v>1120</v>
      </c>
      <c r="O9">
        <v>91.17</v>
      </c>
      <c r="P9" s="1309" t="s">
        <v>3008</v>
      </c>
      <c r="Q9" s="1309" t="s">
        <v>3036</v>
      </c>
    </row>
    <row r="10" spans="13:17">
      <c r="O10">
        <f>SUM(O2:O9)</f>
        <v>494.7</v>
      </c>
    </row>
    <row r="12" spans="13:17">
      <c r="M12" s="1309" t="s">
        <v>3009</v>
      </c>
      <c r="N12" s="1309" t="s">
        <v>3060</v>
      </c>
      <c r="O12" s="1309" t="s">
        <v>3006</v>
      </c>
      <c r="P12" s="1309" t="s">
        <v>3007</v>
      </c>
    </row>
    <row r="13" spans="13:17">
      <c r="N13">
        <v>1211</v>
      </c>
      <c r="O13">
        <v>58.79</v>
      </c>
      <c r="P13" s="1309" t="s">
        <v>3008</v>
      </c>
      <c r="Q13" s="1309" t="s">
        <v>3032</v>
      </c>
    </row>
    <row r="14" spans="13:17">
      <c r="N14">
        <v>1214</v>
      </c>
      <c r="O14">
        <v>52.76</v>
      </c>
      <c r="P14" s="1309" t="s">
        <v>3008</v>
      </c>
      <c r="Q14" s="1309" t="s">
        <v>3034</v>
      </c>
    </row>
    <row r="15" spans="13:17">
      <c r="N15">
        <v>1215</v>
      </c>
      <c r="O15">
        <v>53.38</v>
      </c>
      <c r="P15" s="1309" t="s">
        <v>3008</v>
      </c>
      <c r="Q15" s="1309" t="s">
        <v>3034</v>
      </c>
    </row>
    <row r="16" spans="13:17">
      <c r="N16">
        <v>1216</v>
      </c>
      <c r="O16">
        <v>53.38</v>
      </c>
      <c r="P16" s="1309" t="s">
        <v>3008</v>
      </c>
      <c r="Q16" s="1309" t="s">
        <v>3034</v>
      </c>
    </row>
    <row r="17" spans="13:17">
      <c r="N17">
        <v>1217</v>
      </c>
      <c r="O17">
        <v>71.069999999999993</v>
      </c>
      <c r="P17" s="1309" t="s">
        <v>3008</v>
      </c>
      <c r="Q17" s="1309" t="s">
        <v>3034</v>
      </c>
    </row>
    <row r="18" spans="13:17">
      <c r="N18">
        <v>1218</v>
      </c>
      <c r="O18">
        <v>61.39</v>
      </c>
      <c r="P18" s="1309" t="s">
        <v>3008</v>
      </c>
      <c r="Q18" s="1309" t="s">
        <v>3034</v>
      </c>
    </row>
    <row r="19" spans="13:17">
      <c r="N19">
        <v>1219</v>
      </c>
      <c r="O19">
        <v>52.76</v>
      </c>
      <c r="P19" s="1309" t="s">
        <v>3008</v>
      </c>
      <c r="Q19" s="1309" t="s">
        <v>3034</v>
      </c>
    </row>
    <row r="20" spans="13:17">
      <c r="N20">
        <v>1220</v>
      </c>
      <c r="O20">
        <v>91.17</v>
      </c>
      <c r="P20" s="1309" t="s">
        <v>3008</v>
      </c>
      <c r="Q20" s="1309" t="s">
        <v>3036</v>
      </c>
    </row>
    <row r="21" spans="13:17">
      <c r="O21">
        <f>SUM(O13:O20)</f>
        <v>494.7</v>
      </c>
    </row>
    <row r="24" spans="13:17">
      <c r="M24" s="1309" t="s">
        <v>3010</v>
      </c>
      <c r="N24" s="1309" t="s">
        <v>3060</v>
      </c>
      <c r="O24" s="1309" t="s">
        <v>3006</v>
      </c>
      <c r="P24" s="1309" t="s">
        <v>3007</v>
      </c>
    </row>
    <row r="25" spans="13:17">
      <c r="N25" s="1309">
        <v>1409</v>
      </c>
      <c r="O25" s="1309">
        <v>59.33</v>
      </c>
      <c r="P25" s="1309" t="s">
        <v>3008</v>
      </c>
      <c r="Q25" s="1309" t="s">
        <v>3032</v>
      </c>
    </row>
    <row r="26" spans="13:17">
      <c r="N26" s="1309">
        <v>1410</v>
      </c>
      <c r="O26" s="1309">
        <v>59.33</v>
      </c>
      <c r="P26" s="1309" t="s">
        <v>3008</v>
      </c>
      <c r="Q26" s="1309" t="s">
        <v>3032</v>
      </c>
    </row>
    <row r="27" spans="13:17">
      <c r="N27">
        <v>1411</v>
      </c>
      <c r="O27">
        <v>58.79</v>
      </c>
      <c r="P27" s="1309" t="s">
        <v>3008</v>
      </c>
      <c r="Q27" s="1309" t="s">
        <v>3032</v>
      </c>
    </row>
    <row r="28" spans="13:17">
      <c r="N28">
        <v>1414</v>
      </c>
      <c r="O28">
        <v>52.76</v>
      </c>
      <c r="P28" s="1309" t="s">
        <v>3008</v>
      </c>
      <c r="Q28" s="1309" t="s">
        <v>3034</v>
      </c>
    </row>
    <row r="29" spans="13:17">
      <c r="N29">
        <v>1415</v>
      </c>
      <c r="O29">
        <v>53.38</v>
      </c>
      <c r="P29" s="1309" t="s">
        <v>3008</v>
      </c>
      <c r="Q29" s="1309" t="s">
        <v>3034</v>
      </c>
    </row>
    <row r="30" spans="13:17">
      <c r="N30">
        <v>1416</v>
      </c>
      <c r="O30">
        <v>53.38</v>
      </c>
      <c r="P30" s="1309" t="s">
        <v>3008</v>
      </c>
      <c r="Q30" s="1309" t="s">
        <v>3034</v>
      </c>
    </row>
    <row r="31" spans="13:17">
      <c r="N31">
        <v>1417</v>
      </c>
      <c r="O31">
        <v>71.069999999999993</v>
      </c>
      <c r="P31" s="1309" t="s">
        <v>3008</v>
      </c>
      <c r="Q31" s="1309" t="s">
        <v>3034</v>
      </c>
    </row>
    <row r="32" spans="13:17">
      <c r="N32">
        <v>1418</v>
      </c>
      <c r="O32">
        <v>61.39</v>
      </c>
      <c r="P32" s="1309" t="s">
        <v>3008</v>
      </c>
      <c r="Q32" s="1309" t="s">
        <v>3034</v>
      </c>
    </row>
    <row r="33" spans="14:17">
      <c r="N33">
        <v>1419</v>
      </c>
      <c r="O33">
        <v>52.76</v>
      </c>
      <c r="P33" s="1309" t="s">
        <v>3008</v>
      </c>
      <c r="Q33" s="1309" t="s">
        <v>3034</v>
      </c>
    </row>
    <row r="34" spans="14:17">
      <c r="O34">
        <f>SUM(O25:O33)</f>
        <v>522.18999999999994</v>
      </c>
      <c r="Q34" s="1309"/>
    </row>
    <row r="57" spans="13:13">
      <c r="M57" s="1309" t="s">
        <v>3011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9"/>
      <c r="C2" s="3359"/>
      <c r="D2" s="3359"/>
      <c r="E2" s="3359"/>
    </row>
    <row r="3" spans="1:5" ht="13.5" customHeight="1">
      <c r="A3" s="1330"/>
      <c r="B3" s="1330"/>
      <c r="C3" s="1330"/>
      <c r="D3" s="1330"/>
      <c r="E3" s="1330"/>
    </row>
    <row r="4" spans="1:5" ht="19.5" thickBot="1">
      <c r="A4" s="3360" t="str">
        <f>IF(项目基本情况!D5="房地产市场价值","估价结果一览表（市场价值不需本页表格)","估价结果一览表")</f>
        <v>估价结果一览表</v>
      </c>
      <c r="B4" s="3360"/>
      <c r="C4" s="3360"/>
      <c r="D4" s="3360"/>
      <c r="E4" s="3360"/>
    </row>
    <row r="5" spans="1:5" ht="14.25" customHeight="1" thickTop="1">
      <c r="A5" s="1327"/>
      <c r="B5" s="1331" t="s">
        <v>742</v>
      </c>
      <c r="C5" s="3361" t="s">
        <v>775</v>
      </c>
      <c r="D5" s="3362"/>
      <c r="E5" s="1327"/>
    </row>
    <row r="6" spans="1:5" ht="14.25">
      <c r="A6" s="1327"/>
      <c r="B6" s="1332" t="str">
        <f>项目基本情况!I1</f>
        <v>北京市房地产</v>
      </c>
      <c r="C6" s="3363">
        <f>项目基本情况!C12</f>
        <v>58.79</v>
      </c>
      <c r="D6" s="3363"/>
      <c r="E6" s="1327"/>
    </row>
    <row r="7" spans="1:5" ht="14.25">
      <c r="A7" s="1327"/>
      <c r="B7" s="3357" t="s">
        <v>776</v>
      </c>
      <c r="C7" s="1333" t="str">
        <f>IF('数据-取费表'!B3="万元","总价（万元）","总价（元）")</f>
        <v>总价（万元）</v>
      </c>
      <c r="D7" s="1334">
        <f ca="1">IF('数据-取费表'!E3="否",结果表!I102,'结果表 (1修多)'!I104)</f>
        <v>943</v>
      </c>
      <c r="E7" s="1327"/>
    </row>
    <row r="8" spans="1:5" ht="14.25">
      <c r="A8" s="1327"/>
      <c r="B8" s="3357"/>
      <c r="C8" s="1335" t="s">
        <v>1106</v>
      </c>
      <c r="D8" s="1336" t="str">
        <f ca="1">IF('数据-取费表'!B3="万元",NUMBERSTRING(INT(D7*10000),2)&amp;"元整",NUMBERSTRING(INT(D7),2)&amp;"元整")</f>
        <v>玖佰肆拾叁万元整</v>
      </c>
      <c r="E8" s="1327"/>
    </row>
    <row r="9" spans="1:5" ht="14.25">
      <c r="A9" s="1327"/>
      <c r="B9" s="3357"/>
      <c r="C9" s="1337" t="s">
        <v>1203</v>
      </c>
      <c r="D9" s="1334">
        <f ca="1">IF('数据-取费表'!E3="否",结果表!I103,'结果表 (1修多)'!I105)</f>
        <v>19062</v>
      </c>
      <c r="E9" s="1327"/>
    </row>
    <row r="10" spans="1:5" ht="14.25">
      <c r="A10" s="1327"/>
      <c r="B10" s="3364"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64"/>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64" t="str">
        <f>IF('数据-取费表'!E3="否",结果表!F110,'结果表 (1修多)'!F112)</f>
        <v>3.房地产抵押价值</v>
      </c>
      <c r="C15" s="1328" t="str">
        <f>C7</f>
        <v>总价（万元）</v>
      </c>
      <c r="D15" s="1334">
        <f ca="1">IF('数据-取费表'!E3="否",结果表!I110,'结果表 (1修多)'!I112)</f>
        <v>943</v>
      </c>
      <c r="E15" s="1327"/>
    </row>
    <row r="16" spans="1:5" ht="14.25">
      <c r="A16" s="1327"/>
      <c r="B16" s="3364"/>
      <c r="C16" s="1335" t="s">
        <v>1106</v>
      </c>
      <c r="D16" s="1334" t="str">
        <f ca="1">IF('数据-取费表'!B3="万元",NUMBERSTRING(INT(D15*10000),2)&amp;"元整",NUMBERSTRING(INT(D15),2)&amp;"元整")</f>
        <v>玖佰肆拾叁万元整</v>
      </c>
      <c r="E16" s="1327"/>
    </row>
    <row r="17" spans="1:5" ht="14.25">
      <c r="A17" s="1327"/>
      <c r="B17" s="3364"/>
      <c r="C17" s="1337" t="s">
        <v>1203</v>
      </c>
      <c r="D17" s="1334">
        <f ca="1">IF('数据-取费表'!E3="否",结果表!I111,'结果表 (1修多)'!I113)</f>
        <v>19062</v>
      </c>
      <c r="E17" s="1327"/>
    </row>
    <row r="18" spans="1:5" ht="14.25">
      <c r="A18" s="1327"/>
      <c r="B18" s="3364" t="str">
        <f>IF('数据-取费表'!E3="否",结果表!F112,'结果表 (1修多)'!F114)</f>
        <v>——</v>
      </c>
      <c r="C18" s="1328" t="str">
        <f>C7</f>
        <v>总价（万元）</v>
      </c>
      <c r="D18" s="1334" t="str">
        <f>IF('数据-取费表'!E3="否",结果表!I112,'结果表 (1修多)'!I114)</f>
        <v>——</v>
      </c>
      <c r="E18" s="1327"/>
    </row>
    <row r="19" spans="1:5" ht="14.25">
      <c r="A19" s="1327"/>
      <c r="B19" s="3364"/>
      <c r="C19" s="1335" t="s">
        <v>1106</v>
      </c>
      <c r="D19" s="1334" t="e">
        <f>IF('数据-取费表'!B3="万元",NUMBERSTRING(INT(D18*10000),2)&amp;"元整",NUMBERSTRING(INT(D18),2)&amp;"元整")</f>
        <v>#VALUE!</v>
      </c>
      <c r="E19" s="1327"/>
    </row>
    <row r="20" spans="1:5" ht="14.25">
      <c r="A20" s="1327"/>
      <c r="B20" s="3364"/>
      <c r="C20" s="1337" t="s">
        <v>1203</v>
      </c>
      <c r="D20" s="1334" t="str">
        <f>IF('数据-取费表'!E3="否",结果表!I113,'结果表 (1修多)'!I115)</f>
        <v>——</v>
      </c>
      <c r="E20" s="1327"/>
    </row>
    <row r="21" spans="1:5" ht="14.25">
      <c r="A21" s="1327"/>
      <c r="B21" s="3357" t="str">
        <f>IF('数据-取费表'!E3="否",结果表!F114,'结果表 (1修多)'!F116)</f>
        <v>——</v>
      </c>
      <c r="C21" s="1333" t="str">
        <f>C7</f>
        <v>总价（万元）</v>
      </c>
      <c r="D21" s="1334" t="str">
        <f>IF('数据-取费表'!E3="否",结果表!I114,'结果表 (1修多)'!I116)</f>
        <v>——</v>
      </c>
      <c r="E21" s="1327"/>
    </row>
    <row r="22" spans="1:5" ht="14.25">
      <c r="A22" s="1327"/>
      <c r="B22" s="3357"/>
      <c r="C22" s="1335" t="s">
        <v>1106</v>
      </c>
      <c r="D22" s="1336" t="e">
        <f>IF('数据-取费表'!B3="万元",NUMBERSTRING(INT(D21*10000),2)&amp;"元整",NUMBERSTRING(INT(D21),2)&amp;"元整")</f>
        <v>#VALUE!</v>
      </c>
      <c r="E22" s="1327"/>
    </row>
    <row r="23" spans="1:5" ht="15" thickBot="1">
      <c r="A23" s="1327"/>
      <c r="B23" s="3358"/>
      <c r="C23" s="1342" t="s">
        <v>1203</v>
      </c>
      <c r="D23" s="1343" t="str">
        <f ca="1">IF('数据-取费表'!E3="否",结果表!I115,'结果表 (1修多)'!I117)</f>
        <v>——</v>
      </c>
      <c r="E23" s="1327"/>
    </row>
    <row r="24" spans="1:5" ht="14.25" thickTop="1">
      <c r="A24" s="1327"/>
      <c r="B24" s="1327"/>
      <c r="C24" s="1327"/>
      <c r="D24" s="1327"/>
      <c r="E24" s="1327"/>
    </row>
    <row r="25" spans="1:5" ht="18.75" customHeight="1" thickBot="1">
      <c r="A25" s="1327"/>
      <c r="B25" s="3349" t="s">
        <v>1204</v>
      </c>
      <c r="C25" s="3349"/>
      <c r="D25" s="3349"/>
      <c r="E25" s="1327"/>
    </row>
    <row r="26" spans="1:5" ht="18.75" customHeight="1" thickTop="1">
      <c r="A26" s="1327"/>
      <c r="B26" s="3352" t="s">
        <v>1105</v>
      </c>
      <c r="C26" s="3353"/>
      <c r="D26" s="3350" t="s">
        <v>1104</v>
      </c>
      <c r="E26" s="1327"/>
    </row>
    <row r="27" spans="1:5" ht="18.75" customHeight="1">
      <c r="A27" s="1327"/>
      <c r="B27" s="3354"/>
      <c r="C27" s="3355"/>
      <c r="D27" s="3351"/>
      <c r="E27" s="1327"/>
    </row>
    <row r="28" spans="1:5" ht="14.25">
      <c r="A28" s="1327"/>
      <c r="B28" s="3342" t="s">
        <v>776</v>
      </c>
      <c r="C28" s="1344" t="s">
        <v>1107</v>
      </c>
      <c r="D28" s="1345">
        <f ca="1">IF('数据-取费表'!E3="否",结果表!I102,'结果表 (1修多)'!I104)</f>
        <v>943</v>
      </c>
      <c r="E28" s="1327"/>
    </row>
    <row r="29" spans="1:5" ht="14.25">
      <c r="A29" s="1327"/>
      <c r="B29" s="3343"/>
      <c r="C29" s="1346" t="s">
        <v>1106</v>
      </c>
      <c r="D29" s="1347" t="str">
        <f ca="1">IF('数据-取费表'!B3="万元",NUMBERSTRING(INT(D28*10000),2)&amp;"元整",NUMBERSTRING(INT(D28),2)&amp;"元整")</f>
        <v>玖佰肆拾叁万元整</v>
      </c>
      <c r="E29" s="1327"/>
    </row>
    <row r="30" spans="1:5" ht="14.25">
      <c r="A30" s="1327"/>
      <c r="B30" s="3344"/>
      <c r="C30" s="1337" t="s">
        <v>1109</v>
      </c>
      <c r="D30" s="1348">
        <f ca="1">IF('数据-取费表'!E3="否",结果表!I103,'结果表 (1修多)'!I105)</f>
        <v>19062</v>
      </c>
      <c r="E30" s="1327"/>
    </row>
    <row r="31" spans="1:5" ht="14.25">
      <c r="A31" s="1327"/>
      <c r="B31" s="3347" t="str">
        <f>B10</f>
        <v>2.估价师所知悉的法定优先受偿款</v>
      </c>
      <c r="C31" s="1349" t="s">
        <v>1108</v>
      </c>
      <c r="D31" s="1350">
        <f>IF('数据-取费表'!E3="否",结果表!I105,'结果表 (1修多)'!I107)</f>
        <v>0</v>
      </c>
      <c r="E31" s="1327"/>
    </row>
    <row r="32" spans="1:5" ht="14.25">
      <c r="A32" s="1327"/>
      <c r="B32" s="3356"/>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45" t="str">
        <f>B15</f>
        <v>3.房地产抵押价值</v>
      </c>
      <c r="C36" s="1349" t="str">
        <f>C28</f>
        <v>总价</v>
      </c>
      <c r="D36" s="1350">
        <f ca="1">IF('数据-取费表'!E3="否",结果表!I110,'结果表 (1修多)'!I112)</f>
        <v>943</v>
      </c>
      <c r="E36" s="1327"/>
    </row>
    <row r="37" spans="1:5" ht="14.25">
      <c r="A37" s="1327"/>
      <c r="B37" s="3345"/>
      <c r="C37" s="1346" t="s">
        <v>1106</v>
      </c>
      <c r="D37" s="1351" t="str">
        <f ca="1">IF('数据-取费表'!B3="万元",NUMBERSTRING(INT(D36*10000),2)&amp;"元整",NUMBERSTRING(INT(D36),2)&amp;"元整")</f>
        <v>玖佰肆拾叁万元整</v>
      </c>
      <c r="E37" s="1327"/>
    </row>
    <row r="38" spans="1:5" ht="14.25">
      <c r="A38" s="1327"/>
      <c r="B38" s="3345"/>
      <c r="C38" s="1337" t="s">
        <v>1110</v>
      </c>
      <c r="D38" s="1348">
        <f ca="1">IF('数据-取费表'!E3="否",结果表!D113,'结果表 (1修多)'!D117)</f>
        <v>19062</v>
      </c>
      <c r="E38" s="1327"/>
    </row>
    <row r="39" spans="1:5" ht="14.25">
      <c r="A39" s="1327"/>
      <c r="B39" s="3346" t="str">
        <f>B18</f>
        <v>——</v>
      </c>
      <c r="C39" s="1349" t="str">
        <f>C28</f>
        <v>总价</v>
      </c>
      <c r="D39" s="1350" t="str">
        <f>IF('数据-取费表'!E3="否",结果表!I112,'结果表 (1修多)'!I114)</f>
        <v>——</v>
      </c>
      <c r="E39" s="1327"/>
    </row>
    <row r="40" spans="1:5" ht="14.25">
      <c r="A40" s="1327"/>
      <c r="B40" s="3346"/>
      <c r="C40" s="1346" t="s">
        <v>1106</v>
      </c>
      <c r="D40" s="1351" t="e">
        <f>IF('数据-取费表'!B3="万元",NUMBERSTRING(INT(D39*10000),2)&amp;"元整",NUMBERSTRING(INT(D39),2)&amp;"元整")</f>
        <v>#VALUE!</v>
      </c>
      <c r="E40" s="1327"/>
    </row>
    <row r="41" spans="1:5" ht="14.25">
      <c r="A41" s="1327"/>
      <c r="B41" s="3346"/>
      <c r="C41" s="1337" t="s">
        <v>1110</v>
      </c>
      <c r="D41" s="1348" t="str">
        <f>IF('数据-取费表'!E3="否",结果表!D115,'结果表 (1修多)'!D119)</f>
        <v>——</v>
      </c>
      <c r="E41" s="1327"/>
    </row>
    <row r="42" spans="1:5" ht="14.25">
      <c r="A42" s="1327"/>
      <c r="B42" s="3345" t="str">
        <f>B21</f>
        <v>——</v>
      </c>
      <c r="C42" s="1349" t="str">
        <f>C28</f>
        <v>总价</v>
      </c>
      <c r="D42" s="1350" t="str">
        <f>IF('数据-取费表'!E3="否",结果表!I114,'结果表 (1修多)'!I116)</f>
        <v>——</v>
      </c>
      <c r="E42" s="1327"/>
    </row>
    <row r="43" spans="1:5" ht="14.25">
      <c r="A43" s="1327"/>
      <c r="B43" s="3347"/>
      <c r="C43" s="1346" t="s">
        <v>1106</v>
      </c>
      <c r="D43" s="1352" t="e">
        <f>IF('数据-取费表'!B3="万元",NUMBERSTRING(INT(D42*10000),2)&amp;"元整",NUMBERSTRING(INT(D42),2)&amp;"元整")</f>
        <v>#VALUE!</v>
      </c>
      <c r="E43" s="1327"/>
    </row>
    <row r="44" spans="1:5" ht="15" thickBot="1">
      <c r="A44" s="1327"/>
      <c r="B44" s="3348"/>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23" sqref="A2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1" t="str">
        <f>IF(项目基本情况!D5="房地产市场价值","估价结果一览表","结果表-2")</f>
        <v>结果表-2</v>
      </c>
      <c r="B1" s="3371"/>
      <c r="C1" s="3371"/>
      <c r="D1" s="3371"/>
      <c r="E1" s="3371"/>
      <c r="F1" s="3371"/>
      <c r="G1" s="3371"/>
      <c r="H1" s="3371"/>
      <c r="I1" s="3371"/>
    </row>
    <row r="2" spans="1:9" ht="30" customHeight="1" thickTop="1">
      <c r="A2" s="3372" t="s">
        <v>1205</v>
      </c>
      <c r="B2" s="3372" t="s">
        <v>1206</v>
      </c>
      <c r="C2" s="3372" t="s">
        <v>1207</v>
      </c>
      <c r="D2" s="3372" t="str">
        <f>IF('数据-取费表'!E3="否",结果表!D119,'结果表 (1修多)'!D123)</f>
        <v>出让国有建设用地使用权价值</v>
      </c>
      <c r="E2" s="3372"/>
      <c r="F2" s="3372" t="s">
        <v>1208</v>
      </c>
      <c r="G2" s="3372"/>
      <c r="H2" s="3372" t="s">
        <v>1209</v>
      </c>
      <c r="I2" s="3372"/>
    </row>
    <row r="3" spans="1:9" ht="15">
      <c r="A3" s="3365"/>
      <c r="B3" s="3365"/>
      <c r="C3" s="3365"/>
      <c r="D3" s="817" t="s">
        <v>1210</v>
      </c>
      <c r="E3" s="817" t="s">
        <v>1211</v>
      </c>
      <c r="F3" s="817" t="s">
        <v>1210</v>
      </c>
      <c r="G3" s="817" t="s">
        <v>1212</v>
      </c>
      <c r="H3" s="817" t="s">
        <v>1210</v>
      </c>
      <c r="I3" s="817" t="s">
        <v>1212</v>
      </c>
    </row>
    <row r="4" spans="1:9" ht="46.5" customHeight="1">
      <c r="A4" s="817" t="str">
        <f>项目基本情况!I1</f>
        <v>北京市房地产</v>
      </c>
      <c r="B4" s="817">
        <f>结果表!B121</f>
        <v>58.79</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943</v>
      </c>
      <c r="I4" s="817">
        <f ca="1">IF('数据-取费表'!E3="否",结果表!I121,'结果表 (1修多)'!I125)</f>
        <v>19062</v>
      </c>
    </row>
    <row r="5" spans="1:9" ht="15">
      <c r="A5" s="3365" t="s">
        <v>1213</v>
      </c>
      <c r="B5" s="3365"/>
      <c r="C5" s="3365"/>
      <c r="D5" s="3366" t="str">
        <f>IF('数据-取费表'!E3="否",结果表!D122,'结果表 (1修多)'!D126)</f>
        <v>零元整</v>
      </c>
      <c r="E5" s="3366"/>
      <c r="F5" s="3366" t="str">
        <f>IF('数据-取费表'!E3="否",结果表!F122,'结果表 (1修多)'!F126)</f>
        <v>零元整</v>
      </c>
      <c r="G5" s="3366"/>
      <c r="H5" s="3366" t="str">
        <f ca="1">IF('数据-取费表'!E3="否",结果表!H122,'结果表 (1修多)'!H126)</f>
        <v>玖佰肆拾叁万元整</v>
      </c>
      <c r="I5" s="3366"/>
    </row>
    <row r="6" spans="1:9" ht="15.75">
      <c r="A6" s="3367" t="str">
        <f>IF('数据-取费表'!E3="否",结果表!A123,'结果表 (1修多)'!A127)</f>
        <v>估价师所知悉的法定优先受偿款</v>
      </c>
      <c r="B6" s="3367"/>
      <c r="C6" s="3367"/>
      <c r="D6" s="3367">
        <f>IF('数据-取费表'!E3="否",结果表!D123,'结果表 (1修多)'!D127)</f>
        <v>0</v>
      </c>
      <c r="E6" s="3367"/>
      <c r="F6" s="3367"/>
      <c r="G6" s="3367"/>
      <c r="H6" s="3367"/>
      <c r="I6" s="3367"/>
    </row>
    <row r="7" spans="1:9" ht="15">
      <c r="A7" s="3365" t="s">
        <v>1213</v>
      </c>
      <c r="B7" s="3365"/>
      <c r="C7" s="3365"/>
      <c r="D7" s="3373">
        <f>IF('数据-取费表'!E3="否",结果表!D124,'结果表 (1修多)'!D128)</f>
        <v>0</v>
      </c>
      <c r="E7" s="3374"/>
      <c r="F7" s="3374"/>
      <c r="G7" s="3374"/>
      <c r="H7" s="3374"/>
      <c r="I7" s="3375"/>
    </row>
    <row r="8" spans="1:9" ht="15.75">
      <c r="A8" s="3367" t="str">
        <f>IF('数据-取费表'!E3="否",结果表!A125,'结果表 (1修多)'!A129)</f>
        <v>房地产抵押价值</v>
      </c>
      <c r="B8" s="3367"/>
      <c r="C8" s="3367"/>
      <c r="D8" s="3367">
        <f ca="1">IF('数据-取费表'!E3="否",结果表!D125,'结果表 (1修多)'!D129)</f>
        <v>943</v>
      </c>
      <c r="E8" s="3367"/>
      <c r="F8" s="3367"/>
      <c r="G8" s="3367"/>
      <c r="H8" s="3367"/>
      <c r="I8" s="3367"/>
    </row>
    <row r="9" spans="1:9" ht="15">
      <c r="A9" s="3365" t="s">
        <v>1213</v>
      </c>
      <c r="B9" s="3365"/>
      <c r="C9" s="3365"/>
      <c r="D9" s="3366">
        <f ca="1">IF('数据-取费表'!E3="否",结果表!D126,'结果表 (1修多)'!D130)</f>
        <v>19062</v>
      </c>
      <c r="E9" s="3366"/>
      <c r="F9" s="3366"/>
      <c r="G9" s="3366"/>
      <c r="H9" s="3366"/>
      <c r="I9" s="3366"/>
    </row>
    <row r="10" spans="1:9" ht="15.75">
      <c r="A10" s="3367" t="str">
        <f>IF('数据-取费表'!E3="否",结果表!A127,'结果表 (1修多)'!A131)</f>
        <v/>
      </c>
      <c r="B10" s="3367"/>
      <c r="C10" s="3367"/>
      <c r="D10" s="3367">
        <f ca="1">IF('数据-取费表'!E3="否",结果表!D127,'结果表 (1修多)'!D130)</f>
        <v>19062</v>
      </c>
      <c r="E10" s="3367"/>
      <c r="F10" s="3367"/>
      <c r="G10" s="3367"/>
      <c r="H10" s="3367"/>
      <c r="I10" s="3367"/>
    </row>
    <row r="11" spans="1:9" ht="15">
      <c r="A11" s="3365" t="s">
        <v>1213</v>
      </c>
      <c r="B11" s="3365"/>
      <c r="C11" s="3365"/>
      <c r="D11" s="3366" t="str">
        <f>IF('数据-取费表'!E3="否",结果表!D128,'结果表 (1修多)'!D132)</f>
        <v>——</v>
      </c>
      <c r="E11" s="3366"/>
      <c r="F11" s="3366"/>
      <c r="G11" s="3366"/>
      <c r="H11" s="3366"/>
      <c r="I11" s="3366"/>
    </row>
    <row r="12" spans="1:9" ht="15.75">
      <c r="A12" s="3367" t="str">
        <f>IF('数据-取费表'!E3="否",结果表!A129,'结果表 (1修多)'!A133)</f>
        <v/>
      </c>
      <c r="B12" s="3367"/>
      <c r="C12" s="3367"/>
      <c r="D12" s="3367" t="str">
        <f>IF('数据-取费表'!E3="否",结果表!D129,'结果表 (1修多)'!D133)</f>
        <v>——</v>
      </c>
      <c r="E12" s="3367"/>
      <c r="F12" s="3367"/>
      <c r="G12" s="3367"/>
      <c r="H12" s="3367"/>
      <c r="I12" s="3367"/>
    </row>
    <row r="13" spans="1:9" ht="15.75" thickBot="1">
      <c r="A13" s="3368" t="s">
        <v>1213</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单位：平方米、万元、元/平方米（币种：人民币）</v>
      </c>
      <c r="B14" s="3370"/>
      <c r="C14" s="3370"/>
      <c r="D14" s="3370"/>
      <c r="E14" s="3370"/>
      <c r="F14" s="3370"/>
      <c r="G14" s="3370"/>
      <c r="H14" s="3370"/>
      <c r="I14" s="3370"/>
    </row>
    <row r="15" spans="1:9">
      <c r="A15" s="604"/>
      <c r="B15" s="604"/>
      <c r="C15" s="604"/>
      <c r="D15" s="604"/>
      <c r="E15" s="604"/>
      <c r="F15" s="604"/>
      <c r="G15" s="604"/>
      <c r="H15" s="604"/>
      <c r="I15" s="604"/>
    </row>
    <row r="16" spans="1:9" ht="18.75">
      <c r="A16" s="1355"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77" t="s">
        <v>1226</v>
      </c>
      <c r="B1" s="3377"/>
      <c r="C1" s="3377"/>
      <c r="D1" s="3377"/>
    </row>
    <row r="2" spans="1:4" ht="18">
      <c r="A2" s="3376" t="s">
        <v>1215</v>
      </c>
      <c r="B2" s="3376"/>
      <c r="C2" s="3376"/>
      <c r="D2" s="3376"/>
    </row>
    <row r="3" spans="1:4" ht="18.75">
      <c r="A3" s="1356" t="s">
        <v>1216</v>
      </c>
      <c r="B3" s="1356" t="s">
        <v>1217</v>
      </c>
      <c r="C3" s="1356" t="s">
        <v>1218</v>
      </c>
      <c r="D3" s="1356" t="s">
        <v>1219</v>
      </c>
    </row>
    <row r="4" spans="1:4" ht="56.25" customHeight="1">
      <c r="A4" s="1357">
        <f>项目基本情况!B3</f>
        <v>0</v>
      </c>
      <c r="B4" s="1358">
        <f>项目基本情况!C3</f>
        <v>0</v>
      </c>
      <c r="C4" s="1359"/>
      <c r="D4" s="1360" t="s">
        <v>1227</v>
      </c>
    </row>
    <row r="5" spans="1:4" ht="56.25" customHeight="1">
      <c r="A5" s="1357">
        <f>项目基本情况!D3</f>
        <v>0</v>
      </c>
      <c r="B5" s="1358">
        <f>项目基本情况!E3</f>
        <v>0</v>
      </c>
      <c r="C5" s="1361"/>
      <c r="D5" s="1360" t="s">
        <v>1227</v>
      </c>
    </row>
    <row r="6" spans="1:4" ht="12" customHeight="1">
      <c r="A6" s="1357"/>
      <c r="B6" s="1358"/>
      <c r="C6" s="1362"/>
      <c r="D6" s="1360"/>
    </row>
    <row r="7" spans="1:4" ht="18">
      <c r="A7" s="3376" t="s">
        <v>1220</v>
      </c>
      <c r="B7" s="3376"/>
      <c r="C7" s="3376"/>
      <c r="D7" s="3376"/>
    </row>
    <row r="8" spans="1:4" ht="18.75">
      <c r="A8" s="1356" t="s">
        <v>1216</v>
      </c>
      <c r="B8" s="1358" t="s">
        <v>1221</v>
      </c>
      <c r="C8" s="1356" t="s">
        <v>1218</v>
      </c>
      <c r="D8" s="1356" t="s">
        <v>1219</v>
      </c>
    </row>
    <row r="9" spans="1:4" ht="56.25" customHeight="1">
      <c r="A9" s="1363" t="s">
        <v>777</v>
      </c>
      <c r="B9" s="1363" t="s">
        <v>778</v>
      </c>
      <c r="C9" s="1359"/>
      <c r="D9" s="1360" t="s">
        <v>1227</v>
      </c>
    </row>
    <row r="11" spans="1:4" ht="18.75">
      <c r="A11" s="1364" t="s">
        <v>1222</v>
      </c>
    </row>
    <row r="12" spans="1:4" ht="30" customHeight="1">
      <c r="A12" s="3378" t="s">
        <v>2680</v>
      </c>
      <c r="B12" s="3379"/>
      <c r="C12" s="3379"/>
      <c r="D12" s="3379"/>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9"/>
      <c r="C13" s="3379"/>
      <c r="D13" s="3379"/>
    </row>
    <row r="14" spans="1:4" ht="30" customHeight="1">
      <c r="A14" s="33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9"/>
      <c r="C14" s="3379"/>
      <c r="D14" s="3379"/>
    </row>
    <row r="15" spans="1:4" ht="15.75" customHeight="1">
      <c r="A15" s="3378" t="str">
        <f>IF(项目基本情况!D4="抵押","4.本次评估估价师所知悉的法定优先受偿款情况说明如下：","——")</f>
        <v>4.本次评估估价师所知悉的法定优先受偿款情况说明如下：</v>
      </c>
      <c r="B15" s="3379"/>
      <c r="C15" s="3379"/>
      <c r="D15" s="3379"/>
    </row>
    <row r="16" spans="1:4" ht="75" customHeight="1">
      <c r="A16" s="3378"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8"/>
      <c r="C16" s="3378"/>
      <c r="D16" s="3378"/>
    </row>
    <row r="17" spans="1:4" ht="63.75" customHeight="1">
      <c r="A17" s="3380" t="s">
        <v>1228</v>
      </c>
      <c r="B17" s="3380"/>
      <c r="C17" s="3380"/>
      <c r="D17" s="3380"/>
    </row>
    <row r="18" spans="1:4" ht="15.75" customHeight="1">
      <c r="A18" s="3378" t="str">
        <f>IF(项目基本情况!D4="抵押",结果表!L106,"——")</f>
        <v>本次评估不存在估价师所知悉的法定优先受偿款。</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80" t="s">
        <v>2681</v>
      </c>
      <c r="B20" s="3380"/>
      <c r="C20" s="3380"/>
      <c r="D20" s="3380"/>
    </row>
    <row r="21" spans="1:4">
      <c r="A21" s="1365"/>
      <c r="B21" s="978"/>
      <c r="C21" s="978"/>
      <c r="D21" s="978"/>
    </row>
    <row r="22" spans="1:4">
      <c r="A22" s="1365"/>
      <c r="B22" s="978"/>
      <c r="C22" s="978"/>
      <c r="D22" s="978"/>
    </row>
    <row r="23" spans="1:4" ht="18.75">
      <c r="A23" s="1326" t="s">
        <v>1223</v>
      </c>
    </row>
    <row r="24" spans="1:4" ht="18">
      <c r="A24" s="1326"/>
    </row>
    <row r="25" spans="1:4" ht="18.75">
      <c r="A25" s="1326" t="s">
        <v>1224</v>
      </c>
    </row>
    <row r="28" spans="1:4" ht="21" customHeight="1">
      <c r="D28" s="1366" t="s">
        <v>1225</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1295</v>
      </c>
    </row>
    <row r="3" spans="1:7" ht="14.25">
      <c r="A3" s="1372" t="s">
        <v>1296</v>
      </c>
      <c r="B3" s="604" t="s">
        <v>1297</v>
      </c>
      <c r="G3" s="1373"/>
    </row>
    <row r="4" spans="1:7">
      <c r="G4" s="1373"/>
    </row>
    <row r="5" spans="1:7" ht="14.25">
      <c r="A5" s="1375" t="s">
        <v>1298</v>
      </c>
      <c r="B5" s="604" t="s">
        <v>1299</v>
      </c>
      <c r="G5" s="1373"/>
    </row>
    <row r="6" spans="1:7">
      <c r="G6" s="1373"/>
    </row>
    <row r="7" spans="1:7" ht="14.25">
      <c r="A7" s="1376" t="s">
        <v>1300</v>
      </c>
      <c r="B7" s="604" t="s">
        <v>1301</v>
      </c>
      <c r="G7" s="1373"/>
    </row>
    <row r="8" spans="1:7">
      <c r="G8" s="1373"/>
    </row>
    <row r="9" spans="1:7">
      <c r="A9" s="1377" t="s">
        <v>1302</v>
      </c>
      <c r="B9" s="604" t="s">
        <v>1303</v>
      </c>
    </row>
    <row r="11" spans="1:7">
      <c r="A11" s="1378" t="s">
        <v>1304</v>
      </c>
      <c r="B11" s="1379" t="s">
        <v>1305</v>
      </c>
    </row>
    <row r="13" spans="1:7">
      <c r="A13" s="1159" t="s">
        <v>1306</v>
      </c>
    </row>
    <row r="15" spans="1:7" ht="14.25">
      <c r="A15" s="3386" t="s">
        <v>1307</v>
      </c>
      <c r="B15" s="3381" t="s">
        <v>1308</v>
      </c>
      <c r="C15" s="3382"/>
    </row>
    <row r="16" spans="1:7" ht="14.25">
      <c r="A16" s="3387"/>
      <c r="B16" s="3381" t="s">
        <v>1309</v>
      </c>
      <c r="C16" s="3382"/>
    </row>
    <row r="17" spans="1:3" ht="14.25">
      <c r="A17" s="3387"/>
      <c r="B17" s="3381" t="s">
        <v>1310</v>
      </c>
      <c r="C17" s="3382"/>
    </row>
    <row r="18" spans="1:3" ht="14.25">
      <c r="A18" s="3388"/>
      <c r="B18" s="3383" t="s">
        <v>1311</v>
      </c>
      <c r="C18" s="3382"/>
    </row>
    <row r="19" spans="1:3" ht="14.25">
      <c r="A19" s="1380" t="s">
        <v>1312</v>
      </c>
      <c r="B19" s="1381"/>
      <c r="C19" s="1382"/>
    </row>
    <row r="20" spans="1:3" ht="14.25">
      <c r="A20" s="3384" t="s">
        <v>1313</v>
      </c>
      <c r="B20" s="3383" t="s">
        <v>1314</v>
      </c>
      <c r="C20" s="3382"/>
    </row>
    <row r="21" spans="1:3" ht="14.25">
      <c r="A21" s="3384"/>
      <c r="B21" s="3383" t="s">
        <v>1315</v>
      </c>
      <c r="C21" s="3382"/>
    </row>
    <row r="22" spans="1:3" ht="14.25">
      <c r="A22" s="3384"/>
      <c r="B22" s="3383" t="s">
        <v>1316</v>
      </c>
      <c r="C22" s="3382"/>
    </row>
    <row r="23" spans="1:3" ht="14.25">
      <c r="A23" s="3384"/>
      <c r="B23" s="3385" t="s">
        <v>1317</v>
      </c>
      <c r="C23" s="1383" t="s">
        <v>1318</v>
      </c>
    </row>
    <row r="24" spans="1:3" ht="14.25">
      <c r="A24" s="3384"/>
      <c r="B24" s="3385"/>
      <c r="C24" s="1383" t="s">
        <v>1319</v>
      </c>
    </row>
    <row r="25" spans="1:3" ht="14.25">
      <c r="A25" s="3384"/>
      <c r="B25" s="3385"/>
      <c r="C25" s="1383" t="s">
        <v>1320</v>
      </c>
    </row>
    <row r="26" spans="1:3" ht="14.25">
      <c r="A26" s="3384"/>
      <c r="B26" s="3385"/>
      <c r="C26" s="1383" t="s">
        <v>1321</v>
      </c>
    </row>
    <row r="27" spans="1:3" ht="14.25">
      <c r="A27" s="3384"/>
      <c r="B27" s="3385"/>
      <c r="C27" s="1383" t="s">
        <v>1322</v>
      </c>
    </row>
    <row r="28" spans="1:3" ht="14.25">
      <c r="A28" s="3384"/>
      <c r="B28" s="3385"/>
      <c r="C28" s="1383" t="s">
        <v>1323</v>
      </c>
    </row>
    <row r="29" spans="1:3" ht="14.25">
      <c r="A29" s="3384"/>
      <c r="B29" s="3385"/>
      <c r="C29" s="1383" t="s">
        <v>1324</v>
      </c>
    </row>
    <row r="30" spans="1:3" ht="14.25">
      <c r="A30" s="3384"/>
      <c r="B30" s="3385"/>
      <c r="C30" s="1383" t="s">
        <v>1325</v>
      </c>
    </row>
    <row r="31" spans="1:3" ht="14.25">
      <c r="A31" s="3384"/>
      <c r="B31" s="3385"/>
      <c r="C31" s="1383" t="s">
        <v>1326</v>
      </c>
    </row>
    <row r="32" spans="1:3">
      <c r="A32" s="1384"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44546</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f ca="1">IF(C9&lt;B2,"已过期",1120060040)</f>
        <v>1120060040</v>
      </c>
      <c r="C9" s="3040">
        <v>44554</v>
      </c>
      <c r="D9" s="3048" t="str">
        <f t="shared" ca="1" si="0"/>
        <v>陈颖（注册号：1120060040）</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2656</v>
      </c>
      <c r="B12" s="1270">
        <f ca="1">IF(C12&lt;B2,"已过期",1120040230)</f>
        <v>1120040230</v>
      </c>
      <c r="C12" s="3040">
        <v>44864</v>
      </c>
      <c r="D12" s="3048" t="str">
        <f t="shared" ca="1" si="0"/>
        <v>苏海（注册号：1120040230）</v>
      </c>
      <c r="E12" s="3050" t="s">
        <v>2656</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2673</v>
      </c>
      <c r="B14" s="1270">
        <f ca="1">IF(C14&lt;B2,"已过期",1119980106)</f>
        <v>1119980106</v>
      </c>
      <c r="C14" s="3040">
        <v>44969</v>
      </c>
      <c r="D14" s="3048" t="str">
        <f t="shared" ca="1" si="0"/>
        <v>刘俊财（注册号：1119980106）</v>
      </c>
      <c r="E14" s="3050" t="s">
        <v>2773</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2777</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89" t="s">
        <v>762</v>
      </c>
      <c r="B17" s="3389"/>
      <c r="C17" s="3389"/>
      <c r="D17" s="3389"/>
      <c r="E17" s="3389"/>
      <c r="F17" s="3389"/>
      <c r="G17" s="3389"/>
      <c r="H17" s="3389"/>
    </row>
    <row r="18" spans="1:8" ht="24" customHeight="1">
      <c r="A18" s="3390" t="s">
        <v>763</v>
      </c>
      <c r="B18" s="3390"/>
      <c r="C18" s="3390"/>
      <c r="D18" s="3036"/>
      <c r="E18" s="3391" t="s">
        <v>764</v>
      </c>
      <c r="F18" s="3390"/>
      <c r="G18" s="3390"/>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1328</v>
      </c>
      <c r="B1" s="4" t="s">
        <v>1329</v>
      </c>
      <c r="C1" s="1386" t="s">
        <v>1330</v>
      </c>
      <c r="D1" s="5" t="s">
        <v>1331</v>
      </c>
      <c r="E1" s="5" t="s">
        <v>1332</v>
      </c>
      <c r="F1" s="5" t="s">
        <v>1333</v>
      </c>
      <c r="G1" s="5" t="s">
        <v>1334</v>
      </c>
      <c r="H1" s="5" t="s">
        <v>1335</v>
      </c>
      <c r="I1" s="5" t="s">
        <v>1336</v>
      </c>
      <c r="J1" s="5" t="s">
        <v>1337</v>
      </c>
      <c r="K1" s="5" t="s">
        <v>1338</v>
      </c>
      <c r="L1" s="5" t="s">
        <v>1339</v>
      </c>
      <c r="M1" s="5" t="s">
        <v>1340</v>
      </c>
      <c r="N1" s="5" t="s">
        <v>1341</v>
      </c>
      <c r="O1" s="5" t="s">
        <v>1342</v>
      </c>
      <c r="P1" s="1387" t="s">
        <v>1343</v>
      </c>
      <c r="Q1" s="1387" t="s">
        <v>1344</v>
      </c>
      <c r="R1" s="1387" t="s">
        <v>1345</v>
      </c>
      <c r="S1" s="5" t="s">
        <v>1346</v>
      </c>
      <c r="T1" s="6" t="s">
        <v>1347</v>
      </c>
      <c r="U1" s="5" t="s">
        <v>1348</v>
      </c>
      <c r="V1" s="5" t="s">
        <v>1349</v>
      </c>
      <c r="W1" s="5" t="s">
        <v>1350</v>
      </c>
      <c r="X1" s="5" t="s">
        <v>1351</v>
      </c>
      <c r="Y1" s="5" t="s">
        <v>1352</v>
      </c>
    </row>
    <row r="2" spans="1:25">
      <c r="A2" s="1388" t="s">
        <v>33</v>
      </c>
      <c r="B2" s="1388" t="s">
        <v>1353</v>
      </c>
      <c r="C2" s="1389"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8" t="s">
        <v>1366</v>
      </c>
      <c r="B3" s="1390" t="s">
        <v>1367</v>
      </c>
      <c r="C3" s="965"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8" t="s">
        <v>1379</v>
      </c>
      <c r="B4" s="1390" t="s">
        <v>1380</v>
      </c>
      <c r="C4" s="1389"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8" t="s">
        <v>1390</v>
      </c>
      <c r="B5" s="1388" t="s">
        <v>1391</v>
      </c>
      <c r="C5" s="1389"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1"/>
    </row>
    <row r="6" spans="1:25">
      <c r="A6" s="1388" t="s">
        <v>1399</v>
      </c>
      <c r="B6" s="1388" t="s">
        <v>1400</v>
      </c>
      <c r="C6" s="952"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1"/>
    </row>
    <row r="7" spans="1:25">
      <c r="A7" s="1388" t="s">
        <v>1407</v>
      </c>
      <c r="B7" s="1390" t="s">
        <v>1408</v>
      </c>
      <c r="C7" s="1389" t="s">
        <v>1409</v>
      </c>
      <c r="F7" s="7" t="s">
        <v>1410</v>
      </c>
      <c r="H7" s="7" t="s">
        <v>1411</v>
      </c>
      <c r="I7" s="7" t="s">
        <v>1412</v>
      </c>
      <c r="X7" s="1391"/>
    </row>
    <row r="8" spans="1:25">
      <c r="A8" s="1388" t="s">
        <v>1413</v>
      </c>
      <c r="B8" s="1390" t="s">
        <v>1414</v>
      </c>
      <c r="C8" s="1389" t="s">
        <v>1415</v>
      </c>
      <c r="F8" s="7" t="s">
        <v>1416</v>
      </c>
      <c r="H8" s="7" t="s">
        <v>1417</v>
      </c>
      <c r="I8" s="7" t="s">
        <v>1418</v>
      </c>
      <c r="X8" s="1391"/>
    </row>
    <row r="9" spans="1:25">
      <c r="A9" s="1388" t="s">
        <v>1419</v>
      </c>
      <c r="B9" s="1388" t="s">
        <v>1420</v>
      </c>
      <c r="C9" s="1389" t="s">
        <v>1421</v>
      </c>
      <c r="F9" s="7" t="s">
        <v>1422</v>
      </c>
      <c r="H9" s="7" t="s">
        <v>1423</v>
      </c>
    </row>
    <row r="10" spans="1:25">
      <c r="A10" s="1388" t="s">
        <v>1424</v>
      </c>
      <c r="B10" s="1388" t="s">
        <v>1425</v>
      </c>
      <c r="C10" s="1389" t="s">
        <v>1426</v>
      </c>
      <c r="F10" s="7" t="s">
        <v>13</v>
      </c>
    </row>
    <row r="11" spans="1:25">
      <c r="A11" s="1388" t="s">
        <v>1427</v>
      </c>
      <c r="B11" s="1388" t="s">
        <v>1428</v>
      </c>
      <c r="C11" s="1389" t="s">
        <v>1429</v>
      </c>
    </row>
    <row r="12" spans="1:25">
      <c r="A12" s="1388" t="s">
        <v>1430</v>
      </c>
      <c r="B12" s="1388" t="s">
        <v>1431</v>
      </c>
      <c r="C12" s="1389" t="s">
        <v>1432</v>
      </c>
    </row>
    <row r="13" spans="1:25">
      <c r="A13" s="1388" t="s">
        <v>1433</v>
      </c>
      <c r="B13" s="1388" t="s">
        <v>1434</v>
      </c>
      <c r="C13" s="1389" t="s">
        <v>1435</v>
      </c>
    </row>
    <row r="14" spans="1:25">
      <c r="A14" s="1388" t="s">
        <v>1436</v>
      </c>
      <c r="B14" s="1388" t="s">
        <v>1437</v>
      </c>
      <c r="C14" s="1389"/>
    </row>
    <row r="15" spans="1:25">
      <c r="A15" s="1388" t="s">
        <v>1438</v>
      </c>
      <c r="B15" s="1388" t="s">
        <v>1439</v>
      </c>
      <c r="C15" s="1389"/>
    </row>
    <row r="16" spans="1:25">
      <c r="A16" s="1388" t="s">
        <v>1440</v>
      </c>
      <c r="B16" s="1388" t="s">
        <v>1441</v>
      </c>
      <c r="C16" s="1389"/>
    </row>
    <row r="17" spans="1:3">
      <c r="A17" s="1388" t="s">
        <v>1442</v>
      </c>
      <c r="B17" s="1388" t="s">
        <v>1443</v>
      </c>
      <c r="C17" s="1389"/>
    </row>
    <row r="18" spans="1:3">
      <c r="A18" s="1388" t="s">
        <v>1444</v>
      </c>
      <c r="B18" s="1388" t="s">
        <v>1445</v>
      </c>
      <c r="C18" s="1389"/>
    </row>
    <row r="19" spans="1:3">
      <c r="A19" s="1388" t="s">
        <v>1446</v>
      </c>
      <c r="B19" s="1388" t="s">
        <v>1447</v>
      </c>
      <c r="C19" s="1389"/>
    </row>
    <row r="20" spans="1:3">
      <c r="A20" s="1388" t="s">
        <v>1448</v>
      </c>
      <c r="B20" s="1388" t="s">
        <v>2975</v>
      </c>
      <c r="C20" s="1389"/>
    </row>
    <row r="21" spans="1:3">
      <c r="A21" s="1388" t="s">
        <v>1449</v>
      </c>
      <c r="B21" s="1388" t="s">
        <v>3028</v>
      </c>
      <c r="C21" s="1389"/>
    </row>
    <row r="22" spans="1:3">
      <c r="A22" s="1388" t="s">
        <v>1450</v>
      </c>
      <c r="B22" s="1388" t="s">
        <v>740</v>
      </c>
      <c r="C22" s="1389"/>
    </row>
    <row r="23" spans="1:3">
      <c r="A23" s="1388" t="s">
        <v>1451</v>
      </c>
      <c r="B23" s="1388" t="s">
        <v>740</v>
      </c>
      <c r="C23" s="1389"/>
    </row>
    <row r="24" spans="1:3">
      <c r="A24" s="1388" t="s">
        <v>1452</v>
      </c>
      <c r="B24" s="1388" t="s">
        <v>740</v>
      </c>
      <c r="C24" s="1389"/>
    </row>
    <row r="25" spans="1:3">
      <c r="A25" s="1388" t="s">
        <v>1453</v>
      </c>
      <c r="B25" s="1388" t="s">
        <v>740</v>
      </c>
      <c r="C25" s="1389"/>
    </row>
    <row r="26" spans="1:3">
      <c r="A26" s="1388" t="s">
        <v>1454</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2" t="s">
        <v>1457</v>
      </c>
      <c r="B52" s="1392" t="s">
        <v>1458</v>
      </c>
      <c r="C52" s="9" t="s">
        <v>1459</v>
      </c>
      <c r="D52" s="9" t="s">
        <v>1460</v>
      </c>
    </row>
    <row r="53" spans="1:4" ht="14.25" customHeight="1">
      <c r="A53" s="3392"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本次估价的“房地产价值”是指在正常市场情况下，在价值时点2021年12月15日，估价对象规划用途为，假定未设立法定优先受偿款下的房地产市场价值。</v>
      </c>
    </row>
    <row r="54" spans="1:4">
      <c r="A54" s="3392"/>
      <c r="B54" s="9" t="s">
        <v>1463</v>
      </c>
      <c r="C54" s="9" t="s">
        <v>1464</v>
      </c>
    </row>
    <row r="55" spans="1:4">
      <c r="A55" s="3392"/>
      <c r="B55" s="9" t="s">
        <v>1465</v>
      </c>
      <c r="C55" s="9" t="s">
        <v>1466</v>
      </c>
    </row>
    <row r="56" spans="1:4">
      <c r="A56" s="3392"/>
      <c r="B56" s="9" t="s">
        <v>1467</v>
      </c>
      <c r="C56" s="9" t="s">
        <v>1468</v>
      </c>
    </row>
    <row r="57" spans="1:4">
      <c r="A57" s="3392"/>
      <c r="B57" s="9" t="s">
        <v>1469</v>
      </c>
      <c r="C57" s="9" t="s">
        <v>1470</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vt:lpstr>
      <vt:lpstr>收益法-酒店模型</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位置图及面积明细</vt:lpstr>
      <vt:lpstr>选用案例</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2021-12-16T06:44:50Z</dcterms:modified>
</cp:coreProperties>
</file>